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north_european_model\src_files\data_files\"/>
    </mc:Choice>
  </mc:AlternateContent>
  <xr:revisionPtr revIDLastSave="0" documentId="13_ncr:1_{765A9669-C254-4888-956F-F7D0FDE30967}" xr6:coauthVersionLast="47" xr6:coauthVersionMax="47" xr10:uidLastSave="{00000000-0000-0000-0000-000000000000}"/>
  <bookViews>
    <workbookView xWindow="-120" yWindow="-120" windowWidth="29040" windowHeight="17520" tabRatio="500" xr2:uid="{00000000-000D-0000-FFFF-FFFF00000000}"/>
  </bookViews>
  <sheets>
    <sheet name="Overview" sheetId="5" r:id="rId1"/>
    <sheet name="sources" sheetId="8" r:id="rId2"/>
    <sheet name="unittypedata" sheetId="1" r:id="rId3"/>
  </sheets>
  <definedNames>
    <definedName name="_xlnm._FilterDatabase" localSheetId="2" hidden="1">unittypedata!$A$1:$AJ$55</definedName>
    <definedName name="Bottom">OFFSET(#REF!,1,0,COUNT(#REF!),1)</definedName>
    <definedName name="fd">OFFSET(#REF!,1,0,COUNT(#REF!),1)</definedName>
    <definedName name="Labels">OFFSET(Bottom,0,-1)</definedName>
    <definedName name="SecondQ">OFFSET(#REF!,1,0,COUNT(#REF!),1)</definedName>
    <definedName name="ThirdQ">OFFSET(#REF!,1,0,COUNT(#REF!),1)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F78" i="1" l="1"/>
  <c r="AE78" i="1" s="1"/>
  <c r="AD78" i="1"/>
  <c r="AC78" i="1"/>
  <c r="AB78" i="1"/>
  <c r="AA78" i="1"/>
  <c r="Z78" i="1"/>
  <c r="Y78" i="1"/>
  <c r="X78" i="1"/>
  <c r="W78" i="1"/>
  <c r="V78" i="1"/>
  <c r="U78" i="1"/>
  <c r="T78" i="1"/>
  <c r="S78" i="1"/>
  <c r="R78" i="1"/>
  <c r="Q78" i="1"/>
  <c r="P78" i="1"/>
  <c r="O78" i="1"/>
  <c r="N78" i="1"/>
  <c r="K78" i="1"/>
  <c r="J78" i="1"/>
  <c r="I78" i="1"/>
  <c r="H78" i="1"/>
  <c r="AF77" i="1"/>
  <c r="AE77" i="1" s="1"/>
  <c r="AD77" i="1"/>
  <c r="AC77" i="1"/>
  <c r="AB77" i="1"/>
  <c r="AA77" i="1"/>
  <c r="Z77" i="1"/>
  <c r="Y77" i="1"/>
  <c r="X77" i="1"/>
  <c r="W77" i="1"/>
  <c r="V77" i="1"/>
  <c r="U77" i="1"/>
  <c r="T77" i="1"/>
  <c r="S77" i="1"/>
  <c r="R77" i="1"/>
  <c r="Q77" i="1"/>
  <c r="P77" i="1"/>
  <c r="O77" i="1"/>
  <c r="N77" i="1"/>
  <c r="K77" i="1"/>
  <c r="J77" i="1"/>
  <c r="I77" i="1"/>
  <c r="H77" i="1"/>
  <c r="AF71" i="1"/>
  <c r="AE71" i="1" s="1"/>
  <c r="AD71" i="1"/>
  <c r="AC71" i="1"/>
  <c r="AB71" i="1"/>
  <c r="AA71" i="1"/>
  <c r="Z71" i="1"/>
  <c r="Y71" i="1"/>
  <c r="X71" i="1"/>
  <c r="W71" i="1"/>
  <c r="V71" i="1"/>
  <c r="U71" i="1"/>
  <c r="T71" i="1"/>
  <c r="S71" i="1"/>
  <c r="R71" i="1"/>
  <c r="Q71" i="1"/>
  <c r="P71" i="1"/>
  <c r="O71" i="1"/>
  <c r="N71" i="1"/>
  <c r="M71" i="1"/>
  <c r="L71" i="1"/>
  <c r="K71" i="1"/>
  <c r="J71" i="1"/>
  <c r="I71" i="1"/>
  <c r="H71" i="1"/>
  <c r="AF70" i="1"/>
  <c r="AE70" i="1"/>
  <c r="AD70" i="1"/>
  <c r="AC70" i="1"/>
  <c r="AB70" i="1"/>
  <c r="AA70" i="1"/>
  <c r="Z70" i="1"/>
  <c r="Y70" i="1"/>
  <c r="X70" i="1"/>
  <c r="W70" i="1"/>
  <c r="V70" i="1"/>
  <c r="U70" i="1"/>
  <c r="T70" i="1"/>
  <c r="S70" i="1"/>
  <c r="R70" i="1"/>
  <c r="Q70" i="1"/>
  <c r="P70" i="1"/>
  <c r="O70" i="1"/>
  <c r="N70" i="1"/>
  <c r="M70" i="1"/>
  <c r="L70" i="1"/>
  <c r="K70" i="1"/>
  <c r="J70" i="1"/>
  <c r="I70" i="1"/>
  <c r="H70" i="1"/>
  <c r="AF64" i="1"/>
  <c r="AE64" i="1"/>
  <c r="AD64" i="1"/>
  <c r="AC64" i="1"/>
  <c r="AB64" i="1"/>
  <c r="AA64" i="1"/>
  <c r="Z64" i="1"/>
  <c r="Y64" i="1"/>
  <c r="X64" i="1"/>
  <c r="W64" i="1"/>
  <c r="V64" i="1"/>
  <c r="U64" i="1"/>
  <c r="T64" i="1"/>
  <c r="S64" i="1"/>
  <c r="R64" i="1"/>
  <c r="Q64" i="1"/>
  <c r="P64" i="1"/>
  <c r="O64" i="1"/>
  <c r="N64" i="1"/>
  <c r="K64" i="1"/>
  <c r="J64" i="1"/>
  <c r="I64" i="1"/>
  <c r="H64" i="1"/>
  <c r="AF63" i="1"/>
  <c r="AE63" i="1" s="1"/>
  <c r="AD63" i="1"/>
  <c r="AC63" i="1"/>
  <c r="AB63" i="1"/>
  <c r="AA63" i="1"/>
  <c r="Z63" i="1"/>
  <c r="Y63" i="1"/>
  <c r="X63" i="1"/>
  <c r="W63" i="1"/>
  <c r="V63" i="1"/>
  <c r="U63" i="1"/>
  <c r="T63" i="1"/>
  <c r="S63" i="1"/>
  <c r="R63" i="1"/>
  <c r="Q63" i="1"/>
  <c r="P63" i="1"/>
  <c r="O63" i="1"/>
  <c r="N63" i="1"/>
  <c r="K63" i="1"/>
  <c r="J63" i="1"/>
  <c r="I63" i="1"/>
  <c r="H63" i="1"/>
  <c r="AF57" i="1"/>
  <c r="AE57" i="1"/>
  <c r="AD57" i="1"/>
  <c r="AC57" i="1"/>
  <c r="AA57" i="1"/>
  <c r="Z57" i="1"/>
  <c r="Y57" i="1"/>
  <c r="W57" i="1"/>
  <c r="T57" i="1"/>
  <c r="S57" i="1"/>
  <c r="R57" i="1"/>
  <c r="P57" i="1"/>
  <c r="O57" i="1"/>
  <c r="N57" i="1"/>
  <c r="K57" i="1"/>
  <c r="J57" i="1"/>
  <c r="I57" i="1"/>
  <c r="H57" i="1"/>
  <c r="AF56" i="1"/>
  <c r="AE56" i="1" s="1"/>
  <c r="AD56" i="1"/>
  <c r="AC56" i="1"/>
  <c r="AA56" i="1"/>
  <c r="Z56" i="1"/>
  <c r="Y56" i="1"/>
  <c r="W56" i="1"/>
  <c r="T56" i="1"/>
  <c r="S56" i="1"/>
  <c r="R56" i="1"/>
  <c r="P56" i="1"/>
  <c r="O56" i="1"/>
  <c r="N56" i="1"/>
  <c r="K56" i="1"/>
  <c r="J56" i="1"/>
  <c r="I56" i="1"/>
  <c r="H56" i="1"/>
  <c r="AF50" i="1"/>
  <c r="AE50" i="1" s="1"/>
  <c r="AA50" i="1"/>
  <c r="Z50" i="1"/>
  <c r="Y50" i="1"/>
  <c r="W50" i="1"/>
  <c r="S50" i="1"/>
  <c r="P50" i="1"/>
  <c r="O50" i="1"/>
  <c r="M50" i="1"/>
  <c r="L50" i="1"/>
  <c r="K50" i="1"/>
  <c r="J50" i="1"/>
  <c r="I50" i="1"/>
  <c r="H50" i="1"/>
  <c r="AF49" i="1"/>
  <c r="AE49" i="1"/>
  <c r="AA49" i="1"/>
  <c r="Z49" i="1"/>
  <c r="Y49" i="1"/>
  <c r="W49" i="1"/>
  <c r="S49" i="1"/>
  <c r="P49" i="1"/>
  <c r="O49" i="1"/>
  <c r="M49" i="1"/>
  <c r="L49" i="1"/>
  <c r="K49" i="1"/>
  <c r="J49" i="1"/>
  <c r="I49" i="1"/>
  <c r="H49" i="1"/>
  <c r="AF43" i="1"/>
  <c r="AE43" i="1" s="1"/>
  <c r="AA43" i="1"/>
  <c r="Z43" i="1"/>
  <c r="Y43" i="1"/>
  <c r="W43" i="1"/>
  <c r="T43" i="1"/>
  <c r="S43" i="1"/>
  <c r="R43" i="1"/>
  <c r="P43" i="1"/>
  <c r="O43" i="1"/>
  <c r="N43" i="1"/>
  <c r="K43" i="1"/>
  <c r="J43" i="1"/>
  <c r="I43" i="1"/>
  <c r="H43" i="1"/>
  <c r="AF42" i="1"/>
  <c r="AE42" i="1" s="1"/>
  <c r="AA42" i="1"/>
  <c r="Z42" i="1"/>
  <c r="Y42" i="1"/>
  <c r="W42" i="1"/>
  <c r="T42" i="1"/>
  <c r="S42" i="1"/>
  <c r="R42" i="1"/>
  <c r="P42" i="1"/>
  <c r="O42" i="1"/>
  <c r="N42" i="1"/>
  <c r="K42" i="1"/>
  <c r="J42" i="1"/>
  <c r="I42" i="1"/>
  <c r="H42" i="1"/>
  <c r="AF36" i="1"/>
  <c r="AE36" i="1" s="1"/>
  <c r="AD36" i="1"/>
  <c r="AC36" i="1"/>
  <c r="AA36" i="1"/>
  <c r="Z36" i="1"/>
  <c r="Y36" i="1"/>
  <c r="W36" i="1"/>
  <c r="T36" i="1"/>
  <c r="S36" i="1"/>
  <c r="R36" i="1"/>
  <c r="P36" i="1"/>
  <c r="O36" i="1"/>
  <c r="N36" i="1"/>
  <c r="K36" i="1"/>
  <c r="J36" i="1"/>
  <c r="I36" i="1"/>
  <c r="H36" i="1"/>
  <c r="AF35" i="1"/>
  <c r="AE35" i="1" s="1"/>
  <c r="AD35" i="1"/>
  <c r="AC35" i="1"/>
  <c r="AA35" i="1"/>
  <c r="Z35" i="1"/>
  <c r="Y35" i="1"/>
  <c r="W35" i="1"/>
  <c r="T35" i="1"/>
  <c r="S35" i="1"/>
  <c r="R35" i="1"/>
  <c r="P35" i="1"/>
  <c r="O35" i="1"/>
  <c r="N35" i="1"/>
  <c r="K35" i="1"/>
  <c r="J35" i="1"/>
  <c r="I35" i="1"/>
  <c r="H35" i="1"/>
  <c r="M29" i="1"/>
  <c r="L29" i="1"/>
  <c r="M28" i="1"/>
  <c r="L28" i="1"/>
  <c r="AF29" i="1"/>
  <c r="AE29" i="1"/>
  <c r="AA29" i="1"/>
  <c r="Z29" i="1"/>
  <c r="Y29" i="1"/>
  <c r="W29" i="1"/>
  <c r="S29" i="1"/>
  <c r="P29" i="1"/>
  <c r="O29" i="1"/>
  <c r="K29" i="1"/>
  <c r="J29" i="1"/>
  <c r="I29" i="1"/>
  <c r="H29" i="1"/>
  <c r="AF28" i="1"/>
  <c r="AE28" i="1" s="1"/>
  <c r="AA28" i="1"/>
  <c r="Z28" i="1"/>
  <c r="Y28" i="1"/>
  <c r="W28" i="1"/>
  <c r="S28" i="1"/>
  <c r="P28" i="1"/>
  <c r="O28" i="1"/>
  <c r="K28" i="1"/>
  <c r="J28" i="1"/>
  <c r="I28" i="1"/>
  <c r="H28" i="1"/>
  <c r="N22" i="1"/>
  <c r="N21" i="1"/>
  <c r="AF22" i="1"/>
  <c r="AE22" i="1" s="1"/>
  <c r="AA22" i="1"/>
  <c r="Z22" i="1"/>
  <c r="Y22" i="1"/>
  <c r="W22" i="1"/>
  <c r="T22" i="1"/>
  <c r="S22" i="1"/>
  <c r="R22" i="1"/>
  <c r="P22" i="1"/>
  <c r="O22" i="1"/>
  <c r="K22" i="1"/>
  <c r="J22" i="1"/>
  <c r="I22" i="1"/>
  <c r="H22" i="1"/>
  <c r="AF21" i="1"/>
  <c r="AE21" i="1" s="1"/>
  <c r="AA21" i="1"/>
  <c r="Z21" i="1"/>
  <c r="Y21" i="1"/>
  <c r="W21" i="1"/>
  <c r="T21" i="1"/>
  <c r="S21" i="1"/>
  <c r="R21" i="1"/>
  <c r="P21" i="1"/>
  <c r="O21" i="1"/>
  <c r="K21" i="1"/>
  <c r="J21" i="1"/>
  <c r="I21" i="1"/>
  <c r="H21" i="1"/>
  <c r="M15" i="1"/>
  <c r="L15" i="1"/>
  <c r="M14" i="1"/>
  <c r="L14" i="1"/>
  <c r="K14" i="1"/>
  <c r="AF15" i="1"/>
  <c r="AE15" i="1"/>
  <c r="AA15" i="1"/>
  <c r="Z15" i="1"/>
  <c r="Y15" i="1"/>
  <c r="W15" i="1"/>
  <c r="S15" i="1"/>
  <c r="P15" i="1"/>
  <c r="O15" i="1"/>
  <c r="K15" i="1"/>
  <c r="J15" i="1"/>
  <c r="I15" i="1"/>
  <c r="H15" i="1"/>
  <c r="AF14" i="1"/>
  <c r="AE14" i="1" s="1"/>
  <c r="AA14" i="1"/>
  <c r="Z14" i="1"/>
  <c r="Y14" i="1"/>
  <c r="W14" i="1"/>
  <c r="S14" i="1"/>
  <c r="P14" i="1"/>
  <c r="O14" i="1"/>
  <c r="J14" i="1"/>
  <c r="I14" i="1"/>
  <c r="H14" i="1"/>
  <c r="AF8" i="1"/>
  <c r="AE8" i="1" s="1"/>
  <c r="AA8" i="1"/>
  <c r="Z8" i="1"/>
  <c r="Y8" i="1"/>
  <c r="W8" i="1"/>
  <c r="T8" i="1"/>
  <c r="S8" i="1"/>
  <c r="R8" i="1"/>
  <c r="P8" i="1"/>
  <c r="O8" i="1"/>
  <c r="N8" i="1"/>
  <c r="K8" i="1"/>
  <c r="J8" i="1"/>
  <c r="I8" i="1"/>
  <c r="H8" i="1"/>
  <c r="AF7" i="1"/>
  <c r="AE7" i="1" s="1"/>
  <c r="AA7" i="1"/>
  <c r="Z7" i="1"/>
  <c r="Y7" i="1"/>
  <c r="S7" i="1"/>
  <c r="T7" i="1"/>
  <c r="W7" i="1"/>
  <c r="R7" i="1"/>
  <c r="O7" i="1"/>
  <c r="P7" i="1"/>
  <c r="N7" i="1"/>
  <c r="K7" i="1"/>
  <c r="J7" i="1"/>
  <c r="I7" i="1"/>
  <c r="H7" i="1"/>
  <c r="AF76" i="1"/>
  <c r="AE76" i="1" s="1"/>
  <c r="AF74" i="1"/>
  <c r="AF72" i="1"/>
  <c r="AD76" i="1"/>
  <c r="AD74" i="1"/>
  <c r="AD72" i="1"/>
  <c r="AC76" i="1"/>
  <c r="AC74" i="1"/>
  <c r="AC72" i="1"/>
  <c r="AA76" i="1"/>
  <c r="AA74" i="1"/>
  <c r="AA72" i="1"/>
  <c r="W76" i="1"/>
  <c r="W74" i="1"/>
  <c r="W72" i="1"/>
  <c r="P72" i="1"/>
  <c r="P74" i="1"/>
  <c r="P76" i="1"/>
  <c r="O76" i="1"/>
  <c r="O74" i="1"/>
  <c r="O72" i="1"/>
  <c r="N72" i="1"/>
  <c r="R72" i="1"/>
  <c r="S72" i="1"/>
  <c r="T72" i="1"/>
  <c r="Y72" i="1"/>
  <c r="Z72" i="1"/>
  <c r="N74" i="1"/>
  <c r="R74" i="1"/>
  <c r="S74" i="1"/>
  <c r="T74" i="1"/>
  <c r="Y74" i="1"/>
  <c r="Z74" i="1"/>
  <c r="N76" i="1"/>
  <c r="R76" i="1"/>
  <c r="S76" i="1"/>
  <c r="T76" i="1"/>
  <c r="Y76" i="1"/>
  <c r="Z76" i="1"/>
  <c r="I72" i="1"/>
  <c r="J72" i="1"/>
  <c r="K72" i="1"/>
  <c r="I74" i="1"/>
  <c r="J74" i="1"/>
  <c r="K74" i="1"/>
  <c r="I76" i="1"/>
  <c r="J76" i="1"/>
  <c r="K76" i="1"/>
  <c r="H76" i="1"/>
  <c r="H74" i="1"/>
  <c r="H72" i="1"/>
  <c r="AF69" i="1"/>
  <c r="AE69" i="1" s="1"/>
  <c r="AF67" i="1"/>
  <c r="AE67" i="1" s="1"/>
  <c r="AF65" i="1"/>
  <c r="AE65" i="1" s="1"/>
  <c r="AA69" i="1"/>
  <c r="Z69" i="1"/>
  <c r="Y69" i="1"/>
  <c r="W69" i="1"/>
  <c r="S69" i="1"/>
  <c r="P69" i="1"/>
  <c r="O69" i="1"/>
  <c r="AA67" i="1"/>
  <c r="Z67" i="1"/>
  <c r="Y67" i="1"/>
  <c r="W67" i="1"/>
  <c r="S67" i="1"/>
  <c r="P67" i="1"/>
  <c r="O67" i="1"/>
  <c r="AA65" i="1"/>
  <c r="Z65" i="1"/>
  <c r="Y65" i="1"/>
  <c r="W65" i="1"/>
  <c r="S65" i="1"/>
  <c r="P65" i="1"/>
  <c r="O65" i="1"/>
  <c r="L65" i="1"/>
  <c r="M65" i="1"/>
  <c r="L67" i="1"/>
  <c r="M67" i="1"/>
  <c r="L69" i="1"/>
  <c r="M69" i="1"/>
  <c r="H67" i="1"/>
  <c r="H65" i="1"/>
  <c r="K69" i="1"/>
  <c r="J69" i="1"/>
  <c r="I69" i="1"/>
  <c r="H69" i="1"/>
  <c r="K67" i="1"/>
  <c r="J67" i="1"/>
  <c r="I67" i="1"/>
  <c r="K65" i="1"/>
  <c r="J65" i="1"/>
  <c r="I65" i="1"/>
  <c r="AF62" i="1"/>
  <c r="AE62" i="1" s="1"/>
  <c r="AF60" i="1"/>
  <c r="AF58" i="1"/>
  <c r="AA58" i="1"/>
  <c r="AA62" i="1"/>
  <c r="AA60" i="1"/>
  <c r="W62" i="1"/>
  <c r="W60" i="1"/>
  <c r="W58" i="1"/>
  <c r="P58" i="1"/>
  <c r="P60" i="1"/>
  <c r="P62" i="1"/>
  <c r="O62" i="1"/>
  <c r="O60" i="1"/>
  <c r="O58" i="1"/>
  <c r="I58" i="1"/>
  <c r="J58" i="1"/>
  <c r="K58" i="1"/>
  <c r="N58" i="1"/>
  <c r="R58" i="1"/>
  <c r="S58" i="1"/>
  <c r="T58" i="1"/>
  <c r="Y58" i="1"/>
  <c r="Z58" i="1"/>
  <c r="I60" i="1"/>
  <c r="J60" i="1"/>
  <c r="K60" i="1"/>
  <c r="N60" i="1"/>
  <c r="R60" i="1"/>
  <c r="S60" i="1"/>
  <c r="T60" i="1"/>
  <c r="Y60" i="1"/>
  <c r="Z60" i="1"/>
  <c r="I62" i="1"/>
  <c r="J62" i="1"/>
  <c r="K62" i="1"/>
  <c r="N62" i="1"/>
  <c r="R62" i="1"/>
  <c r="S62" i="1"/>
  <c r="T62" i="1"/>
  <c r="Y62" i="1"/>
  <c r="Z62" i="1"/>
  <c r="H62" i="1"/>
  <c r="H60" i="1"/>
  <c r="H58" i="1"/>
  <c r="AA75" i="1" l="1"/>
  <c r="O59" i="1"/>
  <c r="W59" i="1"/>
  <c r="AD75" i="1"/>
  <c r="AC73" i="1"/>
  <c r="I75" i="1"/>
  <c r="K73" i="1"/>
  <c r="J73" i="1"/>
  <c r="N61" i="1"/>
  <c r="I59" i="1"/>
  <c r="Y75" i="1"/>
  <c r="N75" i="1"/>
  <c r="Z68" i="1"/>
  <c r="Z75" i="1"/>
  <c r="S68" i="1"/>
  <c r="Y73" i="1"/>
  <c r="N59" i="1"/>
  <c r="W61" i="1"/>
  <c r="J68" i="1"/>
  <c r="AF66" i="1"/>
  <c r="AE66" i="1" s="1"/>
  <c r="P68" i="1"/>
  <c r="K68" i="1"/>
  <c r="K61" i="1"/>
  <c r="AF75" i="1"/>
  <c r="AE75" i="1" s="1"/>
  <c r="K59" i="1"/>
  <c r="Y68" i="1"/>
  <c r="J59" i="1"/>
  <c r="AF68" i="1"/>
  <c r="AE68" i="1" s="1"/>
  <c r="P75" i="1"/>
  <c r="AD73" i="1"/>
  <c r="Y59" i="1"/>
  <c r="J61" i="1"/>
  <c r="T61" i="1"/>
  <c r="P73" i="1"/>
  <c r="H73" i="1"/>
  <c r="I61" i="1"/>
  <c r="AF61" i="1"/>
  <c r="T75" i="1"/>
  <c r="W75" i="1"/>
  <c r="AF73" i="1"/>
  <c r="AE73" i="1" s="1"/>
  <c r="H59" i="1"/>
  <c r="T59" i="1"/>
  <c r="Y61" i="1"/>
  <c r="P61" i="1"/>
  <c r="M68" i="1"/>
  <c r="J75" i="1"/>
  <c r="R75" i="1"/>
  <c r="AA73" i="1"/>
  <c r="O73" i="1"/>
  <c r="AF59" i="1"/>
  <c r="AE59" i="1" s="1"/>
  <c r="W66" i="1"/>
  <c r="T73" i="1"/>
  <c r="O75" i="1"/>
  <c r="Y66" i="1"/>
  <c r="S73" i="1"/>
  <c r="H61" i="1"/>
  <c r="Z66" i="1"/>
  <c r="R73" i="1"/>
  <c r="AE74" i="1"/>
  <c r="AA59" i="1"/>
  <c r="Z61" i="1"/>
  <c r="AA66" i="1"/>
  <c r="N73" i="1"/>
  <c r="O68" i="1"/>
  <c r="AE72" i="1"/>
  <c r="P59" i="1"/>
  <c r="K75" i="1"/>
  <c r="S75" i="1"/>
  <c r="W73" i="1"/>
  <c r="AC75" i="1"/>
  <c r="H66" i="1"/>
  <c r="O66" i="1"/>
  <c r="W68" i="1"/>
  <c r="O61" i="1"/>
  <c r="I66" i="1"/>
  <c r="P66" i="1"/>
  <c r="I73" i="1"/>
  <c r="AE58" i="1"/>
  <c r="AA61" i="1"/>
  <c r="J66" i="1"/>
  <c r="L68" i="1"/>
  <c r="AE60" i="1"/>
  <c r="S61" i="1"/>
  <c r="S59" i="1"/>
  <c r="K66" i="1"/>
  <c r="M66" i="1"/>
  <c r="Z59" i="1"/>
  <c r="R61" i="1"/>
  <c r="R59" i="1"/>
  <c r="I68" i="1"/>
  <c r="L66" i="1"/>
  <c r="S66" i="1"/>
  <c r="AA68" i="1"/>
  <c r="Z73" i="1"/>
  <c r="H75" i="1"/>
  <c r="H68" i="1"/>
  <c r="AE61" i="1" l="1"/>
  <c r="AE3" i="1" l="1"/>
  <c r="AE4" i="1"/>
  <c r="AE5" i="1"/>
  <c r="AE6" i="1"/>
  <c r="AE9" i="1"/>
  <c r="AE10" i="1"/>
  <c r="AE11" i="1"/>
  <c r="AE12" i="1"/>
  <c r="AE13" i="1"/>
  <c r="AE16" i="1"/>
  <c r="AE17" i="1"/>
  <c r="AE18" i="1"/>
  <c r="AE19" i="1"/>
  <c r="AE20" i="1"/>
  <c r="AE23" i="1"/>
  <c r="AE24" i="1"/>
  <c r="AE25" i="1"/>
  <c r="AE26" i="1"/>
  <c r="AE27" i="1"/>
  <c r="AE30" i="1"/>
  <c r="AE31" i="1"/>
  <c r="AE32" i="1"/>
  <c r="AE33" i="1"/>
  <c r="AE34" i="1"/>
  <c r="AE37" i="1"/>
  <c r="AE38" i="1"/>
  <c r="AE39" i="1"/>
  <c r="AE40" i="1"/>
  <c r="AE41" i="1"/>
  <c r="AE44" i="1"/>
  <c r="AE45" i="1"/>
  <c r="AE46" i="1"/>
  <c r="AE47" i="1"/>
  <c r="AE48" i="1"/>
  <c r="AE51" i="1"/>
  <c r="AE52" i="1"/>
  <c r="AE53" i="1"/>
  <c r="AE54" i="1"/>
  <c r="AE55" i="1"/>
  <c r="AE2" i="1"/>
  <c r="AB2" i="1"/>
  <c r="AB8" i="1" s="1"/>
  <c r="R48" i="1"/>
  <c r="R47" i="1"/>
  <c r="R46" i="1"/>
  <c r="R45" i="1"/>
  <c r="R49" i="1" s="1"/>
  <c r="R44" i="1"/>
  <c r="R50" i="1" s="1"/>
  <c r="Q34" i="1"/>
  <c r="R27" i="1"/>
  <c r="R26" i="1"/>
  <c r="R25" i="1"/>
  <c r="R24" i="1"/>
  <c r="R28" i="1" s="1"/>
  <c r="R23" i="1"/>
  <c r="R29" i="1" s="1"/>
  <c r="R10" i="1"/>
  <c r="R11" i="1"/>
  <c r="V11" i="1" s="1"/>
  <c r="R12" i="1"/>
  <c r="V12" i="1" s="1"/>
  <c r="R13" i="1"/>
  <c r="R9" i="1"/>
  <c r="R15" i="1" s="1"/>
  <c r="T9" i="1"/>
  <c r="T15" i="1" s="1"/>
  <c r="Q9" i="1"/>
  <c r="Q15" i="1" s="1"/>
  <c r="Q10" i="1"/>
  <c r="Q11" i="1"/>
  <c r="Q12" i="1"/>
  <c r="U12" i="1" s="1"/>
  <c r="Q13" i="1"/>
  <c r="Q16" i="1"/>
  <c r="Q17" i="1"/>
  <c r="Q18" i="1"/>
  <c r="U18" i="1" s="1"/>
  <c r="Q19" i="1"/>
  <c r="U19" i="1" s="1"/>
  <c r="Q20" i="1"/>
  <c r="U20" i="1" s="1"/>
  <c r="Q23" i="1"/>
  <c r="Q24" i="1"/>
  <c r="Q25" i="1"/>
  <c r="U25" i="1" s="1"/>
  <c r="Q26" i="1"/>
  <c r="U26" i="1" s="1"/>
  <c r="Q27" i="1"/>
  <c r="U27" i="1" s="1"/>
  <c r="Q30" i="1"/>
  <c r="Q36" i="1" s="1"/>
  <c r="Q31" i="1"/>
  <c r="Q32" i="1"/>
  <c r="Q33" i="1"/>
  <c r="U33" i="1" s="1"/>
  <c r="Q37" i="1"/>
  <c r="Q38" i="1"/>
  <c r="Q39" i="1"/>
  <c r="U39" i="1" s="1"/>
  <c r="Q40" i="1"/>
  <c r="U40" i="1" s="1"/>
  <c r="Q41" i="1"/>
  <c r="U41" i="1" s="1"/>
  <c r="Q44" i="1"/>
  <c r="Q45" i="1"/>
  <c r="Q46" i="1"/>
  <c r="U46" i="1" s="1"/>
  <c r="Q47" i="1"/>
  <c r="U47" i="1" s="1"/>
  <c r="Q48" i="1"/>
  <c r="U48" i="1" s="1"/>
  <c r="Q51" i="1"/>
  <c r="Q52" i="1"/>
  <c r="Q53" i="1"/>
  <c r="U53" i="1" s="1"/>
  <c r="Q54" i="1"/>
  <c r="U54" i="1" s="1"/>
  <c r="Q55" i="1"/>
  <c r="U55" i="1" s="1"/>
  <c r="V16" i="1"/>
  <c r="V22" i="1" s="1"/>
  <c r="V17" i="1"/>
  <c r="V21" i="1" s="1"/>
  <c r="V18" i="1"/>
  <c r="V19" i="1"/>
  <c r="V20" i="1"/>
  <c r="V34" i="1"/>
  <c r="V37" i="1"/>
  <c r="V43" i="1" s="1"/>
  <c r="V38" i="1"/>
  <c r="V42" i="1" s="1"/>
  <c r="V39" i="1"/>
  <c r="V40" i="1"/>
  <c r="V41" i="1"/>
  <c r="Q2" i="1"/>
  <c r="Q8" i="1" s="1"/>
  <c r="Q3" i="1"/>
  <c r="V3" i="1"/>
  <c r="V7" i="1" s="1"/>
  <c r="V4" i="1"/>
  <c r="V5" i="1"/>
  <c r="V6" i="1"/>
  <c r="V2" i="1"/>
  <c r="V8" i="1" s="1"/>
  <c r="U24" i="1" l="1"/>
  <c r="U28" i="1" s="1"/>
  <c r="Q28" i="1"/>
  <c r="U17" i="1"/>
  <c r="U21" i="1" s="1"/>
  <c r="Q21" i="1"/>
  <c r="U51" i="1"/>
  <c r="U57" i="1" s="1"/>
  <c r="Q57" i="1"/>
  <c r="U16" i="1"/>
  <c r="U22" i="1" s="1"/>
  <c r="Q22" i="1"/>
  <c r="U37" i="1"/>
  <c r="U43" i="1" s="1"/>
  <c r="Q43" i="1"/>
  <c r="U52" i="1"/>
  <c r="U56" i="1" s="1"/>
  <c r="Q56" i="1"/>
  <c r="U31" i="1"/>
  <c r="U35" i="1" s="1"/>
  <c r="Q35" i="1"/>
  <c r="U23" i="1"/>
  <c r="U29" i="1" s="1"/>
  <c r="Q29" i="1"/>
  <c r="U38" i="1"/>
  <c r="U42" i="1" s="1"/>
  <c r="Q42" i="1"/>
  <c r="V10" i="1"/>
  <c r="V14" i="1" s="1"/>
  <c r="R14" i="1"/>
  <c r="U44" i="1"/>
  <c r="U50" i="1" s="1"/>
  <c r="Q50" i="1"/>
  <c r="U45" i="1"/>
  <c r="U49" i="1" s="1"/>
  <c r="Q49" i="1"/>
  <c r="U10" i="1"/>
  <c r="U14" i="1" s="1"/>
  <c r="Q14" i="1"/>
  <c r="U3" i="1"/>
  <c r="U7" i="1" s="1"/>
  <c r="Q7" i="1"/>
  <c r="Q72" i="1"/>
  <c r="V60" i="1"/>
  <c r="U2" i="1"/>
  <c r="Q58" i="1"/>
  <c r="V9" i="1"/>
  <c r="V15" i="1" s="1"/>
  <c r="R65" i="1"/>
  <c r="V13" i="1"/>
  <c r="R69" i="1"/>
  <c r="R67" i="1"/>
  <c r="U9" i="1"/>
  <c r="Q65" i="1"/>
  <c r="U34" i="1"/>
  <c r="U76" i="1" s="1"/>
  <c r="Q76" i="1"/>
  <c r="V62" i="1"/>
  <c r="U30" i="1"/>
  <c r="U11" i="1"/>
  <c r="U67" i="1" s="1"/>
  <c r="Q67" i="1"/>
  <c r="U32" i="1"/>
  <c r="U74" i="1" s="1"/>
  <c r="Q74" i="1"/>
  <c r="V58" i="1"/>
  <c r="U13" i="1"/>
  <c r="U69" i="1" s="1"/>
  <c r="Q69" i="1"/>
  <c r="X44" i="1"/>
  <c r="X50" i="1" s="1"/>
  <c r="X45" i="1"/>
  <c r="X49" i="1" s="1"/>
  <c r="X46" i="1"/>
  <c r="X47" i="1"/>
  <c r="X48" i="1"/>
  <c r="X51" i="1"/>
  <c r="X57" i="1" s="1"/>
  <c r="X52" i="1"/>
  <c r="X56" i="1" s="1"/>
  <c r="X53" i="1"/>
  <c r="X54" i="1"/>
  <c r="X55" i="1"/>
  <c r="X3" i="1"/>
  <c r="X7" i="1" s="1"/>
  <c r="X4" i="1"/>
  <c r="X5" i="1"/>
  <c r="X6" i="1"/>
  <c r="X9" i="1"/>
  <c r="X15" i="1" s="1"/>
  <c r="X10" i="1"/>
  <c r="X14" i="1" s="1"/>
  <c r="X11" i="1"/>
  <c r="X12" i="1"/>
  <c r="X13" i="1"/>
  <c r="X16" i="1"/>
  <c r="X22" i="1" s="1"/>
  <c r="X17" i="1"/>
  <c r="X21" i="1" s="1"/>
  <c r="X18" i="1"/>
  <c r="X19" i="1"/>
  <c r="X20" i="1"/>
  <c r="X23" i="1"/>
  <c r="X29" i="1" s="1"/>
  <c r="X24" i="1"/>
  <c r="X28" i="1" s="1"/>
  <c r="X25" i="1"/>
  <c r="X26" i="1"/>
  <c r="X27" i="1"/>
  <c r="X30" i="1"/>
  <c r="X31" i="1"/>
  <c r="X35" i="1" s="1"/>
  <c r="X32" i="1"/>
  <c r="X74" i="1" s="1"/>
  <c r="X33" i="1"/>
  <c r="X34" i="1"/>
  <c r="X76" i="1" s="1"/>
  <c r="X37" i="1"/>
  <c r="X43" i="1" s="1"/>
  <c r="X38" i="1"/>
  <c r="X42" i="1" s="1"/>
  <c r="X39" i="1"/>
  <c r="X40" i="1"/>
  <c r="X41" i="1"/>
  <c r="X2" i="1"/>
  <c r="X8" i="1" s="1"/>
  <c r="AC20" i="1"/>
  <c r="AC27" i="1" s="1"/>
  <c r="AC6" i="1"/>
  <c r="AC62" i="1" s="1"/>
  <c r="AB55" i="1"/>
  <c r="AB54" i="1"/>
  <c r="AB53" i="1"/>
  <c r="AB52" i="1"/>
  <c r="AB56" i="1" s="1"/>
  <c r="AB51" i="1"/>
  <c r="AB57" i="1" s="1"/>
  <c r="V55" i="1"/>
  <c r="V76" i="1" s="1"/>
  <c r="V54" i="1"/>
  <c r="V53" i="1"/>
  <c r="V52" i="1"/>
  <c r="V56" i="1" s="1"/>
  <c r="V51" i="1"/>
  <c r="V57" i="1" s="1"/>
  <c r="AC48" i="1"/>
  <c r="T48" i="1"/>
  <c r="V48" i="1" s="1"/>
  <c r="T47" i="1"/>
  <c r="V47" i="1" s="1"/>
  <c r="T46" i="1"/>
  <c r="V46" i="1" s="1"/>
  <c r="T45" i="1"/>
  <c r="T44" i="1"/>
  <c r="N48" i="1"/>
  <c r="N47" i="1"/>
  <c r="N46" i="1"/>
  <c r="N45" i="1"/>
  <c r="N49" i="1" s="1"/>
  <c r="N44" i="1"/>
  <c r="N50" i="1" s="1"/>
  <c r="N27" i="1"/>
  <c r="N26" i="1"/>
  <c r="N25" i="1"/>
  <c r="N24" i="1"/>
  <c r="N28" i="1" s="1"/>
  <c r="N23" i="1"/>
  <c r="N29" i="1" s="1"/>
  <c r="N13" i="1"/>
  <c r="N12" i="1"/>
  <c r="N11" i="1"/>
  <c r="N10" i="1"/>
  <c r="N14" i="1" s="1"/>
  <c r="N9" i="1"/>
  <c r="N15" i="1" s="1"/>
  <c r="AC37" i="1"/>
  <c r="AC40" i="1"/>
  <c r="AC47" i="1" s="1"/>
  <c r="AC39" i="1"/>
  <c r="AC46" i="1" s="1"/>
  <c r="AC38" i="1"/>
  <c r="AD40" i="1"/>
  <c r="AD47" i="1" s="1"/>
  <c r="AD41" i="1"/>
  <c r="AD48" i="1" s="1"/>
  <c r="AD39" i="1"/>
  <c r="AD46" i="1" s="1"/>
  <c r="AD38" i="1"/>
  <c r="AD37" i="1"/>
  <c r="AB41" i="1"/>
  <c r="AB40" i="1"/>
  <c r="AB39" i="1"/>
  <c r="AB38" i="1"/>
  <c r="AB42" i="1" s="1"/>
  <c r="AB37" i="1"/>
  <c r="AB43" i="1" s="1"/>
  <c r="AB34" i="1"/>
  <c r="AB33" i="1"/>
  <c r="AB32" i="1"/>
  <c r="AB31" i="1"/>
  <c r="AB35" i="1" s="1"/>
  <c r="AB30" i="1"/>
  <c r="AB36" i="1" s="1"/>
  <c r="V33" i="1"/>
  <c r="V32" i="1"/>
  <c r="V31" i="1"/>
  <c r="V35" i="1" s="1"/>
  <c r="V30" i="1"/>
  <c r="V36" i="1" s="1"/>
  <c r="T27" i="1"/>
  <c r="AB27" i="1" s="1"/>
  <c r="T26" i="1"/>
  <c r="AB26" i="1" s="1"/>
  <c r="T25" i="1"/>
  <c r="AB25" i="1" s="1"/>
  <c r="T24" i="1"/>
  <c r="T23" i="1"/>
  <c r="V26" i="1"/>
  <c r="V25" i="1"/>
  <c r="V24" i="1"/>
  <c r="V28" i="1" s="1"/>
  <c r="V23" i="1"/>
  <c r="V29" i="1" s="1"/>
  <c r="AD20" i="1"/>
  <c r="AD27" i="1" s="1"/>
  <c r="AD6" i="1"/>
  <c r="AD16" i="1"/>
  <c r="AD19" i="1"/>
  <c r="AD26" i="1" s="1"/>
  <c r="AD17" i="1"/>
  <c r="AD18" i="1"/>
  <c r="AD25" i="1" s="1"/>
  <c r="AC16" i="1"/>
  <c r="AC19" i="1"/>
  <c r="AC26" i="1" s="1"/>
  <c r="AC17" i="1"/>
  <c r="AC18" i="1"/>
  <c r="AC25" i="1" s="1"/>
  <c r="AD5" i="1"/>
  <c r="AD12" i="1" s="1"/>
  <c r="AD4" i="1"/>
  <c r="AD3" i="1"/>
  <c r="AD2" i="1"/>
  <c r="AD8" i="1" s="1"/>
  <c r="AC5" i="1"/>
  <c r="AC12" i="1" s="1"/>
  <c r="AC4" i="1"/>
  <c r="AC3" i="1"/>
  <c r="AC2" i="1"/>
  <c r="AC8" i="1" s="1"/>
  <c r="AB16" i="1"/>
  <c r="AB22" i="1" s="1"/>
  <c r="AB17" i="1"/>
  <c r="AB21" i="1" s="1"/>
  <c r="AB18" i="1"/>
  <c r="AB19" i="1"/>
  <c r="AB20" i="1"/>
  <c r="T10" i="1"/>
  <c r="T14" i="1" s="1"/>
  <c r="T11" i="1"/>
  <c r="T12" i="1"/>
  <c r="AB12" i="1" s="1"/>
  <c r="T13" i="1"/>
  <c r="Q4" i="1"/>
  <c r="Q5" i="1"/>
  <c r="U5" i="1" s="1"/>
  <c r="Q6" i="1"/>
  <c r="AD45" i="1" l="1"/>
  <c r="AD49" i="1" s="1"/>
  <c r="AD42" i="1"/>
  <c r="AC24" i="1"/>
  <c r="AC28" i="1" s="1"/>
  <c r="AC21" i="1"/>
  <c r="AC45" i="1"/>
  <c r="AC49" i="1" s="1"/>
  <c r="AC42" i="1"/>
  <c r="X72" i="1"/>
  <c r="X73" i="1" s="1"/>
  <c r="X36" i="1"/>
  <c r="AB23" i="1"/>
  <c r="AB29" i="1" s="1"/>
  <c r="T29" i="1"/>
  <c r="AD24" i="1"/>
  <c r="AD28" i="1" s="1"/>
  <c r="AD21" i="1"/>
  <c r="AC44" i="1"/>
  <c r="AC50" i="1" s="1"/>
  <c r="AC43" i="1"/>
  <c r="AD44" i="1"/>
  <c r="AD50" i="1" s="1"/>
  <c r="AD43" i="1"/>
  <c r="AC23" i="1"/>
  <c r="AC29" i="1" s="1"/>
  <c r="AC22" i="1"/>
  <c r="AD23" i="1"/>
  <c r="AD29" i="1" s="1"/>
  <c r="AD22" i="1"/>
  <c r="U65" i="1"/>
  <c r="U15" i="1"/>
  <c r="V44" i="1"/>
  <c r="V50" i="1" s="1"/>
  <c r="T50" i="1"/>
  <c r="V45" i="1"/>
  <c r="V49" i="1" s="1"/>
  <c r="T49" i="1"/>
  <c r="U72" i="1"/>
  <c r="U36" i="1"/>
  <c r="AB24" i="1"/>
  <c r="AB28" i="1" s="1"/>
  <c r="T28" i="1"/>
  <c r="AD10" i="1"/>
  <c r="AD14" i="1" s="1"/>
  <c r="AD7" i="1"/>
  <c r="Q73" i="1"/>
  <c r="AC10" i="1"/>
  <c r="AC14" i="1" s="1"/>
  <c r="AC7" i="1"/>
  <c r="U58" i="1"/>
  <c r="U8" i="1"/>
  <c r="R68" i="1"/>
  <c r="X67" i="1"/>
  <c r="AB58" i="1"/>
  <c r="AD60" i="1"/>
  <c r="V61" i="1"/>
  <c r="U73" i="1"/>
  <c r="U75" i="1"/>
  <c r="AC60" i="1"/>
  <c r="AC61" i="1" s="1"/>
  <c r="Q66" i="1"/>
  <c r="U66" i="1"/>
  <c r="AD62" i="1"/>
  <c r="V59" i="1"/>
  <c r="X75" i="1"/>
  <c r="V67" i="1"/>
  <c r="X69" i="1"/>
  <c r="X68" i="1" s="1"/>
  <c r="AD58" i="1"/>
  <c r="Q68" i="1"/>
  <c r="AB74" i="1"/>
  <c r="U68" i="1"/>
  <c r="X58" i="1"/>
  <c r="AC58" i="1"/>
  <c r="X65" i="1"/>
  <c r="X62" i="1"/>
  <c r="U6" i="1"/>
  <c r="U62" i="1" s="1"/>
  <c r="Q62" i="1"/>
  <c r="N65" i="1"/>
  <c r="V72" i="1"/>
  <c r="X60" i="1"/>
  <c r="R66" i="1"/>
  <c r="AD9" i="1"/>
  <c r="AD13" i="1"/>
  <c r="AD69" i="1" s="1"/>
  <c r="T67" i="1"/>
  <c r="V74" i="1"/>
  <c r="AC13" i="1"/>
  <c r="AC69" i="1" s="1"/>
  <c r="AB76" i="1"/>
  <c r="AC11" i="1"/>
  <c r="AC67" i="1" s="1"/>
  <c r="AD11" i="1"/>
  <c r="AD67" i="1" s="1"/>
  <c r="N69" i="1"/>
  <c r="T65" i="1"/>
  <c r="AC9" i="1"/>
  <c r="U4" i="1"/>
  <c r="U60" i="1" s="1"/>
  <c r="Q60" i="1"/>
  <c r="AB13" i="1"/>
  <c r="T69" i="1"/>
  <c r="N67" i="1"/>
  <c r="AB72" i="1"/>
  <c r="Q75" i="1"/>
  <c r="AB45" i="1"/>
  <c r="AB49" i="1" s="1"/>
  <c r="AB46" i="1"/>
  <c r="AB47" i="1"/>
  <c r="AB44" i="1"/>
  <c r="AB50" i="1" s="1"/>
  <c r="AB48" i="1"/>
  <c r="V27" i="1"/>
  <c r="V69" i="1" s="1"/>
  <c r="AB9" i="1"/>
  <c r="AB15" i="1" s="1"/>
  <c r="AB10" i="1"/>
  <c r="AB14" i="1" s="1"/>
  <c r="AB11" i="1"/>
  <c r="AB3" i="1"/>
  <c r="AB7" i="1" s="1"/>
  <c r="AB4" i="1"/>
  <c r="AB60" i="1" s="1"/>
  <c r="AB5" i="1"/>
  <c r="AB6" i="1"/>
  <c r="AB62" i="1" s="1"/>
  <c r="V65" i="1" l="1"/>
  <c r="AC65" i="1"/>
  <c r="AC15" i="1"/>
  <c r="AD65" i="1"/>
  <c r="AD15" i="1"/>
  <c r="X66" i="1"/>
  <c r="AC68" i="1"/>
  <c r="AB59" i="1"/>
  <c r="AB65" i="1"/>
  <c r="AD59" i="1"/>
  <c r="AC59" i="1"/>
  <c r="AD61" i="1"/>
  <c r="V66" i="1"/>
  <c r="N66" i="1"/>
  <c r="AC66" i="1"/>
  <c r="Q61" i="1"/>
  <c r="V68" i="1"/>
  <c r="U61" i="1"/>
  <c r="AD66" i="1"/>
  <c r="T66" i="1"/>
  <c r="AD68" i="1"/>
  <c r="AB73" i="1"/>
  <c r="AB75" i="1"/>
  <c r="X59" i="1"/>
  <c r="AB69" i="1"/>
  <c r="T68" i="1"/>
  <c r="Q59" i="1"/>
  <c r="V73" i="1"/>
  <c r="X61" i="1"/>
  <c r="AB67" i="1"/>
  <c r="V75" i="1"/>
  <c r="U59" i="1"/>
  <c r="AB61" i="1"/>
  <c r="N68" i="1"/>
  <c r="AB66" i="1" l="1"/>
  <c r="AB6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tc={3F2FF353-1B69-443A-9B68-D61CA3E499A6}</author>
    <author>tc={45DC4EFF-DACF-4B4F-9DB8-B7D320BE3D2F}</author>
    <author>tc={3CF4BBB1-E5E0-4975-9077-CF983B040EA9}</author>
    <author>tc={E316524C-40C6-4ADF-893E-A55434F5AB2E}</author>
    <author>tc={5660B841-ED65-4C4E-9F2B-091EB96AA3F6}</author>
    <author>tc={5EA40E23-E27B-4554-8092-4EB5A9505F76}</author>
    <author>tc={E823D856-8B7B-4776-A1F3-660A988FE98C}</author>
    <author>tc={96E39AB5-377B-4A25-A9ED-F0280F75511F}</author>
    <author>tc={FEFEC0DB-B5CA-4B5F-A8A1-41078050B78C}</author>
  </authors>
  <commentList>
    <comment ref="L1" authorId="0" shapeId="0" xr:uid="{3F2FF353-1B69-443A-9B68-D61CA3E499A6}">
      <text>
        <t>[Threaded comment]
Your version of Excel allows you to read this threaded comment; however, any edits to it will get removed if the file is opened in a newer version of Excel. Learn more: https://go.microsoft.com/fwlink/?linkid=870924
Comment:
    Roughly guesstimated based on DEA technology data for biomass fired CHP plants, since they seem to operate roughly in similar steam temperature ranges as LWRs.</t>
      </text>
    </comment>
    <comment ref="N1" authorId="1" shapeId="0" xr:uid="{45DC4EFF-DACF-4B4F-9DB8-B7D320BE3D2F}">
      <text>
        <t>[Threaded comment]
Your version of Excel allows you to read this threaded comment; however, any edits to it will get removed if the file is opened in a newer version of Excel. Learn more: https://go.microsoft.com/fwlink/?linkid=870924
Comment:
    Note that the variable O&amp;M costs mostly DON’T include the cost of spent nuclear fuel! Although some of the `nucMax` values might.</t>
      </text>
    </comment>
    <comment ref="O1" authorId="2" shapeId="0" xr:uid="{3CF4BBB1-E5E0-4975-9077-CF983B040EA9}">
      <text>
        <t>[Threaded comment]
Your version of Excel allows you to read this threaded comment; however, any edits to it will get removed if the file is opened in a newer version of Excel. Learn more: https://go.microsoft.com/fwlink/?linkid=870924
Comment:
    `minOperationHours` and `minShutDownHours` mostly based on EUR Document 2.2-2.1.2-C. SMRs are given the benefit of the doubt.</t>
      </text>
    </comment>
    <comment ref="Q1" authorId="3" shapeId="0" xr:uid="{E316524C-40C6-4ADF-893E-A55434F5AB2E}">
      <text>
        <t>[Threaded comment]
Your version of Excel allows you to read this threaded comment; however, any edits to it will get removed if the file is opened in a newer version of Excel. Learn more: https://go.microsoft.com/fwlink/?linkid=870924
Comment:
    Warm and Hot startup parameters guesstimated based on the Cold ones by scaling with the relative `minShutDownHours` difference.</t>
      </text>
    </comment>
    <comment ref="S1" authorId="4" shapeId="0" xr:uid="{5660B841-ED65-4C4E-9F2B-091EB96AA3F6}">
      <text>
        <t>[Threaded comment]
Your version of Excel allows you to read this threaded comment; however, any edits to it will get removed if the file is opened in a newer version of Excel. Learn more: https://go.microsoft.com/fwlink/?linkid=870924
Comment:
    Legacy data? Original source unknown, maybe derived from ERAA24?</t>
      </text>
    </comment>
    <comment ref="T1" authorId="5" shapeId="0" xr:uid="{5EA40E23-E27B-4554-8092-4EB5A9505F76}">
      <text>
        <t>[Threaded comment]
Your version of Excel allows you to read this threaded comment; however, any edits to it will get removed if the file is opened in a newer version of Excel. Learn more: https://go.microsoft.com/fwlink/?linkid=870924
Comment:
    Only two startup cost values found in literature, rest are guesstimated based on legacy data.</t>
      </text>
    </comment>
    <comment ref="W1" authorId="6" shapeId="0" xr:uid="{E823D856-8B7B-4776-A1F3-660A988FE98C}">
      <text>
        <t>[Threaded comment]
Your version of Excel allows you to read this threaded comment; however, any edits to it will get removed if the file is opened in a newer version of Excel. Learn more: https://go.microsoft.com/fwlink/?linkid=870924
Comment:
    `startWarmAfterXHours´ mostly based on EUR Document 2.2-2.1.2-C</t>
      </text>
    </comment>
    <comment ref="X1" authorId="7" shapeId="0" xr:uid="{96E39AB5-377B-4A25-A9ED-F0280F75511F}">
      <text>
        <t>[Threaded comment]
Your version of Excel allows you to read this threaded comment; however, any edits to it will get removed if the file is opened in a newer version of Excel. Learn more: https://go.microsoft.com/fwlink/?linkid=870924
Comment:
    4x times warm like in ERAA24</t>
      </text>
    </comment>
    <comment ref="AA1" authorId="8" shapeId="0" xr:uid="{FEFEC0DB-B5CA-4B5F-A8A1-41078050B78C}">
      <text>
        <t>[Threaded comment]
Your version of Excel allows you to read this threaded comment; however, any edits to it will get removed if the file is opened in a newer version of Excel. Learn more: https://go.microsoft.com/fwlink/?linkid=870924
Comment:
    The max and min unit sizes in each category are well defined, but the typical reactor sizes within them is somewhat assumed.</t>
      </text>
    </comment>
  </commentList>
</comments>
</file>

<file path=xl/sharedStrings.xml><?xml version="1.0" encoding="utf-8"?>
<sst xmlns="http://schemas.openxmlformats.org/spreadsheetml/2006/main" count="667" uniqueCount="253">
  <si>
    <t>Generator_ID</t>
  </si>
  <si>
    <t>vomCosts</t>
  </si>
  <si>
    <t>minOperationHours</t>
  </si>
  <si>
    <t>minShutDownHours</t>
  </si>
  <si>
    <t>startfuelConsWarm</t>
  </si>
  <si>
    <t>startCostWarm</t>
  </si>
  <si>
    <t>startFuelConsCold</t>
  </si>
  <si>
    <t>startCostCold</t>
  </si>
  <si>
    <t>startFuelConsHot</t>
  </si>
  <si>
    <t>startCostHot</t>
  </si>
  <si>
    <t>startWarmAfterXHours</t>
  </si>
  <si>
    <t>startColdAfterXhours</t>
  </si>
  <si>
    <t>maxRampUp</t>
  </si>
  <si>
    <t>maxRampDown</t>
  </si>
  <si>
    <t>unitSize</t>
  </si>
  <si>
    <t>cb</t>
  </si>
  <si>
    <t>Nuclear</t>
  </si>
  <si>
    <t>elec</t>
  </si>
  <si>
    <t>cv</t>
  </si>
  <si>
    <t>scenario</t>
  </si>
  <si>
    <t>year</t>
  </si>
  <si>
    <t>grid_output1</t>
  </si>
  <si>
    <t>grid_output2</t>
  </si>
  <si>
    <t>grid_input1</t>
  </si>
  <si>
    <t>dheat</t>
  </si>
  <si>
    <t>unittype</t>
  </si>
  <si>
    <t>eff00</t>
  </si>
  <si>
    <t>eff01</t>
  </si>
  <si>
    <t>op00</t>
  </si>
  <si>
    <t>op01</t>
  </si>
  <si>
    <t>rampUpCost</t>
  </si>
  <si>
    <t>Note</t>
  </si>
  <si>
    <t>invCosts</t>
  </si>
  <si>
    <t>annuityFactor</t>
  </si>
  <si>
    <t>fomCosts</t>
  </si>
  <si>
    <t>Content</t>
  </si>
  <si>
    <t>Nuclear technology parameters</t>
  </si>
  <si>
    <t>Part of</t>
  </si>
  <si>
    <t>Author</t>
  </si>
  <si>
    <t>Topi Rasku &lt;topi.rasku@vtt.fi&gt;</t>
  </si>
  <si>
    <t>Last updated</t>
  </si>
  <si>
    <t>Description</t>
  </si>
  <si>
    <t>Key sheets</t>
  </si>
  <si>
    <t>unittypedata</t>
  </si>
  <si>
    <t>Contains the technology parameters for different nuclear technologies.</t>
  </si>
  <si>
    <t>Note that this is not a standalone input data file and requires the other North European model dataset as a basis.</t>
  </si>
  <si>
    <t>Discussion</t>
  </si>
  <si>
    <t>See the later "Discussion" for justification on selected input data focus, as well as some caveats.</t>
  </si>
  <si>
    <t>However, it should be noted that this limits the applicability of the output heat, as LWRs are generally only capable of max 300C heat output.</t>
  </si>
  <si>
    <t>1. Their technology is still unproven and economics uncertain (especially for Gen IV designs).</t>
  </si>
  <si>
    <t xml:space="preserve"> Whether mass production of modularized SMRs can recoup lost economies of scale remains uncertain, as SMR factories are massive upfront investments.</t>
  </si>
  <si>
    <t>SMR safety needs to be evaluated differently than traditional power plants, especially if situated in urban or industrial areas for co-generation, complicating regulatory approval processes.</t>
  </si>
  <si>
    <t>Gen IV reactors would be required for process heat in the 300-900C ranges, but those are likely decades away from commercial deployment.</t>
  </si>
  <si>
    <t>More spread out nuclear material raises concerns about security and proliferation risks for SMRs.</t>
  </si>
  <si>
    <t>2. Nuclear safety regulations and nuclear proliferation concerns need to be sorted out (again worse for Gen IV due to potentially higher enriched fuel).</t>
  </si>
  <si>
    <t>Overall, there is surprisingly little difference in SMR and NPP parameters for power generation, nor does there seem to be good reasons to expect otherwise.</t>
  </si>
  <si>
    <t>40-50% min load often considered a decent average for simpler modelling purposes.</t>
  </si>
  <si>
    <t>Likely to impact all LWR reactors somewhat equally regardless of their size.</t>
  </si>
  <si>
    <t>Low-temperature heat-only reactors might require even less time due to small size and already lower core temperatures.</t>
  </si>
  <si>
    <t>1. Minimum load avoids issues with xenon transients and soluble boron concentrations throughout the fuel cycle.</t>
  </si>
  <si>
    <t>3. Ramp limits are in place to minimize thermal stress on fuel assemblies and minize risk of fuel rod rupture.</t>
  </si>
  <si>
    <t>Technically modern reactors should also be capable of ramping down at 20%/min, but this is reserved for emergencies.</t>
  </si>
  <si>
    <t>As such, ramp limits are likely similar for NPPs and SMRs regardless of their size.</t>
  </si>
  <si>
    <t>However, low-temperature heat-only reactors might again be capable of faster ramping due to lower temperatures and thus fuel rod thermal stress?</t>
  </si>
  <si>
    <t>However, low-temperature heat-only reactors likely have significantly lower costs due to simplified design, which is at least somewhat reflected in the parameters.</t>
  </si>
  <si>
    <t>The flexible operation parameters are possibly partially better for SMRs, but concrete data on this is limited.</t>
  </si>
  <si>
    <t>nucLow</t>
  </si>
  <si>
    <t>nucTypical</t>
  </si>
  <si>
    <t>nucHigh</t>
  </si>
  <si>
    <t>nuclearLWR</t>
  </si>
  <si>
    <t>nuclearLWRchp</t>
  </si>
  <si>
    <t>nuclearSMLWR</t>
  </si>
  <si>
    <t>nuclearSMLWRchp</t>
  </si>
  <si>
    <t>nuclearMMLWR</t>
  </si>
  <si>
    <t>nuclearMMLWRchp</t>
  </si>
  <si>
    <t>[1] C. Bruynooghe, A. Eriksson, and G. Fulli, “Load-following Operating Mode at Nuclear Power</t>
  </si>
  <si>
    <t>Plants (NPPs) and Incidence on Operation and Maintenance (O&amp;M) Costs — Compatibility</t>
  </si>
  <si>
    <t>with Wind Power Variability,” Tech. Rep. EUR 245834 EN - 2010, European Commission</t>
  </si>
  <si>
    <t>Joint Research Centre Institute for Energy, Luxembourg, 2010. ISBN: 9789279175343 ISSN:</t>
  </si>
  <si>
    <t>1018-5593.</t>
  </si>
  <si>
    <t>[2] G. Simbolotti, “IEA ETSAP — Technology Brief E03 – Nuclear Power,” Apr. 2010.</t>
  </si>
  <si>
    <t>[3] Nuclear Energy Agency, “Technical and Economic Aspects of Load Following with Nuclear</t>
  </si>
  <si>
    <t>Power Plants,” tech. rep., Nuclear Energy Agency, June 2011.</t>
  </si>
  <si>
    <t>[4] EUR Association, “Chapter 2 — Performance requirements,” in European utility requirements</t>
  </si>
  <si>
    <t>for LWR nuclear power plants, vol. 2, EUR Association, revision e ed., Dec. 2016.</t>
  </si>
  <si>
    <t>[5] C. Cany, C. Mansilla, P. da Costa, G. Mathonni`ere, T. Duquesnoy, and A. Baschwitz, “Nuclear</t>
  </si>
  <si>
    <t>and intermittent renewables: Two compatible supply options? The case of the French power</t>
  </si>
  <si>
    <t>mix,” Energy Policy, vol. 95, pp. 135–146, Aug. 2016.</t>
  </si>
  <si>
    <t>[6] V. Tulkki, E. Pursiheimo, and T. J. Lindroos, District heat with Small Modular Reactors</t>
  </si>
  <si>
    <t>(SMR). VTT Technical Research Centre of Finland, 2017.</t>
  </si>
  <si>
    <t>[7] International Atomic Energy Agency, “Non-baseload Operation in Nuclear Power Plants: Load</t>
  </si>
  <si>
    <t>Following and Frequency Control Modes of Flexible Operation,” text, International Atomic</t>
  </si>
  <si>
    <t>Energy Agency, Apr. 2018. ISBN: 9789201108166 Publication Title: Non-baseload Operation</t>
  </si>
  <si>
    <t>in Nuclear Power Plants: Load Following and Frequency Control Modes of Flexible Operation.</t>
  </si>
  <si>
    <t>[8] K. V¨arri and S. Syri, “The Possible Role of Modular Nuclear Reactors in District Heating:</t>
  </si>
  <si>
    <t>Case Helsinki Region,” Energies, vol. 12, p. 2195, June 2019. Number: 11 Publisher: Multi-</t>
  </si>
  <si>
    <t>disciplinary Digital Publishing Institute.</t>
  </si>
  <si>
    <t>[9] M. Nichol and H. Desai, “Cost Competitiveness of Micro-Reactors for Remote Markets,” tech.</t>
  </si>
  <si>
    <t>rep., Nuclear Energy Institute, Apr. 2019.</t>
  </si>
  <si>
    <t>Nuclear and Renewables,” Tech. Rep. 7299, Nuclear Energy Agency, 2019.</t>
  </si>
  <si>
    <t>reactors from the perspective of integrated planning,” Progress in Nuclear Energy, vol. 118,</t>
  </si>
  <si>
    <t>p. 103106, Jan. 2020.</t>
  </si>
  <si>
    <t>Study,” Energies, vol. 13, p. 3782, July 2020. Number: 15 Publisher: Multidisciplinary Digital</t>
  </si>
  <si>
    <t>Publishing Institute.</t>
  </si>
  <si>
    <t>ities and challenges,” Progress in Nuclear Energy, vol. 138, p. 103822, Aug. 2021.</t>
  </si>
  <si>
    <t>7560, Nuclear Energy Agency, 2021.</t>
  </si>
  <si>
    <t>impacts on power systems with renewable energy,” Applied Energy, vol. 314, p. 118903, May</t>
  </si>
  <si>
    <t>analysis for heat pumps and nuclear heat in decarbonised Helsinki metropolitan district heating</t>
  </si>
  <si>
    <t>system,” Energy Storage and Saving, vol. 1, pp. 80–92, June 2022.</t>
  </si>
  <si>
    <t>multi-unit small modular reactors,” Energy, vol. 280, p. 128107, Oct. 2023.</t>
  </si>
  <si>
    <t>operation and maintenance scheduling,” Energy, vol. 313, p. 134098, Dec. 2024.</t>
  </si>
  <si>
    <t>50 Nuclear District Heating Reactor,” Energies, vol. 17, p. 3250, July 2024. Number: 13</t>
  </si>
  <si>
    <t>Publisher: Multidisciplinary Digital Publishing Institute.</t>
  </si>
  <si>
    <t>modular reactors in Europe,” Renewable and Sustainable Energy Reviews, vol. 203, p. 114743,</t>
  </si>
  <si>
    <t>Oct. 2024.</t>
  </si>
  <si>
    <t>tricity — Renewable Energy Technologies,” tech. rep., Fraunhofer Institute for Solar Energy</t>
  </si>
  <si>
    <t>Systems, Freiburg, June 2024.</t>
  </si>
  <si>
    <t>N. Stauff, K. Shirvan, and A. Stein, “Meta-Analysis of Advanced Nuclear Reactor Cost Es-</t>
  </si>
  <si>
    <t>timations,” Tech. Rep. INL/RPT–24-77048-Rev001, Idaho National Laboratory (INL), Idaho</t>
  </si>
  <si>
    <t>Falls, ID (United States), June 2024.</t>
  </si>
  <si>
    <t>Timescale Power System Operations With Temporally Coupled Sub-Models,” IEEE Trans-</t>
  </si>
  <si>
    <t>actions on Power Systems, vol. 40, pp. 793–805, Jan. 2025.</t>
  </si>
  <si>
    <t>baseload demand in capacity expansion planning for low-carbon power systems,” Applied En-</t>
  </si>
  <si>
    <t>ergy, vol. 377, p. 124366, Jan. 2025.</t>
  </si>
  <si>
    <t>Small Modular Reactors in Modern Power Systems,” Energies, vol. 18, p. 2578, May 2025.</t>
  </si>
  <si>
    <t>gies for Nuclear Integrated Energy Systems,” IEEE Access, vol. 13, pp. 118857–118873, July</t>
  </si>
  <si>
    <t>LWR reactors capable of temperatures required for "efficient" power generation are conceptually similar regardless of their size.</t>
  </si>
  <si>
    <t>What SMRs could save in mass production, they seem to lose in economies of scale (the massive upfront costs of "SMR factories" are a key economic uncertainty).</t>
  </si>
  <si>
    <t>The data is organized into 5 scenarios sampling data differently across the sources. Note that in e.g. "nucLow", all parameters are low: both technical and economical!</t>
  </si>
  <si>
    <t>nucLow - Contains low-end parameters supposedly within the realm of possibility. Sample these if you feel like using conservative technical parameters or optimistic cost assumptions.</t>
  </si>
  <si>
    <t>2. Startup/shutdown durations seem to be governed by the time it takes for the reactor core to safely heat up and cool, although thermal stress as well as xenon transients can still play a part depending on the fuel cycle.</t>
  </si>
  <si>
    <t>A "hot-hot" startup after less than 36 hours of "hot-shutdown-mode" only takes ~2 hours, while a "cold-cold" startup after e.g. a refuelling outage takes ~40 hours.</t>
  </si>
  <si>
    <t>nucHigh - Contains high-end parameters within the realm of possibility. Sample these if you want to use optimistic technical parameters or conservative cost assumptions.</t>
  </si>
  <si>
    <t>Economic competitiveness with VRE also often called into question for pure power production (outside supplying specific steady consumers outside wholesale markets).</t>
  </si>
  <si>
    <t>Based on the literature, the phenomena limiting reactor flexibility seem to relate to:</t>
  </si>
  <si>
    <t>There is a huge difference between "hot" and "cold" startups for nuclear reactors depending on the temperature of the reactor, the primary cooling circuit, and the turbine.</t>
  </si>
  <si>
    <t>Thus, this time could be noticeably lower for SMRs with smaller cores that should be faster to cool and heat up evenly, unless thermal stresses become an issue (which they shouldn't based on ramping capabilities?).</t>
  </si>
  <si>
    <t>Early in the fuel cycle, load-following between 20-100% is technically feasible under modern reactor reactivity requirements, but the last third of the cycle gradually becomes completely inflexible.</t>
  </si>
  <si>
    <t>Modern reactors should be capable of at least 3%/min in regular operation, and while TSOs can require more, 5%/min is a currently agreed-upon hard safety cap.</t>
  </si>
  <si>
    <t>Low-temperature heat-only reactors might differ in terms of xenon transients and soluble boron utilisation, yielding different minimum loads, but I would have to consult reactor dynamics specialists on the topic.</t>
  </si>
  <si>
    <t>NPPs should technically be capable of ramping between full-min-full power cycles: 2x per day, 5x per week, or 200x per year.</t>
  </si>
  <si>
    <t>The focus of this dataset is on emerging light-water micro- and small modular reactors, as well as modern conventional nuclear power plant (NPP) designs.</t>
  </si>
  <si>
    <t>LRW-SMLRW-MMLRW: Indicates whether the unit is a large LWR (~1000 MWe), a Small Modular LWR (&lt;300 MWe), or a Micro Modular LWR (&lt;50 MWth).</t>
  </si>
  <si>
    <t>1. LWR and especially PWR reactors constitute the majority of existing NPPs.</t>
  </si>
  <si>
    <t>2. Small modular LWRs are technologically more mature than alternative (Gen IV) designs, and thus likely to be commercialized first.</t>
  </si>
  <si>
    <t>3. Parameters are more plentiful and reliable due to existing experience with large LWRs, and we don't need to rely on design-specific developer-advertised values.</t>
  </si>
  <si>
    <t>The unit type data is categorized via two "axes":</t>
  </si>
  <si>
    <t>Note that this dataset is not methodologically rigorous.</t>
  </si>
  <si>
    <t>Regardless, the considerable range of uncertainty in the parameters renders this dataset more informative than anything else.</t>
  </si>
  <si>
    <t>Parameter selection was largely based on subjective estimation of source credibility, not on any well-defined meta-analysis.</t>
  </si>
  <si>
    <t>Furthermore, currencies and their respective exchange rates or their evolution were not rigorously accounted for.</t>
  </si>
  <si>
    <t>[10] T. J. Lindroos, E. Pursiheimo, V. Sahlberg, and V. Tulkki, “A techno-economic assessment of</t>
  </si>
  <si>
    <t>NuScale and DHR-400 reactors in a district heating and cooling grid,” Energy Sources, Part</t>
  </si>
  <si>
    <t>B: Economics, Planning and Policy, vol. 14, pp. 13–24, Mar. 2019.</t>
  </si>
  <si>
    <t>[11] Nuclear Energy Agency, “The Costs of Decarbonisation: System Costs with High Shares of</t>
  </si>
  <si>
    <t>[12] V. Nian and S. Zhong, “Economic feasibility of flexible energy productions by small modular</t>
  </si>
  <si>
    <t>[13] A. Ter¨asvirta, S. Syri, and P. Hiltunen, “Small Nuclear Reactor—Nordic District Heating Case</t>
  </si>
  <si>
    <t>[14] R. Testoni, A. Bersano, and S. Segantin, “Review of nuclear microreactors: Status, potential-</t>
  </si>
  <si>
    <t>[15] Nuclear Energy Agency, “Small Modular Reactors: Challenges and Opportunities,” Tech. Rep.</t>
  </si>
  <si>
    <t>[16] A. Lynch, Y. Perez, S. Gabriel, and G. Mathonniere, “Nuclear fleet flexibility: Modeling and</t>
  </si>
  <si>
    <t>[17] E. Pursiheimo, T. J. Lindroos, D. Sundell, M. R¨am¨a, and V. Tulkki, “Optimal investment</t>
  </si>
  <si>
    <t>carbonizing district heating systems: a case study of the Helsinki metropolitan area,” Nuclear</t>
  </si>
  <si>
    <t>Engineering and Design, vol. 442, p. 114262, Oct. 2025.</t>
  </si>
  <si>
    <t>Stars indicate priority sources</t>
  </si>
  <si>
    <t>e = electricity only, chp = combined heat and power, ho = heat-only</t>
  </si>
  <si>
    <t>Table source: &lt;topi.rasku@vtt.fi&gt; GG-SMR working draft</t>
  </si>
  <si>
    <t>Contains the raw data table from my original parameter gathering while delving into SMR literature.</t>
  </si>
  <si>
    <t>Conventional LWR CHP</t>
  </si>
  <si>
    <t>Conventional LWR</t>
  </si>
  <si>
    <t>Small Modular LWR</t>
  </si>
  <si>
    <t>Small Modular LWR CHP</t>
  </si>
  <si>
    <t>Small Modular LWR DH</t>
  </si>
  <si>
    <t>nuclearSMLWRdh</t>
  </si>
  <si>
    <t>CHP-DH: Indicates whether the unit is a Combined Heat and Power or a District Heat-Only unit. If not indicated, the unit is electricity only.</t>
  </si>
  <si>
    <t>Micro Modular LWR</t>
  </si>
  <si>
    <t>Micro Modular LWR CHP</t>
  </si>
  <si>
    <t>Micro Modular LWR DH</t>
  </si>
  <si>
    <t>nuclearMMLWRdh</t>
  </si>
  <si>
    <t>The main reason for this are:</t>
  </si>
  <si>
    <t>4. All mature LWR designs use Low-Enriched Uranium (LEU ~3-5% U235) fuel, whereas some Gen IV SMR designs require High-Assay LEU (HALEU ~5-20% U235), the global supply of which is much more scarce.</t>
  </si>
  <si>
    <t>nucMin - Contains extreme low-end (i.e. minimum) parameters. Likely highly unrealistic, not recommended for actual use, but included for completeness' sake.</t>
  </si>
  <si>
    <t>nucMax - Contains extreme high-end (i.e. maximum) parameters. Not recommended for actual use and included primarily for completeness' sake.</t>
  </si>
  <si>
    <t>nucMax</t>
  </si>
  <si>
    <t>nucMin</t>
  </si>
  <si>
    <t>This dataset contains more detailed nuclear technology parameters focusing on light-water reactors (LWRs) both conventional as well as micro- and small modular reactors (SMRs) for power and heat generation.</t>
  </si>
  <si>
    <t>Data could be easily based on listed sources with multiple alternatives available for comparison</t>
  </si>
  <si>
    <t>Good</t>
  </si>
  <si>
    <t>Decent</t>
  </si>
  <si>
    <t>Bad</t>
  </si>
  <si>
    <t>Derived</t>
  </si>
  <si>
    <t>Derived from other data values.</t>
  </si>
  <si>
    <t>Uses 0.9 EUR/USD average conversion rate between 2020-2025</t>
  </si>
  <si>
    <t>Data could be based on listed sources, but limited or no alternatives were available for comparison, or was used slightly outside its original intended purpose.</t>
  </si>
  <si>
    <t>CHP cost surcharge</t>
  </si>
  <si>
    <t>CHP costs surcharge estimated based on source [A] by doubling the share of "Turbine Plant Equipment" of total power plant costs.</t>
  </si>
  <si>
    <t>EUR/USD assumed conversion</t>
  </si>
  <si>
    <t>DH reactor startup costs halved due to assumed simplicity compared to CHP reactors.</t>
  </si>
  <si>
    <t>Micro reactor temperatures assumed to stabilise and cool down faster after shutdown due to smaller core size.</t>
  </si>
  <si>
    <t>Data could not be based to listed sources, and subjective guesstimation from undocumented legacy data or arbitrary extrapolation was used as a supplement.</t>
  </si>
  <si>
    <t>[18] G. Black, D. Shropshire, K. Ara´ujo, and A. van Heek, “Prospects for Nuclear Microre-</t>
  </si>
  <si>
    <t>actors: A Review of the Technology, Economics, and Regulatory Considerations,” Nu-</t>
  </si>
  <si>
    <t>clear Technology, vol. 209, pp. S1–S20, Jan. 2023. Publisher: Taylor &amp; Francis eprint:</t>
  </si>
  <si>
    <t>https://doi.org/10.1080/00295450.2022.2118626.</t>
  </si>
  <si>
    <t>[19] S. Alhadhrami, G. J. Soto, and B. Lindley, “Dispatch analysis of flexible power operation with</t>
  </si>
  <si>
    <t>[20] A. Asuega, B. J. Limb, and J. C. Quinn, “Techno-economic analysis of advanced small modular</t>
  </si>
  <si>
    <t>nuclear reactors,” Applied Energy, vol. 334, p. 120669, Mar. 2023.</t>
  </si>
  <si>
    <t>[21] A. Rigby, S. Alhadhrami, and B. Lindley, “Co-optimization of nuclear reactor flexible power</t>
  </si>
  <si>
    <t>[22] L. Sokka, H. Kirppu, and J. Lepp¨anen, “Evaluation of Life Cycle CO2 Emissions for the LDR-</t>
  </si>
  <si>
    <t>[23] N. Van Hee, H. Peremans, and P. Nimmegeers, “Economic potential and barriers of small</t>
  </si>
  <si>
    <t>[24] C. Kost, P. M¨uller, J. S. Schweiger, V. Fluri, and J. Thomsen, “Study: Levelized Cost of Elec-</t>
  </si>
  <si>
    <t>[25] A. Abou-Jaoude, C. S. Lohse, L. M. Larsen, N. Guaita, I. Trivedi, F. C. Joseck, E. Hoffman,</t>
  </si>
  <si>
    <t>[26] NREL (National Renewable Energy Laboratory), “2024 Annual Technology Baseline,” July</t>
  </si>
  <si>
    <t>[27] ENTSO-E, “ERAA 2024 Downloads,” 2024.</t>
  </si>
  <si>
    <t>[28] J. Rahman and J. Zhang, “Steady-State Modeling of Small Modular Reactors for Multi-</t>
  </si>
  <si>
    <t>[29] M. Hjelmeland, J. K. Nøland, S. Backe, and M. Korp˚as, “The role of nuclear energy and</t>
  </si>
  <si>
    <t>[30] C. K. Simoglou, I. M. Kaissas, and P. N. Biskas, “Assessing the Implications of Integrating</t>
  </si>
  <si>
    <t>[31] A. I. Arvanitidis and M. Alamaniotis, “Optimal Economic Dispatch and Load-Following Strate-</t>
  </si>
  <si>
    <t>[32] “Lazard LCOE+,” June 2025.</t>
  </si>
  <si>
    <t>[33] J.-P. Ikonen, T. J. Lindroos, and P. Hiltunen, “Feasibility of small modular reactors for de-</t>
  </si>
  <si>
    <t>Priority</t>
  </si>
  <si>
    <t>Last updated: 2025-08-25</t>
  </si>
  <si>
    <t>Discount rate</t>
  </si>
  <si>
    <t>Technical lifetime</t>
  </si>
  <si>
    <t>GG-SMR project T5.3</t>
  </si>
  <si>
    <t>nucTypical - Contains "middle-of-the-pack" parameters aiming to represent expected parameters. This scenario could be used as-is.</t>
  </si>
  <si>
    <t>Data quality on the data sheets is indicated using the following colors:</t>
  </si>
  <si>
    <t>sources</t>
  </si>
  <si>
    <t>Note that the investment costs don't cover power or district heating grid connection costs: E.g. a "Conventional LWR CHP" unit would likely require quite an atypical district heating connection due to its size and presumed distance from any urban areas.</t>
  </si>
  <si>
    <t>E.g. for the `unittype`s to appear in the final processed input data, you need to provide some scenario `unitdata` for the processing.</t>
  </si>
  <si>
    <t>Thus, the parameters aim to reflect the properties of "Gen III+" Light Water Reactors (mainly Pressurized Water Reactor, not Boiling Water Reactor).</t>
  </si>
  <si>
    <t>This makes them suitable for district heating, desalination, and some pulp &amp; paper processes, but not enough for a lot of other industrial processes or high-temperature hydrogen electrolysis.</t>
  </si>
  <si>
    <t>However, SMRs still face significant uncertainties in their deployment:</t>
  </si>
  <si>
    <t>In principle, financing costs and risks should be lower than in conventional "megaprojects" due to shorter and modular construction times.</t>
  </si>
  <si>
    <t>The main uncontested advantage of SMRs is their ability (if permitted) to operate where large NPPs cannot: isolated/maritime/mobile environments, or close to urban and industrial areas for efficient co-generation.</t>
  </si>
  <si>
    <t>In principle, startup and shutdown numbers for NPPs over the lifetime are also limited to minimize thermal/corrosive stress on the reactor core (~20 hot starts per year, ~1-2 cold starts per year), but how these apply to SMRs is unknown.</t>
  </si>
  <si>
    <t>Generic LWR</t>
  </si>
  <si>
    <t>genericLWR</t>
  </si>
  <si>
    <t>Generic LWR CHP</t>
  </si>
  <si>
    <t>genericLWRchp</t>
  </si>
  <si>
    <t>Generic LWR DH</t>
  </si>
  <si>
    <t>genericLWRdh</t>
  </si>
  <si>
    <t>Generic power-only LWR, aggregated over `Conventional LWR`, `Small Modular LWR`, and `Micro Modular LWR`.</t>
  </si>
  <si>
    <t>Generic LWR CHP, aggregated over `Conventional LWR CHP`, `Small Modular LWR CHP`, and `Micro Modular LWR CHP`.</t>
  </si>
  <si>
    <t>Generic LWR DH, aggregated over `Small Modular LWR DH`, and `Micro Modular LWR DH`.</t>
  </si>
  <si>
    <t>Also includes generic power-only, CHP, and DH LWRs aggregated over the different reactor size categories.</t>
  </si>
  <si>
    <t>2025-09-12</t>
  </si>
  <si>
    <t>nucIdeal</t>
  </si>
  <si>
    <t>nucOptimistic</t>
  </si>
  <si>
    <t>A mix of `nucLow` and `nucHigh` always sampling the advantageous parameter values.</t>
  </si>
  <si>
    <t>A mix of `nucMin` and `nucMax` always sampling the advantageous parameter values.</t>
  </si>
  <si>
    <t>Also added two curated scenarios:</t>
  </si>
  <si>
    <t>nucOptimistic - Samples `nucLow` and `nucHigh`, always using the more advantageous parameter value.</t>
  </si>
  <si>
    <t>nucIdeal - Samples `nucMin` and `nucMax`, always using the more advantageous parameter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</si>
</sst>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x14ac:knownFonts="1">
    <font>
      <sz val="11"/>
      <color rgb="FF000000"/>
      <name val="Calibri"/>
      <family val="2"/>
      <charset val="1"/>
    </font>
    <font>
      <sz val="10"/>
      <color rgb="FF000000"/>
      <name val="Arial"/>
      <family val="2"/>
      <charset val="1"/>
    </font>
    <font>
      <sz val="10"/>
      <color rgb="FF000000"/>
      <name val="Calibri"/>
      <family val="2"/>
      <charset val="1"/>
    </font>
    <font>
      <sz val="10"/>
      <name val="Arial"/>
      <family val="2"/>
    </font>
    <font>
      <sz val="11"/>
      <color rgb="FF000000"/>
      <name val="Calibri"/>
      <family val="2"/>
      <charset val="1"/>
    </font>
    <font>
      <sz val="11"/>
      <color theme="0" tint="-0.499984740745262"/>
      <name val="Calibri"/>
      <family val="2"/>
      <charset val="1"/>
    </font>
    <font>
      <sz val="11"/>
      <color theme="4" tint="-0.249977111117893"/>
      <name val="Calibri"/>
      <family val="2"/>
      <charset val="1"/>
    </font>
    <font>
      <sz val="11"/>
      <color theme="4" tint="-0.499984740745262"/>
      <name val="Calibri"/>
      <family val="2"/>
      <charset val="1"/>
    </font>
    <font>
      <sz val="11"/>
      <name val="Calibri"/>
      <family val="2"/>
      <charset val="1"/>
    </font>
    <font>
      <sz val="11"/>
      <color rgb="FF000000"/>
      <name val="Calibri"/>
      <family val="2"/>
    </font>
    <font>
      <sz val="11"/>
      <color theme="0" tint="-0.499984740745262"/>
      <name val="Calibri"/>
      <family val="2"/>
    </font>
    <font>
      <b/>
      <sz val="11"/>
      <color theme="3"/>
      <name val="Arial"/>
      <family val="2"/>
      <scheme val="minor"/>
    </font>
    <font>
      <i/>
      <sz val="11"/>
      <color rgb="FF7F7F7F"/>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b/>
      <sz val="11"/>
      <color rgb="FFFA7D00"/>
      <name val="Arial"/>
      <family val="2"/>
      <scheme val="minor"/>
    </font>
  </fonts>
  <fills count="10">
    <fill>
      <patternFill patternType="none"/>
    </fill>
    <fill>
      <patternFill patternType="gray125"/>
    </fill>
    <fill>
      <patternFill patternType="solid">
        <fgColor rgb="FFFFAFAF"/>
        <bgColor rgb="FFFF99CC"/>
      </patternFill>
    </fill>
    <fill>
      <patternFill patternType="solid">
        <fgColor rgb="FF87CB3D"/>
        <bgColor rgb="FFFF99CC"/>
      </patternFill>
    </fill>
    <fill>
      <patternFill patternType="solid">
        <fgColor rgb="FFFDA56F"/>
        <bgColor rgb="FFFF99CC"/>
      </patternFill>
    </fill>
    <fill>
      <patternFill patternType="solid">
        <fgColor rgb="FFFF7171"/>
        <bgColor rgb="FFFF99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3">
    <border>
      <left/>
      <right/>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s>
  <cellStyleXfs count="9">
    <xf numFmtId="0" fontId="0" fillId="0" borderId="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3" fillId="0" borderId="0"/>
    <xf numFmtId="0" fontId="13" fillId="6" borderId="0" applyNumberFormat="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2" applyNumberFormat="0" applyAlignment="0" applyProtection="0"/>
  </cellStyleXfs>
  <cellXfs count="29">
    <xf numFmtId="0" fontId="0" fillId="0" borderId="0" xfId="0"/>
    <xf numFmtId="0" fontId="2"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0" fillId="0" borderId="0" xfId="0" applyAlignment="1">
      <alignment horizontal="left"/>
    </xf>
    <xf numFmtId="0" fontId="1" fillId="2" borderId="1" xfId="1" applyFont="1" applyFill="1" applyBorder="1" applyAlignment="1">
      <alignment wrapText="1"/>
    </xf>
    <xf numFmtId="0" fontId="1" fillId="2" borderId="0" xfId="1" applyFont="1" applyFill="1" applyAlignment="1">
      <alignment wrapText="1"/>
    </xf>
    <xf numFmtId="0" fontId="1" fillId="3" borderId="1" xfId="1" applyFont="1" applyFill="1" applyBorder="1" applyAlignment="1">
      <alignment wrapText="1"/>
    </xf>
    <xf numFmtId="0" fontId="1" fillId="4" borderId="1" xfId="1" applyFont="1" applyFill="1" applyBorder="1" applyAlignment="1">
      <alignment wrapText="1"/>
    </xf>
    <xf numFmtId="0" fontId="1" fillId="5" borderId="1" xfId="1" applyFont="1" applyFill="1" applyBorder="1" applyAlignment="1">
      <alignment wrapText="1"/>
    </xf>
    <xf numFmtId="49" fontId="11" fillId="0" borderId="0" xfId="2" applyNumberFormat="1"/>
    <xf numFmtId="49" fontId="12" fillId="0" borderId="0" xfId="3" applyNumberFormat="1"/>
    <xf numFmtId="0" fontId="12" fillId="0" borderId="0" xfId="3"/>
    <xf numFmtId="0" fontId="13" fillId="6" borderId="0" xfId="5"/>
    <xf numFmtId="0" fontId="15" fillId="8" borderId="0" xfId="7"/>
    <xf numFmtId="0" fontId="14" fillId="7" borderId="0" xfId="6"/>
    <xf numFmtId="49" fontId="13" fillId="6" borderId="0" xfId="5" applyNumberFormat="1"/>
    <xf numFmtId="49" fontId="15" fillId="8" borderId="0" xfId="7" applyNumberFormat="1"/>
    <xf numFmtId="49" fontId="14" fillId="7" borderId="0" xfId="6" applyNumberFormat="1"/>
    <xf numFmtId="49" fontId="16" fillId="9" borderId="2" xfId="8" applyNumberFormat="1"/>
    <xf numFmtId="0" fontId="16" fillId="9" borderId="2" xfId="8"/>
    <xf numFmtId="0" fontId="13" fillId="6" borderId="0" xfId="5" applyBorder="1"/>
    <xf numFmtId="0" fontId="14" fillId="7" borderId="0" xfId="6" applyBorder="1"/>
    <xf numFmtId="0" fontId="15" fillId="8" borderId="0" xfId="7" applyBorder="1"/>
    <xf numFmtId="164" fontId="0" fillId="0" borderId="0" xfId="0" applyNumberFormat="1"/>
  </cellXfs>
  <cellStyles count="9">
    <cellStyle name="Bad" xfId="6" builtinId="27"/>
    <cellStyle name="Calculation" xfId="8" builtinId="22"/>
    <cellStyle name="Explanatory Text" xfId="3" builtinId="53"/>
    <cellStyle name="Good" xfId="5" builtinId="26"/>
    <cellStyle name="Heading 4" xfId="2" builtinId="19"/>
    <cellStyle name="Neutral" xfId="7" builtinId="28"/>
    <cellStyle name="Normal" xfId="0" builtinId="0"/>
    <cellStyle name="Normal 2" xfId="4" xr:uid="{91DB56C7-13B4-40B7-9643-8E98D5725448}"/>
    <cellStyle name="Standard_Data provided by OT3"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BBE33D"/>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C49100"/>
      <color rgb="FFCC9900"/>
      <color rgb="FFFF7171"/>
      <color rgb="FFFECCB0"/>
      <color rgb="FFFDA56F"/>
      <color rgb="FF87CB3D"/>
      <color rgb="FFFFAFAF"/>
      <color rgb="FFEDFF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277965</xdr:colOff>
      <xdr:row>49</xdr:row>
      <xdr:rowOff>134671</xdr:rowOff>
    </xdr:to>
    <xdr:pic>
      <xdr:nvPicPr>
        <xdr:cNvPr id="3" name="Picture 2">
          <a:extLst>
            <a:ext uri="{FF2B5EF4-FFF2-40B4-BE49-F238E27FC236}">
              <a16:creationId xmlns:a16="http://schemas.microsoft.com/office/drawing/2014/main" id="{8DAE7551-65F7-490F-91DD-E827A3124141}"/>
            </a:ext>
          </a:extLst>
        </xdr:cNvPr>
        <xdr:cNvPicPr>
          <a:picLocks noChangeAspect="1"/>
        </xdr:cNvPicPr>
      </xdr:nvPicPr>
      <xdr:blipFill>
        <a:blip xmlns:r="http://schemas.openxmlformats.org/officeDocument/2006/relationships" r:embed="rId1"/>
        <a:stretch>
          <a:fillRect/>
        </a:stretch>
      </xdr:blipFill>
      <xdr:spPr>
        <a:xfrm>
          <a:off x="0" y="0"/>
          <a:ext cx="12469965" cy="946917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asku Topi" id="{0FC40365-7D57-4FC2-80F3-DC368BAD6BC2}" userId="S::topi.rasku@vtt.fi::f32b0145-fb49-43de-bfc3-ef6b614a4dd4" providerId="AD"/>
</personList>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 dT="2025-08-25T06:34:11.54" personId="{0FC40365-7D57-4FC2-80F3-DC368BAD6BC2}" id="{3F2FF353-1B69-443A-9B68-D61CA3E499A6}">
    <text>Roughly guesstimated based on DEA technology data for biomass fired CHP plants, since they seem to operate roughly in similar steam temperature ranges as LWRs.</text>
  </threadedComment>
  <threadedComment ref="N1" dT="2025-08-25T10:07:53.45" personId="{0FC40365-7D57-4FC2-80F3-DC368BAD6BC2}" id="{45DC4EFF-DACF-4B4F-9DB8-B7D320BE3D2F}">
    <text>Note that the variable O&amp;M costs mostly DON’T include the cost of spent nuclear fuel! Although some of the `nucMax` values might.</text>
  </threadedComment>
  <threadedComment ref="O1" dT="2025-08-25T05:07:38.37" personId="{0FC40365-7D57-4FC2-80F3-DC368BAD6BC2}" id="{3CF4BBB1-E5E0-4975-9077-CF983B040EA9}">
    <text>`minOperationHours` and `minShutDownHours` mostly based on EUR Document 2.2-2.1.2-C. SMRs are given the benefit of the doubt.</text>
  </threadedComment>
  <threadedComment ref="Q1" dT="2025-08-25T05:09:50.60" personId="{0FC40365-7D57-4FC2-80F3-DC368BAD6BC2}" id="{E316524C-40C6-4ADF-893E-A55434F5AB2E}">
    <text>Warm and Hot startup parameters guesstimated based on the Cold ones by scaling with the relative `minShutDownHours` difference.</text>
  </threadedComment>
  <threadedComment ref="S1" dT="2025-08-25T05:10:11.63" personId="{0FC40365-7D57-4FC2-80F3-DC368BAD6BC2}" id="{5660B841-ED65-4C4E-9F2B-091EB96AA3F6}">
    <text>Legacy data? Original source unknown, maybe derived from ERAA24?</text>
  </threadedComment>
  <threadedComment ref="T1" dT="2025-08-25T05:10:42.67" personId="{0FC40365-7D57-4FC2-80F3-DC368BAD6BC2}" id="{5EA40E23-E27B-4554-8092-4EB5A9505F76}">
    <text>Only two startup cost values found in literature, rest are guesstimated based on legacy data.</text>
  </threadedComment>
  <threadedComment ref="W1" dT="2025-08-25T05:16:01.16" personId="{0FC40365-7D57-4FC2-80F3-DC368BAD6BC2}" id="{E823D856-8B7B-4776-A1F3-660A988FE98C}">
    <text>`startWarmAfterXHours´ mostly based on EUR Document 2.2-2.1.2-C</text>
  </threadedComment>
  <threadedComment ref="X1" dT="2025-08-25T12:58:22.49" personId="{0FC40365-7D57-4FC2-80F3-DC368BAD6BC2}" id="{96E39AB5-377B-4A25-A9ED-F0280F75511F}">
    <text>4x times warm like in ERAA24</text>
  </threadedComment>
  <threadedComment ref="AA1" dT="2025-08-25T09:31:04.15" personId="{0FC40365-7D57-4FC2-80F3-DC368BAD6BC2}" id="{FEFEC0DB-B5CA-4B5F-A8A1-41078050B78C}">
    <text>The max and min unit sizes in each category are well defined, but the typical reactor sizes within them is somewhat assumed.</text>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663F0-AB1A-46E8-8388-53B6D5FF1219}">
  <dimension ref="A1:D85"/>
  <sheetViews>
    <sheetView tabSelected="1" workbookViewId="0">
      <selection activeCell="C20" sqref="C20"/>
    </sheetView>
  </sheetViews>
  <sheetFormatPr defaultRowHeight="15" x14ac:dyDescent="0.25"/>
  <cols>
    <col min="1" max="1" width="14.28515625" style="14" bestFit="1" customWidth="1"/>
    <col min="2" max="16384" width="9.140625" style="15"/>
  </cols>
  <sheetData>
    <row r="1" spans="1:3" x14ac:dyDescent="0.25">
      <c r="A1" s="14" t="s">
        <v>35</v>
      </c>
      <c r="B1" s="15" t="s">
        <v>36</v>
      </c>
    </row>
    <row r="2" spans="1:3" x14ac:dyDescent="0.25">
      <c r="A2" s="14" t="s">
        <v>37</v>
      </c>
      <c r="B2" s="15" t="s">
        <v>223</v>
      </c>
    </row>
    <row r="3" spans="1:3" x14ac:dyDescent="0.25">
      <c r="A3" s="14" t="s">
        <v>38</v>
      </c>
      <c r="B3" s="15" t="s">
        <v>39</v>
      </c>
    </row>
    <row r="4" spans="1:3" x14ac:dyDescent="0.25">
      <c r="A4" s="14" t="s">
        <v>40</v>
      </c>
      <c r="B4" s="15" t="s">
        <v>245</v>
      </c>
    </row>
    <row r="6" spans="1:3" x14ac:dyDescent="0.25">
      <c r="A6" s="14" t="s">
        <v>41</v>
      </c>
      <c r="B6" s="15" t="s">
        <v>184</v>
      </c>
    </row>
    <row r="7" spans="1:3" x14ac:dyDescent="0.25">
      <c r="B7" s="15" t="s">
        <v>45</v>
      </c>
    </row>
    <row r="8" spans="1:3" x14ac:dyDescent="0.25">
      <c r="B8" s="15" t="s">
        <v>228</v>
      </c>
    </row>
    <row r="9" spans="1:3" x14ac:dyDescent="0.25">
      <c r="B9" s="15" t="s">
        <v>47</v>
      </c>
    </row>
    <row r="11" spans="1:3" x14ac:dyDescent="0.25">
      <c r="B11" s="15" t="s">
        <v>128</v>
      </c>
    </row>
    <row r="12" spans="1:3" x14ac:dyDescent="0.25">
      <c r="C12" s="15" t="s">
        <v>180</v>
      </c>
    </row>
    <row r="13" spans="1:3" x14ac:dyDescent="0.25">
      <c r="C13" s="15" t="s">
        <v>129</v>
      </c>
    </row>
    <row r="14" spans="1:3" x14ac:dyDescent="0.25">
      <c r="C14" s="15" t="s">
        <v>224</v>
      </c>
    </row>
    <row r="15" spans="1:3" x14ac:dyDescent="0.25">
      <c r="C15" s="15" t="s">
        <v>132</v>
      </c>
    </row>
    <row r="16" spans="1:3" x14ac:dyDescent="0.25">
      <c r="C16" s="15" t="s">
        <v>181</v>
      </c>
    </row>
    <row r="17" spans="2:3" x14ac:dyDescent="0.25">
      <c r="B17" s="15" t="s">
        <v>250</v>
      </c>
    </row>
    <row r="18" spans="2:3" x14ac:dyDescent="0.25">
      <c r="C18" s="15" t="s">
        <v>251</v>
      </c>
    </row>
    <row r="19" spans="2:3" x14ac:dyDescent="0.25">
      <c r="C19" s="15" t="s">
        <v>252</v>
      </c>
    </row>
    <row r="21" spans="2:3" x14ac:dyDescent="0.25">
      <c r="B21" s="15" t="s">
        <v>146</v>
      </c>
    </row>
    <row r="22" spans="2:3" x14ac:dyDescent="0.25">
      <c r="C22" s="15" t="s">
        <v>142</v>
      </c>
    </row>
    <row r="23" spans="2:3" x14ac:dyDescent="0.25">
      <c r="C23" s="15" t="s">
        <v>173</v>
      </c>
    </row>
    <row r="24" spans="2:3" x14ac:dyDescent="0.25">
      <c r="C24" s="15" t="s">
        <v>227</v>
      </c>
    </row>
    <row r="25" spans="2:3" x14ac:dyDescent="0.25">
      <c r="B25" s="15" t="s">
        <v>244</v>
      </c>
    </row>
    <row r="27" spans="2:3" x14ac:dyDescent="0.25">
      <c r="B27" s="15" t="s">
        <v>147</v>
      </c>
    </row>
    <row r="28" spans="2:3" x14ac:dyDescent="0.25">
      <c r="B28" s="15" t="s">
        <v>149</v>
      </c>
    </row>
    <row r="29" spans="2:3" x14ac:dyDescent="0.25">
      <c r="B29" s="15" t="s">
        <v>150</v>
      </c>
    </row>
    <row r="30" spans="2:3" x14ac:dyDescent="0.25">
      <c r="B30" s="15" t="s">
        <v>148</v>
      </c>
    </row>
    <row r="32" spans="2:3" x14ac:dyDescent="0.25">
      <c r="B32" s="15" t="s">
        <v>225</v>
      </c>
    </row>
    <row r="33" spans="1:3" x14ac:dyDescent="0.25">
      <c r="B33" s="20" t="s">
        <v>186</v>
      </c>
      <c r="C33" s="15" t="s">
        <v>185</v>
      </c>
    </row>
    <row r="34" spans="1:3" x14ac:dyDescent="0.25">
      <c r="B34" s="21" t="s">
        <v>187</v>
      </c>
      <c r="C34" s="15" t="s">
        <v>192</v>
      </c>
    </row>
    <row r="35" spans="1:3" x14ac:dyDescent="0.25">
      <c r="B35" s="22" t="s">
        <v>188</v>
      </c>
      <c r="C35" s="15" t="s">
        <v>198</v>
      </c>
    </row>
    <row r="36" spans="1:3" x14ac:dyDescent="0.25">
      <c r="B36" s="23" t="s">
        <v>189</v>
      </c>
      <c r="C36" s="15" t="s">
        <v>190</v>
      </c>
    </row>
    <row r="38" spans="1:3" x14ac:dyDescent="0.25">
      <c r="A38" s="14" t="s">
        <v>42</v>
      </c>
    </row>
    <row r="39" spans="1:3" x14ac:dyDescent="0.25">
      <c r="A39" s="14" t="s">
        <v>226</v>
      </c>
      <c r="B39" s="15" t="s">
        <v>166</v>
      </c>
    </row>
    <row r="40" spans="1:3" x14ac:dyDescent="0.25">
      <c r="A40" s="14" t="s">
        <v>43</v>
      </c>
      <c r="B40" s="15" t="s">
        <v>44</v>
      </c>
    </row>
    <row r="42" spans="1:3" x14ac:dyDescent="0.25">
      <c r="A42" s="14" t="s">
        <v>46</v>
      </c>
      <c r="B42" s="15" t="s">
        <v>141</v>
      </c>
    </row>
    <row r="43" spans="1:3" x14ac:dyDescent="0.25">
      <c r="B43" s="15" t="s">
        <v>229</v>
      </c>
    </row>
    <row r="44" spans="1:3" x14ac:dyDescent="0.25">
      <c r="B44" s="15" t="s">
        <v>178</v>
      </c>
    </row>
    <row r="45" spans="1:3" x14ac:dyDescent="0.25">
      <c r="C45" s="15" t="s">
        <v>143</v>
      </c>
    </row>
    <row r="46" spans="1:3" x14ac:dyDescent="0.25">
      <c r="C46" s="15" t="s">
        <v>144</v>
      </c>
    </row>
    <row r="47" spans="1:3" x14ac:dyDescent="0.25">
      <c r="C47" s="15" t="s">
        <v>145</v>
      </c>
    </row>
    <row r="48" spans="1:3" x14ac:dyDescent="0.25">
      <c r="C48" s="15" t="s">
        <v>179</v>
      </c>
    </row>
    <row r="49" spans="2:4" x14ac:dyDescent="0.25">
      <c r="B49" s="15" t="s">
        <v>48</v>
      </c>
    </row>
    <row r="50" spans="2:4" x14ac:dyDescent="0.25">
      <c r="B50" s="15" t="s">
        <v>230</v>
      </c>
    </row>
    <row r="51" spans="2:4" x14ac:dyDescent="0.25">
      <c r="B51" s="15" t="s">
        <v>52</v>
      </c>
    </row>
    <row r="53" spans="2:4" x14ac:dyDescent="0.25">
      <c r="B53" s="15" t="s">
        <v>233</v>
      </c>
    </row>
    <row r="54" spans="2:4" x14ac:dyDescent="0.25">
      <c r="B54" s="15" t="s">
        <v>231</v>
      </c>
    </row>
    <row r="55" spans="2:4" x14ac:dyDescent="0.25">
      <c r="C55" s="15" t="s">
        <v>49</v>
      </c>
    </row>
    <row r="56" spans="2:4" x14ac:dyDescent="0.25">
      <c r="D56" s="15" t="s">
        <v>50</v>
      </c>
    </row>
    <row r="57" spans="2:4" x14ac:dyDescent="0.25">
      <c r="D57" s="15" t="s">
        <v>232</v>
      </c>
    </row>
    <row r="58" spans="2:4" x14ac:dyDescent="0.25">
      <c r="D58" s="15" t="s">
        <v>133</v>
      </c>
    </row>
    <row r="59" spans="2:4" x14ac:dyDescent="0.25">
      <c r="C59" s="15" t="s">
        <v>54</v>
      </c>
    </row>
    <row r="60" spans="2:4" x14ac:dyDescent="0.25">
      <c r="D60" s="15" t="s">
        <v>51</v>
      </c>
    </row>
    <row r="61" spans="2:4" x14ac:dyDescent="0.25">
      <c r="D61" s="15" t="s">
        <v>53</v>
      </c>
    </row>
    <row r="63" spans="2:4" x14ac:dyDescent="0.25">
      <c r="B63" s="15" t="s">
        <v>55</v>
      </c>
    </row>
    <row r="64" spans="2:4" x14ac:dyDescent="0.25">
      <c r="B64" s="15" t="s">
        <v>126</v>
      </c>
    </row>
    <row r="65" spans="2:4" x14ac:dyDescent="0.25">
      <c r="B65" s="15" t="s">
        <v>127</v>
      </c>
    </row>
    <row r="66" spans="2:4" x14ac:dyDescent="0.25">
      <c r="B66" s="15" t="s">
        <v>64</v>
      </c>
    </row>
    <row r="67" spans="2:4" x14ac:dyDescent="0.25">
      <c r="B67" s="15" t="s">
        <v>65</v>
      </c>
    </row>
    <row r="68" spans="2:4" x14ac:dyDescent="0.25">
      <c r="B68" s="15" t="s">
        <v>134</v>
      </c>
    </row>
    <row r="69" spans="2:4" x14ac:dyDescent="0.25">
      <c r="C69" s="15" t="s">
        <v>59</v>
      </c>
    </row>
    <row r="70" spans="2:4" x14ac:dyDescent="0.25">
      <c r="D70" s="15" t="s">
        <v>57</v>
      </c>
    </row>
    <row r="71" spans="2:4" x14ac:dyDescent="0.25">
      <c r="D71" s="15" t="s">
        <v>137</v>
      </c>
    </row>
    <row r="72" spans="2:4" x14ac:dyDescent="0.25">
      <c r="D72" s="15" t="s">
        <v>56</v>
      </c>
    </row>
    <row r="73" spans="2:4" x14ac:dyDescent="0.25">
      <c r="D73" s="15" t="s">
        <v>139</v>
      </c>
    </row>
    <row r="74" spans="2:4" x14ac:dyDescent="0.25">
      <c r="C74" s="15" t="s">
        <v>130</v>
      </c>
    </row>
    <row r="75" spans="2:4" x14ac:dyDescent="0.25">
      <c r="D75" s="15" t="s">
        <v>136</v>
      </c>
    </row>
    <row r="76" spans="2:4" x14ac:dyDescent="0.25">
      <c r="D76" s="15" t="s">
        <v>135</v>
      </c>
    </row>
    <row r="77" spans="2:4" x14ac:dyDescent="0.25">
      <c r="D77" s="15" t="s">
        <v>131</v>
      </c>
    </row>
    <row r="78" spans="2:4" x14ac:dyDescent="0.25">
      <c r="D78" s="15" t="s">
        <v>234</v>
      </c>
    </row>
    <row r="79" spans="2:4" x14ac:dyDescent="0.25">
      <c r="D79" s="15" t="s">
        <v>58</v>
      </c>
    </row>
    <row r="80" spans="2:4" x14ac:dyDescent="0.25">
      <c r="C80" s="15" t="s">
        <v>60</v>
      </c>
    </row>
    <row r="81" spans="4:4" x14ac:dyDescent="0.25">
      <c r="D81" s="15" t="s">
        <v>62</v>
      </c>
    </row>
    <row r="82" spans="4:4" x14ac:dyDescent="0.25">
      <c r="D82" s="15" t="s">
        <v>138</v>
      </c>
    </row>
    <row r="83" spans="4:4" x14ac:dyDescent="0.25">
      <c r="D83" s="15" t="s">
        <v>61</v>
      </c>
    </row>
    <row r="84" spans="4:4" x14ac:dyDescent="0.25">
      <c r="D84" s="15" t="s">
        <v>140</v>
      </c>
    </row>
    <row r="85" spans="4:4" x14ac:dyDescent="0.25">
      <c r="D85" s="15"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66E7C-55B1-4C4C-A9E3-DDF36BAAB86E}">
  <dimension ref="A51:B143"/>
  <sheetViews>
    <sheetView workbookViewId="0">
      <selection activeCell="A56" sqref="A56"/>
    </sheetView>
  </sheetViews>
  <sheetFormatPr defaultRowHeight="15" x14ac:dyDescent="0.25"/>
  <cols>
    <col min="1" max="1" width="9.140625" style="16"/>
  </cols>
  <sheetData>
    <row r="51" spans="1:2" x14ac:dyDescent="0.25">
      <c r="A51" s="16" t="s">
        <v>163</v>
      </c>
    </row>
    <row r="52" spans="1:2" x14ac:dyDescent="0.25">
      <c r="A52" s="16" t="s">
        <v>164</v>
      </c>
    </row>
    <row r="54" spans="1:2" x14ac:dyDescent="0.25">
      <c r="A54" s="16" t="s">
        <v>165</v>
      </c>
    </row>
    <row r="55" spans="1:2" x14ac:dyDescent="0.25">
      <c r="A55" s="16" t="s">
        <v>220</v>
      </c>
    </row>
    <row r="57" spans="1:2" x14ac:dyDescent="0.25">
      <c r="A57" s="16" t="s">
        <v>219</v>
      </c>
      <c r="B57" s="16" t="s">
        <v>75</v>
      </c>
    </row>
    <row r="58" spans="1:2" x14ac:dyDescent="0.25">
      <c r="B58" s="16" t="s">
        <v>76</v>
      </c>
    </row>
    <row r="59" spans="1:2" x14ac:dyDescent="0.25">
      <c r="B59" s="16" t="s">
        <v>77</v>
      </c>
    </row>
    <row r="60" spans="1:2" x14ac:dyDescent="0.25">
      <c r="B60" s="16" t="s">
        <v>78</v>
      </c>
    </row>
    <row r="61" spans="1:2" x14ac:dyDescent="0.25">
      <c r="B61" s="16" t="s">
        <v>79</v>
      </c>
    </row>
    <row r="62" spans="1:2" x14ac:dyDescent="0.25">
      <c r="B62" s="16" t="s">
        <v>80</v>
      </c>
    </row>
    <row r="63" spans="1:2" x14ac:dyDescent="0.25">
      <c r="B63" s="16" t="s">
        <v>81</v>
      </c>
    </row>
    <row r="64" spans="1:2" x14ac:dyDescent="0.25">
      <c r="B64" s="16" t="s">
        <v>82</v>
      </c>
    </row>
    <row r="65" spans="1:2" x14ac:dyDescent="0.25">
      <c r="A65" s="16" t="s">
        <v>219</v>
      </c>
      <c r="B65" s="16" t="s">
        <v>83</v>
      </c>
    </row>
    <row r="66" spans="1:2" x14ac:dyDescent="0.25">
      <c r="B66" s="16" t="s">
        <v>84</v>
      </c>
    </row>
    <row r="67" spans="1:2" x14ac:dyDescent="0.25">
      <c r="B67" s="16" t="s">
        <v>85</v>
      </c>
    </row>
    <row r="68" spans="1:2" x14ac:dyDescent="0.25">
      <c r="B68" s="16" t="s">
        <v>86</v>
      </c>
    </row>
    <row r="69" spans="1:2" x14ac:dyDescent="0.25">
      <c r="B69" s="16" t="s">
        <v>87</v>
      </c>
    </row>
    <row r="70" spans="1:2" x14ac:dyDescent="0.25">
      <c r="B70" s="16" t="s">
        <v>88</v>
      </c>
    </row>
    <row r="71" spans="1:2" x14ac:dyDescent="0.25">
      <c r="B71" s="16" t="s">
        <v>89</v>
      </c>
    </row>
    <row r="72" spans="1:2" x14ac:dyDescent="0.25">
      <c r="A72" s="16" t="s">
        <v>219</v>
      </c>
      <c r="B72" s="16" t="s">
        <v>90</v>
      </c>
    </row>
    <row r="73" spans="1:2" x14ac:dyDescent="0.25">
      <c r="B73" s="16" t="s">
        <v>91</v>
      </c>
    </row>
    <row r="74" spans="1:2" x14ac:dyDescent="0.25">
      <c r="B74" s="16" t="s">
        <v>92</v>
      </c>
    </row>
    <row r="75" spans="1:2" x14ac:dyDescent="0.25">
      <c r="B75" s="16" t="s">
        <v>93</v>
      </c>
    </row>
    <row r="76" spans="1:2" x14ac:dyDescent="0.25">
      <c r="B76" s="16" t="s">
        <v>94</v>
      </c>
    </row>
    <row r="77" spans="1:2" x14ac:dyDescent="0.25">
      <c r="B77" s="16" t="s">
        <v>95</v>
      </c>
    </row>
    <row r="78" spans="1:2" x14ac:dyDescent="0.25">
      <c r="B78" s="16" t="s">
        <v>96</v>
      </c>
    </row>
    <row r="79" spans="1:2" x14ac:dyDescent="0.25">
      <c r="B79" s="16" t="s">
        <v>97</v>
      </c>
    </row>
    <row r="80" spans="1:2" x14ac:dyDescent="0.25">
      <c r="B80" s="16" t="s">
        <v>98</v>
      </c>
    </row>
    <row r="81" spans="1:2" x14ac:dyDescent="0.25">
      <c r="A81" s="16" t="s">
        <v>219</v>
      </c>
      <c r="B81" s="16" t="s">
        <v>151</v>
      </c>
    </row>
    <row r="82" spans="1:2" x14ac:dyDescent="0.25">
      <c r="B82" s="16" t="s">
        <v>152</v>
      </c>
    </row>
    <row r="83" spans="1:2" x14ac:dyDescent="0.25">
      <c r="B83" s="16" t="s">
        <v>153</v>
      </c>
    </row>
    <row r="84" spans="1:2" x14ac:dyDescent="0.25">
      <c r="B84" s="16" t="s">
        <v>154</v>
      </c>
    </row>
    <row r="85" spans="1:2" x14ac:dyDescent="0.25">
      <c r="B85" s="16" t="s">
        <v>99</v>
      </c>
    </row>
    <row r="86" spans="1:2" x14ac:dyDescent="0.25">
      <c r="B86" s="16" t="s">
        <v>155</v>
      </c>
    </row>
    <row r="87" spans="1:2" x14ac:dyDescent="0.25">
      <c r="B87" s="16" t="s">
        <v>100</v>
      </c>
    </row>
    <row r="88" spans="1:2" x14ac:dyDescent="0.25">
      <c r="B88" s="16" t="s">
        <v>101</v>
      </c>
    </row>
    <row r="89" spans="1:2" x14ac:dyDescent="0.25">
      <c r="B89" s="16" t="s">
        <v>156</v>
      </c>
    </row>
    <row r="90" spans="1:2" x14ac:dyDescent="0.25">
      <c r="B90" s="16" t="s">
        <v>102</v>
      </c>
    </row>
    <row r="91" spans="1:2" x14ac:dyDescent="0.25">
      <c r="B91" s="16" t="s">
        <v>103</v>
      </c>
    </row>
    <row r="92" spans="1:2" x14ac:dyDescent="0.25">
      <c r="B92" s="16" t="s">
        <v>157</v>
      </c>
    </row>
    <row r="93" spans="1:2" x14ac:dyDescent="0.25">
      <c r="B93" s="16" t="s">
        <v>104</v>
      </c>
    </row>
    <row r="94" spans="1:2" x14ac:dyDescent="0.25">
      <c r="B94" s="16" t="s">
        <v>158</v>
      </c>
    </row>
    <row r="95" spans="1:2" x14ac:dyDescent="0.25">
      <c r="B95" s="16" t="s">
        <v>105</v>
      </c>
    </row>
    <row r="96" spans="1:2" x14ac:dyDescent="0.25">
      <c r="B96" s="16" t="s">
        <v>159</v>
      </c>
    </row>
    <row r="97" spans="2:2" x14ac:dyDescent="0.25">
      <c r="B97" s="16" t="s">
        <v>106</v>
      </c>
    </row>
    <row r="98" spans="2:2" x14ac:dyDescent="0.25">
      <c r="B98" s="16">
        <v>2022</v>
      </c>
    </row>
    <row r="99" spans="2:2" x14ac:dyDescent="0.25">
      <c r="B99" s="16" t="s">
        <v>160</v>
      </c>
    </row>
    <row r="100" spans="2:2" x14ac:dyDescent="0.25">
      <c r="B100" s="16" t="s">
        <v>107</v>
      </c>
    </row>
    <row r="101" spans="2:2" x14ac:dyDescent="0.25">
      <c r="B101" s="16" t="s">
        <v>108</v>
      </c>
    </row>
    <row r="102" spans="2:2" x14ac:dyDescent="0.25">
      <c r="B102" s="16" t="s">
        <v>199</v>
      </c>
    </row>
    <row r="103" spans="2:2" x14ac:dyDescent="0.25">
      <c r="B103" s="16" t="s">
        <v>200</v>
      </c>
    </row>
    <row r="104" spans="2:2" x14ac:dyDescent="0.25">
      <c r="B104" s="16" t="s">
        <v>201</v>
      </c>
    </row>
    <row r="105" spans="2:2" x14ac:dyDescent="0.25">
      <c r="B105" s="16" t="s">
        <v>202</v>
      </c>
    </row>
    <row r="106" spans="2:2" x14ac:dyDescent="0.25">
      <c r="B106" s="16" t="s">
        <v>203</v>
      </c>
    </row>
    <row r="107" spans="2:2" x14ac:dyDescent="0.25">
      <c r="B107" s="16" t="s">
        <v>109</v>
      </c>
    </row>
    <row r="108" spans="2:2" x14ac:dyDescent="0.25">
      <c r="B108" s="16" t="s">
        <v>204</v>
      </c>
    </row>
    <row r="109" spans="2:2" x14ac:dyDescent="0.25">
      <c r="B109" s="16" t="s">
        <v>205</v>
      </c>
    </row>
    <row r="110" spans="2:2" x14ac:dyDescent="0.25">
      <c r="B110" s="16" t="s">
        <v>206</v>
      </c>
    </row>
    <row r="111" spans="2:2" x14ac:dyDescent="0.25">
      <c r="B111" s="16" t="s">
        <v>110</v>
      </c>
    </row>
    <row r="112" spans="2:2" x14ac:dyDescent="0.25">
      <c r="B112" s="16" t="s">
        <v>207</v>
      </c>
    </row>
    <row r="113" spans="1:2" x14ac:dyDescent="0.25">
      <c r="B113" s="16" t="s">
        <v>111</v>
      </c>
    </row>
    <row r="114" spans="1:2" x14ac:dyDescent="0.25">
      <c r="B114" s="16" t="s">
        <v>112</v>
      </c>
    </row>
    <row r="115" spans="1:2" x14ac:dyDescent="0.25">
      <c r="A115" s="16" t="s">
        <v>219</v>
      </c>
      <c r="B115" s="16" t="s">
        <v>208</v>
      </c>
    </row>
    <row r="116" spans="1:2" x14ac:dyDescent="0.25">
      <c r="B116" s="16" t="s">
        <v>113</v>
      </c>
    </row>
    <row r="117" spans="1:2" x14ac:dyDescent="0.25">
      <c r="B117" s="16" t="s">
        <v>114</v>
      </c>
    </row>
    <row r="118" spans="1:2" x14ac:dyDescent="0.25">
      <c r="B118" s="16" t="s">
        <v>209</v>
      </c>
    </row>
    <row r="119" spans="1:2" x14ac:dyDescent="0.25">
      <c r="B119" s="16" t="s">
        <v>115</v>
      </c>
    </row>
    <row r="120" spans="1:2" x14ac:dyDescent="0.25">
      <c r="B120" s="16" t="s">
        <v>116</v>
      </c>
    </row>
    <row r="121" spans="1:2" x14ac:dyDescent="0.25">
      <c r="A121" s="16" t="s">
        <v>219</v>
      </c>
      <c r="B121" s="16" t="s">
        <v>210</v>
      </c>
    </row>
    <row r="122" spans="1:2" x14ac:dyDescent="0.25">
      <c r="B122" s="16" t="s">
        <v>117</v>
      </c>
    </row>
    <row r="123" spans="1:2" x14ac:dyDescent="0.25">
      <c r="B123" s="16" t="s">
        <v>118</v>
      </c>
    </row>
    <row r="124" spans="1:2" x14ac:dyDescent="0.25">
      <c r="B124" s="16" t="s">
        <v>119</v>
      </c>
    </row>
    <row r="125" spans="1:2" x14ac:dyDescent="0.25">
      <c r="A125" s="16" t="s">
        <v>219</v>
      </c>
      <c r="B125" s="16" t="s">
        <v>211</v>
      </c>
    </row>
    <row r="126" spans="1:2" x14ac:dyDescent="0.25">
      <c r="B126" s="16">
        <v>2024</v>
      </c>
    </row>
    <row r="127" spans="1:2" x14ac:dyDescent="0.25">
      <c r="A127" s="16" t="s">
        <v>219</v>
      </c>
      <c r="B127" s="16" t="s">
        <v>212</v>
      </c>
    </row>
    <row r="128" spans="1:2" x14ac:dyDescent="0.25">
      <c r="B128" s="16" t="s">
        <v>213</v>
      </c>
    </row>
    <row r="129" spans="1:2" x14ac:dyDescent="0.25">
      <c r="B129" s="16" t="s">
        <v>120</v>
      </c>
    </row>
    <row r="130" spans="1:2" x14ac:dyDescent="0.25">
      <c r="B130" s="16" t="s">
        <v>121</v>
      </c>
    </row>
    <row r="131" spans="1:2" x14ac:dyDescent="0.25">
      <c r="B131" s="16" t="s">
        <v>214</v>
      </c>
    </row>
    <row r="132" spans="1:2" x14ac:dyDescent="0.25">
      <c r="B132" s="16" t="s">
        <v>122</v>
      </c>
    </row>
    <row r="133" spans="1:2" x14ac:dyDescent="0.25">
      <c r="B133" s="16" t="s">
        <v>123</v>
      </c>
    </row>
    <row r="134" spans="1:2" x14ac:dyDescent="0.25">
      <c r="B134" s="16" t="s">
        <v>215</v>
      </c>
    </row>
    <row r="135" spans="1:2" x14ac:dyDescent="0.25">
      <c r="B135" s="16" t="s">
        <v>124</v>
      </c>
    </row>
    <row r="136" spans="1:2" x14ac:dyDescent="0.25">
      <c r="B136" s="16" t="s">
        <v>112</v>
      </c>
    </row>
    <row r="137" spans="1:2" x14ac:dyDescent="0.25">
      <c r="B137" s="16" t="s">
        <v>216</v>
      </c>
    </row>
    <row r="138" spans="1:2" x14ac:dyDescent="0.25">
      <c r="B138" s="16" t="s">
        <v>125</v>
      </c>
    </row>
    <row r="139" spans="1:2" x14ac:dyDescent="0.25">
      <c r="B139" s="16">
        <v>2025</v>
      </c>
    </row>
    <row r="140" spans="1:2" x14ac:dyDescent="0.25">
      <c r="B140" s="16" t="s">
        <v>217</v>
      </c>
    </row>
    <row r="141" spans="1:2" x14ac:dyDescent="0.25">
      <c r="A141" s="16" t="s">
        <v>219</v>
      </c>
      <c r="B141" s="16" t="s">
        <v>218</v>
      </c>
    </row>
    <row r="142" spans="1:2" x14ac:dyDescent="0.25">
      <c r="B142" s="16" t="s">
        <v>161</v>
      </c>
    </row>
    <row r="143" spans="1:2" x14ac:dyDescent="0.25">
      <c r="B143" s="16" t="s">
        <v>162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11"/>
  <sheetViews>
    <sheetView zoomScaleNormal="100" workbookViewId="0">
      <pane xSplit="4" ySplit="1" topLeftCell="E2" activePane="bottomRight" state="frozen"/>
      <selection pane="topRight" activeCell="E1" sqref="E1"/>
      <selection pane="bottomLeft" activeCell="A2" sqref="A2"/>
      <selection pane="bottomRight" activeCell="G81" sqref="G81"/>
    </sheetView>
  </sheetViews>
  <sheetFormatPr defaultColWidth="8.42578125" defaultRowHeight="15" x14ac:dyDescent="0.25"/>
  <cols>
    <col min="1" max="1" width="13.42578125" bestFit="1" customWidth="1"/>
    <col min="2" max="2" width="7.7109375" customWidth="1"/>
    <col min="3" max="3" width="37" bestFit="1" customWidth="1"/>
    <col min="4" max="4" width="23.85546875" bestFit="1" customWidth="1"/>
    <col min="5" max="5" width="16.5703125" customWidth="1"/>
    <col min="6" max="6" width="18.42578125" customWidth="1"/>
    <col min="7" max="7" width="14.42578125" bestFit="1" customWidth="1"/>
    <col min="8" max="9" width="12.7109375" customWidth="1"/>
    <col min="10" max="13" width="10.140625" customWidth="1"/>
    <col min="14" max="14" width="12.7109375" customWidth="1"/>
    <col min="15" max="15" width="20.140625" customWidth="1"/>
    <col min="16" max="16" width="17.7109375" customWidth="1"/>
    <col min="17" max="17" width="17.140625" customWidth="1"/>
    <col min="18" max="18" width="17.5703125" customWidth="1"/>
    <col min="19" max="19" width="15.7109375" customWidth="1"/>
    <col min="20" max="20" width="14" customWidth="1"/>
    <col min="21" max="21" width="14.7109375" customWidth="1"/>
    <col min="22" max="22" width="14.5703125" customWidth="1"/>
    <col min="23" max="27" width="8.42578125" customWidth="1"/>
    <col min="28" max="28" width="14" customWidth="1"/>
    <col min="29" max="35" width="10.140625" customWidth="1"/>
    <col min="1032" max="1032" width="9.140625" customWidth="1"/>
  </cols>
  <sheetData>
    <row r="1" spans="1:36" ht="48" customHeight="1" x14ac:dyDescent="0.25">
      <c r="A1" s="11" t="s">
        <v>19</v>
      </c>
      <c r="B1" s="11" t="s">
        <v>20</v>
      </c>
      <c r="C1" s="12" t="s">
        <v>0</v>
      </c>
      <c r="D1" s="12" t="s">
        <v>25</v>
      </c>
      <c r="E1" s="13" t="s">
        <v>23</v>
      </c>
      <c r="F1" s="13" t="s">
        <v>21</v>
      </c>
      <c r="G1" s="13" t="s">
        <v>22</v>
      </c>
      <c r="H1" s="9" t="s">
        <v>26</v>
      </c>
      <c r="I1" s="9" t="s">
        <v>27</v>
      </c>
      <c r="J1" s="10" t="s">
        <v>28</v>
      </c>
      <c r="K1" s="10" t="s">
        <v>29</v>
      </c>
      <c r="L1" s="10" t="s">
        <v>15</v>
      </c>
      <c r="M1" s="10" t="s">
        <v>18</v>
      </c>
      <c r="N1" s="9" t="s">
        <v>1</v>
      </c>
      <c r="O1" s="9" t="s">
        <v>2</v>
      </c>
      <c r="P1" s="9" t="s">
        <v>3</v>
      </c>
      <c r="Q1" s="9" t="s">
        <v>4</v>
      </c>
      <c r="R1" s="10" t="s">
        <v>5</v>
      </c>
      <c r="S1" s="9" t="s">
        <v>6</v>
      </c>
      <c r="T1" s="9" t="s">
        <v>7</v>
      </c>
      <c r="U1" s="9" t="s">
        <v>8</v>
      </c>
      <c r="V1" s="9" t="s">
        <v>9</v>
      </c>
      <c r="W1" s="9" t="s">
        <v>10</v>
      </c>
      <c r="X1" s="9" t="s">
        <v>11</v>
      </c>
      <c r="Y1" s="10" t="s">
        <v>12</v>
      </c>
      <c r="Z1" s="10" t="s">
        <v>13</v>
      </c>
      <c r="AA1" s="10" t="s">
        <v>14</v>
      </c>
      <c r="AB1" s="9" t="s">
        <v>30</v>
      </c>
      <c r="AC1" s="10" t="s">
        <v>34</v>
      </c>
      <c r="AD1" s="10" t="s">
        <v>32</v>
      </c>
      <c r="AE1" s="10" t="s">
        <v>33</v>
      </c>
      <c r="AF1" s="10" t="s">
        <v>222</v>
      </c>
      <c r="AG1" s="10" t="s">
        <v>221</v>
      </c>
      <c r="AH1" s="10" t="s">
        <v>193</v>
      </c>
      <c r="AI1" s="10" t="s">
        <v>195</v>
      </c>
      <c r="AJ1" s="10" t="s">
        <v>31</v>
      </c>
    </row>
    <row r="2" spans="1:36" x14ac:dyDescent="0.25">
      <c r="A2" t="s">
        <v>183</v>
      </c>
      <c r="B2">
        <v>1</v>
      </c>
      <c r="C2" t="s">
        <v>168</v>
      </c>
      <c r="D2" t="s">
        <v>69</v>
      </c>
      <c r="E2" t="s">
        <v>16</v>
      </c>
      <c r="F2" t="s">
        <v>17</v>
      </c>
      <c r="H2" s="17">
        <v>0.31</v>
      </c>
      <c r="I2" s="17">
        <v>0.31</v>
      </c>
      <c r="J2" s="17">
        <v>0.2</v>
      </c>
      <c r="K2" s="17">
        <v>1</v>
      </c>
      <c r="N2" s="18">
        <v>1.2</v>
      </c>
      <c r="O2" s="18">
        <v>2</v>
      </c>
      <c r="P2" s="18">
        <v>2</v>
      </c>
      <c r="Q2" s="24">
        <f t="shared" ref="Q2:Q55" si="0">ROUND(S2/2,2)</f>
        <v>1.95</v>
      </c>
      <c r="R2" s="26">
        <v>5</v>
      </c>
      <c r="S2" s="19">
        <v>3.89</v>
      </c>
      <c r="T2" s="19">
        <v>300</v>
      </c>
      <c r="U2" s="24">
        <f>ROUND(Q2/2,2)</f>
        <v>0.98</v>
      </c>
      <c r="V2" s="24">
        <f>ROUND(R2/2,2)</f>
        <v>2.5</v>
      </c>
      <c r="W2" s="18">
        <v>36</v>
      </c>
      <c r="X2" s="24">
        <f>W2*4</f>
        <v>144</v>
      </c>
      <c r="Y2" s="17">
        <v>5.0000000000000001E-3</v>
      </c>
      <c r="Z2" s="17">
        <v>5.0000000000000001E-3</v>
      </c>
      <c r="AA2" s="17">
        <v>300</v>
      </c>
      <c r="AB2" s="24">
        <f t="shared" ref="AB2:AB13" si="1">T2</f>
        <v>300</v>
      </c>
      <c r="AC2" s="17">
        <f>100000*AI2</f>
        <v>90000</v>
      </c>
      <c r="AD2" s="17">
        <f>1700000*AI2</f>
        <v>1530000</v>
      </c>
      <c r="AE2" s="28">
        <f>-PMT(AG2,AF2,1)</f>
        <v>7.5009138873610326E-2</v>
      </c>
      <c r="AF2" s="17">
        <v>40</v>
      </c>
      <c r="AG2">
        <v>7.0000000000000007E-2</v>
      </c>
      <c r="AI2">
        <v>0.9</v>
      </c>
    </row>
    <row r="3" spans="1:36" x14ac:dyDescent="0.25">
      <c r="A3" t="s">
        <v>66</v>
      </c>
      <c r="B3">
        <v>1</v>
      </c>
      <c r="C3" t="s">
        <v>168</v>
      </c>
      <c r="D3" t="s">
        <v>69</v>
      </c>
      <c r="E3" t="s">
        <v>16</v>
      </c>
      <c r="F3" t="s">
        <v>17</v>
      </c>
      <c r="H3" s="17">
        <v>0.32</v>
      </c>
      <c r="I3" s="17">
        <v>0.32</v>
      </c>
      <c r="J3" s="17">
        <v>0.4</v>
      </c>
      <c r="K3" s="17">
        <v>1</v>
      </c>
      <c r="N3" s="17">
        <v>1.9</v>
      </c>
      <c r="O3" s="18">
        <v>6</v>
      </c>
      <c r="P3" s="18">
        <v>10</v>
      </c>
      <c r="Q3" s="24">
        <f t="shared" si="0"/>
        <v>1.95</v>
      </c>
      <c r="R3" s="26">
        <v>11</v>
      </c>
      <c r="S3" s="19">
        <v>3.89</v>
      </c>
      <c r="T3" s="19">
        <v>400</v>
      </c>
      <c r="U3" s="24">
        <f t="shared" ref="U3:U9" si="2">ROUND(Q3/2,2)</f>
        <v>0.98</v>
      </c>
      <c r="V3" s="24">
        <f t="shared" ref="V3:V9" si="3">ROUND(R3/2,2)</f>
        <v>5.5</v>
      </c>
      <c r="W3" s="18">
        <v>36</v>
      </c>
      <c r="X3" s="24">
        <f t="shared" ref="X3:X55" si="4">W3*4</f>
        <v>144</v>
      </c>
      <c r="Y3" s="17">
        <v>0.01</v>
      </c>
      <c r="Z3" s="17">
        <v>0.01</v>
      </c>
      <c r="AA3" s="18">
        <v>600</v>
      </c>
      <c r="AB3" s="24">
        <f t="shared" si="1"/>
        <v>400</v>
      </c>
      <c r="AC3" s="17">
        <f>126000*AI3</f>
        <v>113400</v>
      </c>
      <c r="AD3" s="17">
        <f>2250000*AI3</f>
        <v>2025000</v>
      </c>
      <c r="AE3" s="28">
        <f t="shared" ref="AE3:AE62" si="5">-PMT(AG3,AF3,1)</f>
        <v>7.2459849539607671E-2</v>
      </c>
      <c r="AF3" s="17">
        <v>50</v>
      </c>
      <c r="AG3">
        <v>7.0000000000000007E-2</v>
      </c>
      <c r="AI3">
        <v>0.9</v>
      </c>
    </row>
    <row r="4" spans="1:36" x14ac:dyDescent="0.25">
      <c r="A4" t="s">
        <v>67</v>
      </c>
      <c r="B4">
        <v>1</v>
      </c>
      <c r="C4" t="s">
        <v>168</v>
      </c>
      <c r="D4" t="s">
        <v>69</v>
      </c>
      <c r="E4" t="s">
        <v>16</v>
      </c>
      <c r="F4" t="s">
        <v>17</v>
      </c>
      <c r="H4" s="17">
        <v>0.33</v>
      </c>
      <c r="I4" s="17">
        <v>0.33</v>
      </c>
      <c r="J4" s="17">
        <v>0.5</v>
      </c>
      <c r="K4" s="17">
        <v>1</v>
      </c>
      <c r="N4" s="17">
        <v>2.8</v>
      </c>
      <c r="O4" s="18">
        <v>8</v>
      </c>
      <c r="P4" s="18">
        <v>24</v>
      </c>
      <c r="Q4" s="24">
        <f t="shared" si="0"/>
        <v>1.95</v>
      </c>
      <c r="R4" s="27">
        <v>21</v>
      </c>
      <c r="S4" s="19">
        <v>3.89</v>
      </c>
      <c r="T4" s="18">
        <v>500</v>
      </c>
      <c r="U4" s="24">
        <f t="shared" si="2"/>
        <v>0.98</v>
      </c>
      <c r="V4" s="24">
        <f t="shared" si="3"/>
        <v>10.5</v>
      </c>
      <c r="W4" s="18">
        <v>36</v>
      </c>
      <c r="X4" s="24">
        <f t="shared" si="4"/>
        <v>144</v>
      </c>
      <c r="Y4" s="17">
        <v>0.03</v>
      </c>
      <c r="Z4" s="17">
        <v>0.03</v>
      </c>
      <c r="AA4" s="18">
        <v>1000</v>
      </c>
      <c r="AB4" s="24">
        <f t="shared" si="1"/>
        <v>500</v>
      </c>
      <c r="AC4" s="17">
        <f>175000*AI4</f>
        <v>157500</v>
      </c>
      <c r="AD4" s="17">
        <f>4750000*AI4</f>
        <v>4275000</v>
      </c>
      <c r="AE4" s="28">
        <f t="shared" si="5"/>
        <v>7.122922550001945E-2</v>
      </c>
      <c r="AF4" s="17">
        <v>60</v>
      </c>
      <c r="AG4">
        <v>7.0000000000000007E-2</v>
      </c>
      <c r="AI4">
        <v>0.9</v>
      </c>
      <c r="AJ4" t="s">
        <v>191</v>
      </c>
    </row>
    <row r="5" spans="1:36" x14ac:dyDescent="0.25">
      <c r="A5" t="s">
        <v>68</v>
      </c>
      <c r="B5">
        <v>1</v>
      </c>
      <c r="C5" t="s">
        <v>168</v>
      </c>
      <c r="D5" t="s">
        <v>69</v>
      </c>
      <c r="E5" t="s">
        <v>16</v>
      </c>
      <c r="F5" t="s">
        <v>17</v>
      </c>
      <c r="H5" s="17">
        <v>0.34</v>
      </c>
      <c r="I5" s="17">
        <v>0.34</v>
      </c>
      <c r="J5" s="17">
        <v>0.8</v>
      </c>
      <c r="K5" s="17">
        <v>1</v>
      </c>
      <c r="N5" s="17">
        <v>3.4</v>
      </c>
      <c r="O5" s="18">
        <v>12</v>
      </c>
      <c r="P5" s="18">
        <v>40</v>
      </c>
      <c r="Q5" s="24">
        <f t="shared" si="0"/>
        <v>1.95</v>
      </c>
      <c r="R5" s="26">
        <v>31</v>
      </c>
      <c r="S5" s="19">
        <v>3.89</v>
      </c>
      <c r="T5" s="19">
        <v>600</v>
      </c>
      <c r="U5" s="24">
        <f t="shared" si="2"/>
        <v>0.98</v>
      </c>
      <c r="V5" s="24">
        <f t="shared" si="3"/>
        <v>15.5</v>
      </c>
      <c r="W5" s="18">
        <v>36</v>
      </c>
      <c r="X5" s="24">
        <f t="shared" si="4"/>
        <v>144</v>
      </c>
      <c r="Y5" s="17">
        <v>0.05</v>
      </c>
      <c r="Z5" s="17">
        <v>0.05</v>
      </c>
      <c r="AA5" s="18">
        <v>1300</v>
      </c>
      <c r="AB5" s="24">
        <f t="shared" si="1"/>
        <v>600</v>
      </c>
      <c r="AC5" s="17">
        <f>204000*AI5</f>
        <v>183600</v>
      </c>
      <c r="AD5" s="17">
        <f>7750000*AI5</f>
        <v>6975000</v>
      </c>
      <c r="AE5" s="28">
        <f t="shared" si="5"/>
        <v>7.0619527184264883E-2</v>
      </c>
      <c r="AF5" s="18">
        <v>70</v>
      </c>
      <c r="AG5">
        <v>7.0000000000000007E-2</v>
      </c>
      <c r="AI5">
        <v>0.9</v>
      </c>
    </row>
    <row r="6" spans="1:36" x14ac:dyDescent="0.25">
      <c r="A6" t="s">
        <v>182</v>
      </c>
      <c r="B6">
        <v>1</v>
      </c>
      <c r="C6" t="s">
        <v>168</v>
      </c>
      <c r="D6" t="s">
        <v>69</v>
      </c>
      <c r="E6" t="s">
        <v>16</v>
      </c>
      <c r="F6" t="s">
        <v>17</v>
      </c>
      <c r="H6" s="17">
        <v>0.36</v>
      </c>
      <c r="I6" s="17">
        <v>0.36</v>
      </c>
      <c r="J6" s="17">
        <v>0.95</v>
      </c>
      <c r="K6" s="17">
        <v>1</v>
      </c>
      <c r="N6" s="18">
        <v>16.399999999999999</v>
      </c>
      <c r="O6" s="18">
        <v>96</v>
      </c>
      <c r="P6" s="18">
        <v>96</v>
      </c>
      <c r="Q6" s="24">
        <f t="shared" si="0"/>
        <v>1.95</v>
      </c>
      <c r="R6" s="26">
        <v>100</v>
      </c>
      <c r="S6" s="19">
        <v>3.89</v>
      </c>
      <c r="T6" s="19">
        <v>2000</v>
      </c>
      <c r="U6" s="24">
        <f t="shared" si="2"/>
        <v>0.98</v>
      </c>
      <c r="V6" s="24">
        <f t="shared" si="3"/>
        <v>50</v>
      </c>
      <c r="W6" s="18">
        <v>36</v>
      </c>
      <c r="X6" s="24">
        <f t="shared" si="4"/>
        <v>144</v>
      </c>
      <c r="Y6" s="17">
        <v>0.1</v>
      </c>
      <c r="Z6" s="17">
        <v>0.2</v>
      </c>
      <c r="AA6" s="17">
        <v>1750</v>
      </c>
      <c r="AB6" s="24">
        <f t="shared" si="1"/>
        <v>2000</v>
      </c>
      <c r="AC6" s="19">
        <f>230000*AI6</f>
        <v>207000</v>
      </c>
      <c r="AD6" s="17">
        <f>16000000*AI6</f>
        <v>14400000</v>
      </c>
      <c r="AE6" s="28">
        <f t="shared" si="5"/>
        <v>7.0313571760871663E-2</v>
      </c>
      <c r="AF6" s="18">
        <v>80</v>
      </c>
      <c r="AG6">
        <v>7.0000000000000007E-2</v>
      </c>
      <c r="AI6">
        <v>0.9</v>
      </c>
    </row>
    <row r="7" spans="1:36" x14ac:dyDescent="0.25">
      <c r="A7" t="s">
        <v>247</v>
      </c>
      <c r="B7">
        <v>1</v>
      </c>
      <c r="C7" t="s">
        <v>168</v>
      </c>
      <c r="D7" t="s">
        <v>69</v>
      </c>
      <c r="E7" t="s">
        <v>16</v>
      </c>
      <c r="F7" t="s">
        <v>17</v>
      </c>
      <c r="H7" s="24">
        <f>H5</f>
        <v>0.34</v>
      </c>
      <c r="I7" s="24">
        <f>I5</f>
        <v>0.34</v>
      </c>
      <c r="J7" s="24">
        <f>J3</f>
        <v>0.4</v>
      </c>
      <c r="K7" s="24">
        <f>K5</f>
        <v>1</v>
      </c>
      <c r="N7" s="24">
        <f>N3</f>
        <v>1.9</v>
      </c>
      <c r="O7" s="24">
        <f t="shared" ref="O7:P7" si="6">O3</f>
        <v>6</v>
      </c>
      <c r="P7" s="24">
        <f t="shared" si="6"/>
        <v>10</v>
      </c>
      <c r="Q7" s="24">
        <f>Q3</f>
        <v>1.95</v>
      </c>
      <c r="R7" s="24">
        <f>R3</f>
        <v>11</v>
      </c>
      <c r="S7" s="24">
        <f t="shared" ref="S7:X7" si="7">S3</f>
        <v>3.89</v>
      </c>
      <c r="T7" s="24">
        <f t="shared" si="7"/>
        <v>400</v>
      </c>
      <c r="U7" s="24">
        <f t="shared" si="7"/>
        <v>0.98</v>
      </c>
      <c r="V7" s="24">
        <f t="shared" si="7"/>
        <v>5.5</v>
      </c>
      <c r="W7" s="24">
        <f t="shared" si="7"/>
        <v>36</v>
      </c>
      <c r="X7" s="24">
        <f t="shared" si="7"/>
        <v>144</v>
      </c>
      <c r="Y7" s="24">
        <f>Y5</f>
        <v>0.05</v>
      </c>
      <c r="Z7" s="24">
        <f>Z5</f>
        <v>0.05</v>
      </c>
      <c r="AA7" s="24">
        <f>AA3</f>
        <v>600</v>
      </c>
      <c r="AB7" s="24">
        <f>AB3</f>
        <v>400</v>
      </c>
      <c r="AC7" s="24">
        <f>AC3</f>
        <v>113400</v>
      </c>
      <c r="AD7" s="24">
        <f>AD3</f>
        <v>2025000</v>
      </c>
      <c r="AE7" s="28">
        <f t="shared" si="5"/>
        <v>7.0619527184264883E-2</v>
      </c>
      <c r="AF7" s="24">
        <f>AF5</f>
        <v>70</v>
      </c>
      <c r="AG7">
        <v>7.0000000000000007E-2</v>
      </c>
      <c r="AJ7" t="s">
        <v>248</v>
      </c>
    </row>
    <row r="8" spans="1:36" x14ac:dyDescent="0.25">
      <c r="A8" t="s">
        <v>246</v>
      </c>
      <c r="B8">
        <v>1</v>
      </c>
      <c r="C8" t="s">
        <v>168</v>
      </c>
      <c r="D8" t="s">
        <v>69</v>
      </c>
      <c r="E8" t="s">
        <v>16</v>
      </c>
      <c r="F8" t="s">
        <v>17</v>
      </c>
      <c r="H8" s="24">
        <f>H6</f>
        <v>0.36</v>
      </c>
      <c r="I8" s="24">
        <f>I6</f>
        <v>0.36</v>
      </c>
      <c r="J8" s="24">
        <f>J2</f>
        <v>0.2</v>
      </c>
      <c r="K8" s="24">
        <f>K6</f>
        <v>1</v>
      </c>
      <c r="N8" s="24">
        <f>N2</f>
        <v>1.2</v>
      </c>
      <c r="O8" s="24">
        <f t="shared" ref="O8:P8" si="8">O2</f>
        <v>2</v>
      </c>
      <c r="P8" s="24">
        <f t="shared" si="8"/>
        <v>2</v>
      </c>
      <c r="Q8" s="24">
        <f>Q2</f>
        <v>1.95</v>
      </c>
      <c r="R8" s="24">
        <f>R2</f>
        <v>5</v>
      </c>
      <c r="S8" s="24">
        <f>S2</f>
        <v>3.89</v>
      </c>
      <c r="T8" s="24">
        <f>T2</f>
        <v>300</v>
      </c>
      <c r="U8" s="24">
        <f>U2</f>
        <v>0.98</v>
      </c>
      <c r="V8" s="24">
        <f>V2</f>
        <v>2.5</v>
      </c>
      <c r="W8" s="24">
        <f>W2</f>
        <v>36</v>
      </c>
      <c r="X8" s="24">
        <f>X2</f>
        <v>144</v>
      </c>
      <c r="Y8" s="24">
        <f>Y6</f>
        <v>0.1</v>
      </c>
      <c r="Z8" s="24">
        <f>Z6</f>
        <v>0.2</v>
      </c>
      <c r="AA8" s="24">
        <f>AA2</f>
        <v>300</v>
      </c>
      <c r="AB8" s="24">
        <f>AB2</f>
        <v>300</v>
      </c>
      <c r="AC8" s="24">
        <f>AC2</f>
        <v>90000</v>
      </c>
      <c r="AD8" s="24">
        <f>AD2</f>
        <v>1530000</v>
      </c>
      <c r="AE8" s="28">
        <f t="shared" si="5"/>
        <v>7.0313571760871663E-2</v>
      </c>
      <c r="AF8" s="24">
        <f>AF6</f>
        <v>80</v>
      </c>
      <c r="AG8">
        <v>7.0000000000000007E-2</v>
      </c>
      <c r="AJ8" t="s">
        <v>249</v>
      </c>
    </row>
    <row r="9" spans="1:36" x14ac:dyDescent="0.25">
      <c r="A9" t="s">
        <v>183</v>
      </c>
      <c r="B9">
        <v>1</v>
      </c>
      <c r="C9" t="s">
        <v>167</v>
      </c>
      <c r="D9" t="s">
        <v>70</v>
      </c>
      <c r="E9" t="s">
        <v>16</v>
      </c>
      <c r="F9" t="s">
        <v>17</v>
      </c>
      <c r="G9" t="s">
        <v>24</v>
      </c>
      <c r="H9" s="18">
        <v>0.61</v>
      </c>
      <c r="I9" s="18">
        <v>0.61</v>
      </c>
      <c r="J9" s="17">
        <v>0.2</v>
      </c>
      <c r="K9" s="17">
        <v>1</v>
      </c>
      <c r="L9" s="26">
        <v>0.2</v>
      </c>
      <c r="M9" s="19">
        <v>-0.17</v>
      </c>
      <c r="N9" s="24">
        <f>ROUND(N2*AH9,2)</f>
        <v>1.2</v>
      </c>
      <c r="O9" s="18">
        <v>2</v>
      </c>
      <c r="P9" s="18">
        <v>2</v>
      </c>
      <c r="Q9" s="24">
        <f t="shared" si="0"/>
        <v>1.95</v>
      </c>
      <c r="R9" s="24">
        <f>R2*AH9</f>
        <v>5</v>
      </c>
      <c r="S9" s="19">
        <v>3.89</v>
      </c>
      <c r="T9" s="24">
        <f>T2*AH9</f>
        <v>300</v>
      </c>
      <c r="U9" s="24">
        <f t="shared" si="2"/>
        <v>0.98</v>
      </c>
      <c r="V9" s="24">
        <f t="shared" si="3"/>
        <v>2.5</v>
      </c>
      <c r="W9" s="18">
        <v>36</v>
      </c>
      <c r="X9" s="24">
        <f t="shared" si="4"/>
        <v>144</v>
      </c>
      <c r="Y9" s="17">
        <v>5.0000000000000001E-3</v>
      </c>
      <c r="Z9" s="17">
        <v>5.0000000000000001E-3</v>
      </c>
      <c r="AA9" s="17">
        <v>300</v>
      </c>
      <c r="AB9" s="24">
        <f t="shared" si="1"/>
        <v>300</v>
      </c>
      <c r="AC9" s="24">
        <f>AC2*AH9</f>
        <v>90000</v>
      </c>
      <c r="AD9" s="24">
        <f>AD2*AH9</f>
        <v>1530000</v>
      </c>
      <c r="AE9" s="28">
        <f t="shared" si="5"/>
        <v>7.5009138873610326E-2</v>
      </c>
      <c r="AF9" s="17">
        <v>40</v>
      </c>
      <c r="AG9">
        <v>7.0000000000000007E-2</v>
      </c>
      <c r="AH9">
        <v>1</v>
      </c>
    </row>
    <row r="10" spans="1:36" x14ac:dyDescent="0.25">
      <c r="A10" t="s">
        <v>66</v>
      </c>
      <c r="B10">
        <v>1</v>
      </c>
      <c r="C10" t="s">
        <v>167</v>
      </c>
      <c r="D10" t="s">
        <v>70</v>
      </c>
      <c r="E10" t="s">
        <v>16</v>
      </c>
      <c r="F10" t="s">
        <v>17</v>
      </c>
      <c r="G10" t="s">
        <v>24</v>
      </c>
      <c r="H10" s="17">
        <v>0.81</v>
      </c>
      <c r="I10" s="17">
        <v>0.81</v>
      </c>
      <c r="J10" s="17">
        <v>0.4</v>
      </c>
      <c r="K10" s="17">
        <v>1</v>
      </c>
      <c r="L10" s="26">
        <v>0.3</v>
      </c>
      <c r="M10" s="26">
        <v>-0.16</v>
      </c>
      <c r="N10" s="24">
        <f>ROUND(N3*AH10,2)</f>
        <v>2.0099999999999998</v>
      </c>
      <c r="O10" s="18">
        <v>6</v>
      </c>
      <c r="P10" s="18">
        <v>10</v>
      </c>
      <c r="Q10" s="24">
        <f t="shared" si="0"/>
        <v>1.95</v>
      </c>
      <c r="R10" s="24">
        <f>R3*AH10</f>
        <v>11.66</v>
      </c>
      <c r="S10" s="19">
        <v>3.89</v>
      </c>
      <c r="T10" s="24">
        <f>T3*AH10</f>
        <v>424</v>
      </c>
      <c r="U10" s="24">
        <f t="shared" ref="U10:U55" si="9">ROUND(Q10/2,2)</f>
        <v>0.98</v>
      </c>
      <c r="V10" s="24">
        <f t="shared" ref="V10:V55" si="10">ROUND(R10/2,2)</f>
        <v>5.83</v>
      </c>
      <c r="W10" s="18">
        <v>36</v>
      </c>
      <c r="X10" s="24">
        <f t="shared" si="4"/>
        <v>144</v>
      </c>
      <c r="Y10" s="17">
        <v>0.01</v>
      </c>
      <c r="Z10" s="17">
        <v>0.01</v>
      </c>
      <c r="AA10" s="18">
        <v>600</v>
      </c>
      <c r="AB10" s="24">
        <f t="shared" si="1"/>
        <v>424</v>
      </c>
      <c r="AC10" s="24">
        <f>AC3*AH10</f>
        <v>120204</v>
      </c>
      <c r="AD10" s="24">
        <f>AD3*AH10</f>
        <v>2146500</v>
      </c>
      <c r="AE10" s="28">
        <f t="shared" si="5"/>
        <v>7.2459849539607671E-2</v>
      </c>
      <c r="AF10" s="17">
        <v>50</v>
      </c>
      <c r="AG10">
        <v>7.0000000000000007E-2</v>
      </c>
      <c r="AH10">
        <v>1.06</v>
      </c>
    </row>
    <row r="11" spans="1:36" x14ac:dyDescent="0.25">
      <c r="A11" t="s">
        <v>67</v>
      </c>
      <c r="B11">
        <v>1</v>
      </c>
      <c r="C11" t="s">
        <v>167</v>
      </c>
      <c r="D11" t="s">
        <v>70</v>
      </c>
      <c r="E11" t="s">
        <v>16</v>
      </c>
      <c r="F11" t="s">
        <v>17</v>
      </c>
      <c r="G11" t="s">
        <v>24</v>
      </c>
      <c r="H11" s="17">
        <v>0.875</v>
      </c>
      <c r="I11" s="17">
        <v>0.875</v>
      </c>
      <c r="J11" s="17">
        <v>0.5</v>
      </c>
      <c r="K11" s="17">
        <v>1</v>
      </c>
      <c r="L11" s="26">
        <v>0.4</v>
      </c>
      <c r="M11" s="26">
        <v>-0.15</v>
      </c>
      <c r="N11" s="24">
        <f>ROUND(N4*AH11,2)</f>
        <v>3.11</v>
      </c>
      <c r="O11" s="18">
        <v>8</v>
      </c>
      <c r="P11" s="18">
        <v>24</v>
      </c>
      <c r="Q11" s="24">
        <f t="shared" si="0"/>
        <v>1.95</v>
      </c>
      <c r="R11" s="24">
        <f>R4*AH11</f>
        <v>23.310000000000002</v>
      </c>
      <c r="S11" s="19">
        <v>3.89</v>
      </c>
      <c r="T11" s="24">
        <f>T4*AH11</f>
        <v>555</v>
      </c>
      <c r="U11" s="24">
        <f t="shared" si="9"/>
        <v>0.98</v>
      </c>
      <c r="V11" s="24">
        <f t="shared" si="10"/>
        <v>11.66</v>
      </c>
      <c r="W11" s="18">
        <v>36</v>
      </c>
      <c r="X11" s="24">
        <f t="shared" si="4"/>
        <v>144</v>
      </c>
      <c r="Y11" s="17">
        <v>0.03</v>
      </c>
      <c r="Z11" s="17">
        <v>0.03</v>
      </c>
      <c r="AA11" s="18">
        <v>1000</v>
      </c>
      <c r="AB11" s="24">
        <f t="shared" si="1"/>
        <v>555</v>
      </c>
      <c r="AC11" s="24">
        <f>AC4*AH11</f>
        <v>174825.00000000003</v>
      </c>
      <c r="AD11" s="24">
        <f>AD4*AH11</f>
        <v>4745250</v>
      </c>
      <c r="AE11" s="28">
        <f t="shared" si="5"/>
        <v>7.122922550001945E-2</v>
      </c>
      <c r="AF11" s="17">
        <v>60</v>
      </c>
      <c r="AG11">
        <v>7.0000000000000007E-2</v>
      </c>
      <c r="AH11">
        <v>1.1100000000000001</v>
      </c>
      <c r="AJ11" t="s">
        <v>194</v>
      </c>
    </row>
    <row r="12" spans="1:36" x14ac:dyDescent="0.25">
      <c r="A12" t="s">
        <v>68</v>
      </c>
      <c r="B12">
        <v>1</v>
      </c>
      <c r="C12" t="s">
        <v>167</v>
      </c>
      <c r="D12" t="s">
        <v>70</v>
      </c>
      <c r="E12" t="s">
        <v>16</v>
      </c>
      <c r="F12" t="s">
        <v>17</v>
      </c>
      <c r="G12" t="s">
        <v>24</v>
      </c>
      <c r="H12" s="17">
        <v>0.9</v>
      </c>
      <c r="I12" s="17">
        <v>0.9</v>
      </c>
      <c r="J12" s="17">
        <v>0.8</v>
      </c>
      <c r="K12" s="17">
        <v>1</v>
      </c>
      <c r="L12" s="26">
        <v>0.5</v>
      </c>
      <c r="M12" s="26">
        <v>-0.14000000000000001</v>
      </c>
      <c r="N12" s="24">
        <f>ROUND(N5*AH12,2)</f>
        <v>3.91</v>
      </c>
      <c r="O12" s="18">
        <v>12</v>
      </c>
      <c r="P12" s="18">
        <v>40</v>
      </c>
      <c r="Q12" s="24">
        <f t="shared" si="0"/>
        <v>1.95</v>
      </c>
      <c r="R12" s="24">
        <f>R5*AH12</f>
        <v>35.65</v>
      </c>
      <c r="S12" s="19">
        <v>3.89</v>
      </c>
      <c r="T12" s="24">
        <f>T5*AH12</f>
        <v>690</v>
      </c>
      <c r="U12" s="24">
        <f t="shared" si="9"/>
        <v>0.98</v>
      </c>
      <c r="V12" s="24">
        <f t="shared" si="10"/>
        <v>17.829999999999998</v>
      </c>
      <c r="W12" s="18">
        <v>36</v>
      </c>
      <c r="X12" s="24">
        <f t="shared" si="4"/>
        <v>144</v>
      </c>
      <c r="Y12" s="17">
        <v>0.05</v>
      </c>
      <c r="Z12" s="17">
        <v>0.05</v>
      </c>
      <c r="AA12" s="18">
        <v>1300</v>
      </c>
      <c r="AB12" s="24">
        <f t="shared" si="1"/>
        <v>690</v>
      </c>
      <c r="AC12" s="24">
        <f>AC5*AH12</f>
        <v>211139.99999999997</v>
      </c>
      <c r="AD12" s="24">
        <f>AD5*AH12</f>
        <v>8021249.9999999991</v>
      </c>
      <c r="AE12" s="28">
        <f t="shared" si="5"/>
        <v>7.0619527184264883E-2</v>
      </c>
      <c r="AF12" s="18">
        <v>70</v>
      </c>
      <c r="AG12">
        <v>7.0000000000000007E-2</v>
      </c>
      <c r="AH12">
        <v>1.1499999999999999</v>
      </c>
    </row>
    <row r="13" spans="1:36" x14ac:dyDescent="0.25">
      <c r="A13" t="s">
        <v>182</v>
      </c>
      <c r="B13">
        <v>1</v>
      </c>
      <c r="C13" t="s">
        <v>167</v>
      </c>
      <c r="D13" t="s">
        <v>70</v>
      </c>
      <c r="E13" t="s">
        <v>16</v>
      </c>
      <c r="F13" t="s">
        <v>17</v>
      </c>
      <c r="G13" t="s">
        <v>24</v>
      </c>
      <c r="H13" s="17">
        <v>0.94</v>
      </c>
      <c r="I13" s="17">
        <v>0.94</v>
      </c>
      <c r="J13" s="17">
        <v>0.95</v>
      </c>
      <c r="K13" s="17">
        <v>1</v>
      </c>
      <c r="L13" s="26">
        <v>0.6</v>
      </c>
      <c r="M13" s="26">
        <v>-0.13</v>
      </c>
      <c r="N13" s="24">
        <f>ROUND(N6*AH13,2)</f>
        <v>20.010000000000002</v>
      </c>
      <c r="O13" s="18">
        <v>96</v>
      </c>
      <c r="P13" s="18">
        <v>96</v>
      </c>
      <c r="Q13" s="24">
        <f t="shared" si="0"/>
        <v>1.95</v>
      </c>
      <c r="R13" s="24">
        <f>R6*AH13</f>
        <v>122</v>
      </c>
      <c r="S13" s="19">
        <v>3.89</v>
      </c>
      <c r="T13" s="24">
        <f>T6*AH13</f>
        <v>2440</v>
      </c>
      <c r="U13" s="24">
        <f t="shared" si="9"/>
        <v>0.98</v>
      </c>
      <c r="V13" s="24">
        <f t="shared" si="10"/>
        <v>61</v>
      </c>
      <c r="W13" s="18">
        <v>36</v>
      </c>
      <c r="X13" s="24">
        <f t="shared" si="4"/>
        <v>144</v>
      </c>
      <c r="Y13" s="17">
        <v>0.1</v>
      </c>
      <c r="Z13" s="17">
        <v>0.2</v>
      </c>
      <c r="AA13" s="17">
        <v>1750</v>
      </c>
      <c r="AB13" s="24">
        <f t="shared" si="1"/>
        <v>2440</v>
      </c>
      <c r="AC13" s="24">
        <f>AC6*AH13</f>
        <v>252540</v>
      </c>
      <c r="AD13" s="24">
        <f>AD6*AH13</f>
        <v>17568000</v>
      </c>
      <c r="AE13" s="28">
        <f t="shared" si="5"/>
        <v>7.0313571760871663E-2</v>
      </c>
      <c r="AF13" s="18">
        <v>80</v>
      </c>
      <c r="AG13">
        <v>7.0000000000000007E-2</v>
      </c>
      <c r="AH13">
        <v>1.22</v>
      </c>
    </row>
    <row r="14" spans="1:36" x14ac:dyDescent="0.25">
      <c r="A14" t="s">
        <v>247</v>
      </c>
      <c r="B14">
        <v>1</v>
      </c>
      <c r="C14" t="s">
        <v>167</v>
      </c>
      <c r="D14" t="s">
        <v>70</v>
      </c>
      <c r="E14" t="s">
        <v>16</v>
      </c>
      <c r="F14" t="s">
        <v>17</v>
      </c>
      <c r="G14" t="s">
        <v>24</v>
      </c>
      <c r="H14" s="24">
        <f>H12</f>
        <v>0.9</v>
      </c>
      <c r="I14" s="24">
        <f>I12</f>
        <v>0.9</v>
      </c>
      <c r="J14" s="24">
        <f>J10</f>
        <v>0.4</v>
      </c>
      <c r="K14" s="24">
        <f>K12</f>
        <v>1</v>
      </c>
      <c r="L14" s="24">
        <f>L12</f>
        <v>0.5</v>
      </c>
      <c r="M14" s="24">
        <f>M12</f>
        <v>-0.14000000000000001</v>
      </c>
      <c r="N14" s="24">
        <f>N10</f>
        <v>2.0099999999999998</v>
      </c>
      <c r="O14" s="24">
        <f t="shared" ref="O14:P14" si="11">O10</f>
        <v>6</v>
      </c>
      <c r="P14" s="24">
        <f t="shared" si="11"/>
        <v>10</v>
      </c>
      <c r="Q14" s="24">
        <f>Q10</f>
        <v>1.95</v>
      </c>
      <c r="R14" s="24">
        <f>R10</f>
        <v>11.66</v>
      </c>
      <c r="S14" s="24">
        <f t="shared" ref="S14:X14" si="12">S10</f>
        <v>3.89</v>
      </c>
      <c r="T14" s="24">
        <f t="shared" si="12"/>
        <v>424</v>
      </c>
      <c r="U14" s="24">
        <f t="shared" si="12"/>
        <v>0.98</v>
      </c>
      <c r="V14" s="24">
        <f t="shared" si="12"/>
        <v>5.83</v>
      </c>
      <c r="W14" s="24">
        <f t="shared" si="12"/>
        <v>36</v>
      </c>
      <c r="X14" s="24">
        <f t="shared" si="12"/>
        <v>144</v>
      </c>
      <c r="Y14" s="24">
        <f>Y12</f>
        <v>0.05</v>
      </c>
      <c r="Z14" s="24">
        <f>Z12</f>
        <v>0.05</v>
      </c>
      <c r="AA14" s="24">
        <f>AA10</f>
        <v>600</v>
      </c>
      <c r="AB14" s="24">
        <f>AB10</f>
        <v>424</v>
      </c>
      <c r="AC14" s="24">
        <f>AC10</f>
        <v>120204</v>
      </c>
      <c r="AD14" s="24">
        <f>AD10</f>
        <v>2146500</v>
      </c>
      <c r="AE14" s="28">
        <f t="shared" ref="AE14:AE15" si="13">-PMT(AG14,AF14,1)</f>
        <v>7.0619527184264883E-2</v>
      </c>
      <c r="AF14" s="24">
        <f>AF12</f>
        <v>70</v>
      </c>
      <c r="AG14">
        <v>7.0000000000000007E-2</v>
      </c>
      <c r="AJ14" t="s">
        <v>248</v>
      </c>
    </row>
    <row r="15" spans="1:36" x14ac:dyDescent="0.25">
      <c r="A15" t="s">
        <v>246</v>
      </c>
      <c r="B15">
        <v>1</v>
      </c>
      <c r="C15" t="s">
        <v>167</v>
      </c>
      <c r="D15" t="s">
        <v>70</v>
      </c>
      <c r="E15" t="s">
        <v>16</v>
      </c>
      <c r="F15" t="s">
        <v>17</v>
      </c>
      <c r="G15" t="s">
        <v>24</v>
      </c>
      <c r="H15" s="24">
        <f>H13</f>
        <v>0.94</v>
      </c>
      <c r="I15" s="24">
        <f>I13</f>
        <v>0.94</v>
      </c>
      <c r="J15" s="24">
        <f>J9</f>
        <v>0.2</v>
      </c>
      <c r="K15" s="24">
        <f>K13</f>
        <v>1</v>
      </c>
      <c r="L15" s="24">
        <f>L13</f>
        <v>0.6</v>
      </c>
      <c r="M15" s="24">
        <f>M13</f>
        <v>-0.13</v>
      </c>
      <c r="N15" s="24">
        <f>N9</f>
        <v>1.2</v>
      </c>
      <c r="O15" s="24">
        <f t="shared" ref="O15:P15" si="14">O9</f>
        <v>2</v>
      </c>
      <c r="P15" s="24">
        <f t="shared" si="14"/>
        <v>2</v>
      </c>
      <c r="Q15" s="24">
        <f>Q9</f>
        <v>1.95</v>
      </c>
      <c r="R15" s="24">
        <f>R9</f>
        <v>5</v>
      </c>
      <c r="S15" s="24">
        <f>S9</f>
        <v>3.89</v>
      </c>
      <c r="T15" s="24">
        <f>T9</f>
        <v>300</v>
      </c>
      <c r="U15" s="24">
        <f>U9</f>
        <v>0.98</v>
      </c>
      <c r="V15" s="24">
        <f>V9</f>
        <v>2.5</v>
      </c>
      <c r="W15" s="24">
        <f>W9</f>
        <v>36</v>
      </c>
      <c r="X15" s="24">
        <f>X9</f>
        <v>144</v>
      </c>
      <c r="Y15" s="24">
        <f>Y13</f>
        <v>0.1</v>
      </c>
      <c r="Z15" s="24">
        <f>Z13</f>
        <v>0.2</v>
      </c>
      <c r="AA15" s="24">
        <f>AA9</f>
        <v>300</v>
      </c>
      <c r="AB15" s="24">
        <f>AB9</f>
        <v>300</v>
      </c>
      <c r="AC15" s="24">
        <f>AC9</f>
        <v>90000</v>
      </c>
      <c r="AD15" s="24">
        <f>AD9</f>
        <v>1530000</v>
      </c>
      <c r="AE15" s="28">
        <f t="shared" si="13"/>
        <v>7.0313571760871663E-2</v>
      </c>
      <c r="AF15" s="24">
        <f>AF13</f>
        <v>80</v>
      </c>
      <c r="AG15">
        <v>7.0000000000000007E-2</v>
      </c>
      <c r="AJ15" t="s">
        <v>249</v>
      </c>
    </row>
    <row r="16" spans="1:36" x14ac:dyDescent="0.25">
      <c r="A16" t="s">
        <v>183</v>
      </c>
      <c r="B16">
        <v>1</v>
      </c>
      <c r="C16" t="s">
        <v>169</v>
      </c>
      <c r="D16" t="s">
        <v>71</v>
      </c>
      <c r="E16" t="s">
        <v>16</v>
      </c>
      <c r="F16" t="s">
        <v>17</v>
      </c>
      <c r="H16" s="17">
        <v>0.23</v>
      </c>
      <c r="I16" s="17">
        <v>0.23</v>
      </c>
      <c r="J16" s="17">
        <v>0.15</v>
      </c>
      <c r="K16" s="17">
        <v>1</v>
      </c>
      <c r="N16" s="17">
        <v>1.2</v>
      </c>
      <c r="O16" s="18">
        <v>2</v>
      </c>
      <c r="P16" s="18">
        <v>2</v>
      </c>
      <c r="Q16" s="24">
        <f t="shared" si="0"/>
        <v>1.95</v>
      </c>
      <c r="R16" s="26">
        <v>5</v>
      </c>
      <c r="S16" s="19">
        <v>3.89</v>
      </c>
      <c r="T16" s="19">
        <v>300</v>
      </c>
      <c r="U16" s="24">
        <f t="shared" si="9"/>
        <v>0.98</v>
      </c>
      <c r="V16" s="24">
        <f t="shared" si="10"/>
        <v>2.5</v>
      </c>
      <c r="W16" s="18">
        <v>36</v>
      </c>
      <c r="X16" s="24">
        <f t="shared" si="4"/>
        <v>144</v>
      </c>
      <c r="Y16" s="17">
        <v>5.0000000000000001E-3</v>
      </c>
      <c r="Z16" s="17">
        <v>5.0000000000000001E-3</v>
      </c>
      <c r="AA16" s="18">
        <v>20</v>
      </c>
      <c r="AB16" s="24">
        <f t="shared" ref="AB16:AB41" si="15">T16</f>
        <v>300</v>
      </c>
      <c r="AC16" s="25">
        <f>30000</f>
        <v>30000</v>
      </c>
      <c r="AD16" s="17">
        <f>1500000*AI16</f>
        <v>1350000</v>
      </c>
      <c r="AE16" s="28">
        <f t="shared" si="5"/>
        <v>7.5009138873610326E-2</v>
      </c>
      <c r="AF16" s="17">
        <v>40</v>
      </c>
      <c r="AG16">
        <v>7.0000000000000007E-2</v>
      </c>
      <c r="AI16">
        <v>0.9</v>
      </c>
    </row>
    <row r="17" spans="1:36" x14ac:dyDescent="0.25">
      <c r="A17" t="s">
        <v>66</v>
      </c>
      <c r="B17">
        <v>1</v>
      </c>
      <c r="C17" t="s">
        <v>169</v>
      </c>
      <c r="D17" t="s">
        <v>71</v>
      </c>
      <c r="E17" t="s">
        <v>16</v>
      </c>
      <c r="F17" t="s">
        <v>17</v>
      </c>
      <c r="H17" s="17">
        <v>0.31</v>
      </c>
      <c r="I17" s="17">
        <v>0.31</v>
      </c>
      <c r="J17" s="17">
        <v>0.2</v>
      </c>
      <c r="K17" s="17">
        <v>1</v>
      </c>
      <c r="N17" s="17">
        <v>2.2000000000000002</v>
      </c>
      <c r="O17" s="18">
        <v>4</v>
      </c>
      <c r="P17" s="27">
        <v>10</v>
      </c>
      <c r="Q17" s="24">
        <f t="shared" si="0"/>
        <v>1.95</v>
      </c>
      <c r="R17" s="26">
        <v>11</v>
      </c>
      <c r="S17" s="19">
        <v>3.89</v>
      </c>
      <c r="T17" s="19">
        <v>400</v>
      </c>
      <c r="U17" s="24">
        <f t="shared" si="9"/>
        <v>0.98</v>
      </c>
      <c r="V17" s="24">
        <f t="shared" si="10"/>
        <v>5.5</v>
      </c>
      <c r="W17" s="18">
        <v>36</v>
      </c>
      <c r="X17" s="24">
        <f t="shared" si="4"/>
        <v>144</v>
      </c>
      <c r="Y17" s="17">
        <v>0.01</v>
      </c>
      <c r="Z17" s="17">
        <v>0.01</v>
      </c>
      <c r="AA17" s="27">
        <v>100</v>
      </c>
      <c r="AB17" s="24">
        <f t="shared" si="15"/>
        <v>400</v>
      </c>
      <c r="AC17" s="25">
        <f>118000*AI17</f>
        <v>106200</v>
      </c>
      <c r="AD17" s="25">
        <f>2000000*AI17</f>
        <v>1800000</v>
      </c>
      <c r="AE17" s="28">
        <f t="shared" si="5"/>
        <v>7.2459849539607671E-2</v>
      </c>
      <c r="AF17" s="17">
        <v>50</v>
      </c>
      <c r="AG17">
        <v>7.0000000000000007E-2</v>
      </c>
      <c r="AI17">
        <v>0.9</v>
      </c>
    </row>
    <row r="18" spans="1:36" x14ac:dyDescent="0.25">
      <c r="A18" t="s">
        <v>67</v>
      </c>
      <c r="B18">
        <v>1</v>
      </c>
      <c r="C18" t="s">
        <v>169</v>
      </c>
      <c r="D18" t="s">
        <v>71</v>
      </c>
      <c r="E18" t="s">
        <v>16</v>
      </c>
      <c r="F18" t="s">
        <v>17</v>
      </c>
      <c r="H18" s="17">
        <v>0.33</v>
      </c>
      <c r="I18" s="17">
        <v>0.33</v>
      </c>
      <c r="J18" s="17">
        <v>0.4</v>
      </c>
      <c r="K18" s="17">
        <v>1</v>
      </c>
      <c r="N18" s="17">
        <v>2.6</v>
      </c>
      <c r="O18" s="18">
        <v>6</v>
      </c>
      <c r="P18" s="27">
        <v>12</v>
      </c>
      <c r="Q18" s="24">
        <f t="shared" si="0"/>
        <v>1.95</v>
      </c>
      <c r="R18" s="26">
        <v>21</v>
      </c>
      <c r="S18" s="19">
        <v>3.89</v>
      </c>
      <c r="T18" s="19">
        <v>500</v>
      </c>
      <c r="U18" s="24">
        <f t="shared" si="9"/>
        <v>0.98</v>
      </c>
      <c r="V18" s="24">
        <f t="shared" si="10"/>
        <v>10.5</v>
      </c>
      <c r="W18" s="18">
        <v>36</v>
      </c>
      <c r="X18" s="24">
        <f t="shared" si="4"/>
        <v>144</v>
      </c>
      <c r="Y18" s="17">
        <v>0.03</v>
      </c>
      <c r="Z18" s="17">
        <v>0.03</v>
      </c>
      <c r="AA18" s="27">
        <v>150</v>
      </c>
      <c r="AB18" s="24">
        <f t="shared" si="15"/>
        <v>500</v>
      </c>
      <c r="AC18" s="17">
        <f>136000*AI18</f>
        <v>122400</v>
      </c>
      <c r="AD18" s="17">
        <f>5250000*AI18</f>
        <v>4725000</v>
      </c>
      <c r="AE18" s="28">
        <f t="shared" si="5"/>
        <v>7.122922550001945E-2</v>
      </c>
      <c r="AF18" s="17">
        <v>60</v>
      </c>
      <c r="AG18">
        <v>7.0000000000000007E-2</v>
      </c>
      <c r="AI18">
        <v>0.9</v>
      </c>
      <c r="AJ18" t="s">
        <v>191</v>
      </c>
    </row>
    <row r="19" spans="1:36" x14ac:dyDescent="0.25">
      <c r="A19" t="s">
        <v>68</v>
      </c>
      <c r="B19">
        <v>1</v>
      </c>
      <c r="C19" t="s">
        <v>169</v>
      </c>
      <c r="D19" t="s">
        <v>71</v>
      </c>
      <c r="E19" t="s">
        <v>16</v>
      </c>
      <c r="F19" t="s">
        <v>17</v>
      </c>
      <c r="H19" s="17">
        <v>0.35</v>
      </c>
      <c r="I19" s="17">
        <v>0.35</v>
      </c>
      <c r="J19" s="17">
        <v>0.5</v>
      </c>
      <c r="K19" s="17">
        <v>1</v>
      </c>
      <c r="N19" s="17">
        <v>2.8</v>
      </c>
      <c r="O19" s="18">
        <v>48</v>
      </c>
      <c r="P19" s="27">
        <v>48</v>
      </c>
      <c r="Q19" s="24">
        <f t="shared" si="0"/>
        <v>1.95</v>
      </c>
      <c r="R19" s="26">
        <v>31</v>
      </c>
      <c r="S19" s="19">
        <v>3.89</v>
      </c>
      <c r="T19" s="19">
        <v>600</v>
      </c>
      <c r="U19" s="24">
        <f t="shared" si="9"/>
        <v>0.98</v>
      </c>
      <c r="V19" s="24">
        <f t="shared" si="10"/>
        <v>15.5</v>
      </c>
      <c r="W19" s="18">
        <v>36</v>
      </c>
      <c r="X19" s="24">
        <f t="shared" si="4"/>
        <v>144</v>
      </c>
      <c r="Y19" s="17">
        <v>0.05</v>
      </c>
      <c r="Z19" s="17">
        <v>0.05</v>
      </c>
      <c r="AA19" s="27">
        <v>200</v>
      </c>
      <c r="AB19" s="24">
        <f t="shared" si="15"/>
        <v>600</v>
      </c>
      <c r="AC19" s="17">
        <f>216000*AI19</f>
        <v>194400</v>
      </c>
      <c r="AD19" s="17">
        <f>10000000*AI19</f>
        <v>9000000</v>
      </c>
      <c r="AE19" s="28">
        <f t="shared" si="5"/>
        <v>7.0619527184264883E-2</v>
      </c>
      <c r="AF19" s="18">
        <v>70</v>
      </c>
      <c r="AG19">
        <v>7.0000000000000007E-2</v>
      </c>
      <c r="AI19">
        <v>0.9</v>
      </c>
    </row>
    <row r="20" spans="1:36" x14ac:dyDescent="0.25">
      <c r="A20" t="s">
        <v>182</v>
      </c>
      <c r="B20">
        <v>1</v>
      </c>
      <c r="C20" t="s">
        <v>169</v>
      </c>
      <c r="D20" t="s">
        <v>71</v>
      </c>
      <c r="E20" t="s">
        <v>16</v>
      </c>
      <c r="F20" t="s">
        <v>17</v>
      </c>
      <c r="H20" s="17">
        <v>0.42</v>
      </c>
      <c r="I20" s="17">
        <v>0.42</v>
      </c>
      <c r="J20" s="17">
        <v>0.95</v>
      </c>
      <c r="K20" s="17">
        <v>1</v>
      </c>
      <c r="N20" s="25">
        <v>16.399999999999999</v>
      </c>
      <c r="O20" s="18">
        <v>96</v>
      </c>
      <c r="P20" s="18">
        <v>96</v>
      </c>
      <c r="Q20" s="24">
        <f t="shared" si="0"/>
        <v>1.95</v>
      </c>
      <c r="R20" s="26">
        <v>100</v>
      </c>
      <c r="S20" s="19">
        <v>3.89</v>
      </c>
      <c r="T20" s="19">
        <v>2000</v>
      </c>
      <c r="U20" s="24">
        <f t="shared" si="9"/>
        <v>0.98</v>
      </c>
      <c r="V20" s="24">
        <f t="shared" si="10"/>
        <v>50</v>
      </c>
      <c r="W20" s="18">
        <v>36</v>
      </c>
      <c r="X20" s="24">
        <f t="shared" si="4"/>
        <v>144</v>
      </c>
      <c r="Y20" s="17">
        <v>0.1</v>
      </c>
      <c r="Z20" s="17">
        <v>0.2</v>
      </c>
      <c r="AA20" s="17">
        <v>300</v>
      </c>
      <c r="AB20" s="24">
        <f t="shared" si="15"/>
        <v>2000</v>
      </c>
      <c r="AC20" s="19">
        <f>280000*AI20</f>
        <v>252000</v>
      </c>
      <c r="AD20" s="17">
        <f>20000000*AI20</f>
        <v>18000000</v>
      </c>
      <c r="AE20" s="28">
        <f t="shared" si="5"/>
        <v>7.0313571760871663E-2</v>
      </c>
      <c r="AF20" s="18">
        <v>80</v>
      </c>
      <c r="AG20">
        <v>7.0000000000000007E-2</v>
      </c>
      <c r="AI20">
        <v>0.9</v>
      </c>
    </row>
    <row r="21" spans="1:36" x14ac:dyDescent="0.25">
      <c r="A21" t="s">
        <v>247</v>
      </c>
      <c r="B21">
        <v>1</v>
      </c>
      <c r="C21" t="s">
        <v>169</v>
      </c>
      <c r="D21" t="s">
        <v>71</v>
      </c>
      <c r="E21" t="s">
        <v>16</v>
      </c>
      <c r="F21" t="s">
        <v>17</v>
      </c>
      <c r="H21" s="24">
        <f>H19</f>
        <v>0.35</v>
      </c>
      <c r="I21" s="24">
        <f>I19</f>
        <v>0.35</v>
      </c>
      <c r="J21" s="24">
        <f>J17</f>
        <v>0.2</v>
      </c>
      <c r="K21" s="24">
        <f>K19</f>
        <v>1</v>
      </c>
      <c r="N21" s="24">
        <f>N17</f>
        <v>2.2000000000000002</v>
      </c>
      <c r="O21" s="24">
        <f t="shared" ref="O21:P21" si="16">O17</f>
        <v>4</v>
      </c>
      <c r="P21" s="24">
        <f t="shared" si="16"/>
        <v>10</v>
      </c>
      <c r="Q21" s="24">
        <f>Q17</f>
        <v>1.95</v>
      </c>
      <c r="R21" s="24">
        <f>R17</f>
        <v>11</v>
      </c>
      <c r="S21" s="24">
        <f t="shared" ref="S21:X21" si="17">S17</f>
        <v>3.89</v>
      </c>
      <c r="T21" s="24">
        <f t="shared" si="17"/>
        <v>400</v>
      </c>
      <c r="U21" s="24">
        <f t="shared" si="17"/>
        <v>0.98</v>
      </c>
      <c r="V21" s="24">
        <f t="shared" si="17"/>
        <v>5.5</v>
      </c>
      <c r="W21" s="24">
        <f t="shared" si="17"/>
        <v>36</v>
      </c>
      <c r="X21" s="24">
        <f t="shared" si="17"/>
        <v>144</v>
      </c>
      <c r="Y21" s="24">
        <f>Y19</f>
        <v>0.05</v>
      </c>
      <c r="Z21" s="24">
        <f>Z19</f>
        <v>0.05</v>
      </c>
      <c r="AA21" s="24">
        <f>AA17</f>
        <v>100</v>
      </c>
      <c r="AB21" s="24">
        <f>AB17</f>
        <v>400</v>
      </c>
      <c r="AC21" s="24">
        <f>AC17</f>
        <v>106200</v>
      </c>
      <c r="AD21" s="24">
        <f>AD17</f>
        <v>1800000</v>
      </c>
      <c r="AE21" s="28">
        <f t="shared" si="5"/>
        <v>7.0619527184264883E-2</v>
      </c>
      <c r="AF21" s="24">
        <f>AF19</f>
        <v>70</v>
      </c>
      <c r="AG21">
        <v>7.0000000000000007E-2</v>
      </c>
      <c r="AJ21" t="s">
        <v>248</v>
      </c>
    </row>
    <row r="22" spans="1:36" x14ac:dyDescent="0.25">
      <c r="A22" t="s">
        <v>246</v>
      </c>
      <c r="B22">
        <v>1</v>
      </c>
      <c r="C22" t="s">
        <v>169</v>
      </c>
      <c r="D22" t="s">
        <v>71</v>
      </c>
      <c r="E22" t="s">
        <v>16</v>
      </c>
      <c r="F22" t="s">
        <v>17</v>
      </c>
      <c r="H22" s="24">
        <f>H20</f>
        <v>0.42</v>
      </c>
      <c r="I22" s="24">
        <f>I20</f>
        <v>0.42</v>
      </c>
      <c r="J22" s="24">
        <f>J16</f>
        <v>0.15</v>
      </c>
      <c r="K22" s="24">
        <f>K20</f>
        <v>1</v>
      </c>
      <c r="N22" s="24">
        <f>N16</f>
        <v>1.2</v>
      </c>
      <c r="O22" s="24">
        <f t="shared" ref="O22:P22" si="18">O16</f>
        <v>2</v>
      </c>
      <c r="P22" s="24">
        <f t="shared" si="18"/>
        <v>2</v>
      </c>
      <c r="Q22" s="24">
        <f>Q16</f>
        <v>1.95</v>
      </c>
      <c r="R22" s="24">
        <f>R16</f>
        <v>5</v>
      </c>
      <c r="S22" s="24">
        <f>S16</f>
        <v>3.89</v>
      </c>
      <c r="T22" s="24">
        <f>T16</f>
        <v>300</v>
      </c>
      <c r="U22" s="24">
        <f>U16</f>
        <v>0.98</v>
      </c>
      <c r="V22" s="24">
        <f>V16</f>
        <v>2.5</v>
      </c>
      <c r="W22" s="24">
        <f>W16</f>
        <v>36</v>
      </c>
      <c r="X22" s="24">
        <f>X16</f>
        <v>144</v>
      </c>
      <c r="Y22" s="24">
        <f>Y20</f>
        <v>0.1</v>
      </c>
      <c r="Z22" s="24">
        <f>Z20</f>
        <v>0.2</v>
      </c>
      <c r="AA22" s="24">
        <f>AA16</f>
        <v>20</v>
      </c>
      <c r="AB22" s="24">
        <f>AB16</f>
        <v>300</v>
      </c>
      <c r="AC22" s="24">
        <f>AC16</f>
        <v>30000</v>
      </c>
      <c r="AD22" s="24">
        <f>AD16</f>
        <v>1350000</v>
      </c>
      <c r="AE22" s="28">
        <f t="shared" si="5"/>
        <v>7.0313571760871663E-2</v>
      </c>
      <c r="AF22" s="24">
        <f>AF20</f>
        <v>80</v>
      </c>
      <c r="AG22">
        <v>7.0000000000000007E-2</v>
      </c>
      <c r="AJ22" t="s">
        <v>249</v>
      </c>
    </row>
    <row r="23" spans="1:36" x14ac:dyDescent="0.25">
      <c r="A23" t="s">
        <v>183</v>
      </c>
      <c r="B23">
        <v>1</v>
      </c>
      <c r="C23" t="s">
        <v>170</v>
      </c>
      <c r="D23" t="s">
        <v>72</v>
      </c>
      <c r="E23" t="s">
        <v>16</v>
      </c>
      <c r="F23" t="s">
        <v>17</v>
      </c>
      <c r="G23" t="s">
        <v>24</v>
      </c>
      <c r="H23" s="17">
        <v>0.81</v>
      </c>
      <c r="I23" s="17">
        <v>0.81</v>
      </c>
      <c r="J23" s="17">
        <v>0.15</v>
      </c>
      <c r="K23" s="17">
        <v>1</v>
      </c>
      <c r="L23" s="26">
        <v>0.2</v>
      </c>
      <c r="M23" s="19">
        <v>-0.17</v>
      </c>
      <c r="N23" s="24">
        <f>ROUND(N16*AH23,2)</f>
        <v>1.2</v>
      </c>
      <c r="O23" s="18">
        <v>2</v>
      </c>
      <c r="P23" s="18">
        <v>2</v>
      </c>
      <c r="Q23" s="24">
        <f t="shared" si="0"/>
        <v>1.95</v>
      </c>
      <c r="R23" s="24">
        <f>R16*AH23</f>
        <v>5</v>
      </c>
      <c r="S23" s="19">
        <v>3.89</v>
      </c>
      <c r="T23" s="24">
        <f>T16*AH23</f>
        <v>300</v>
      </c>
      <c r="U23" s="24">
        <f t="shared" si="9"/>
        <v>0.98</v>
      </c>
      <c r="V23" s="24">
        <f t="shared" si="10"/>
        <v>2.5</v>
      </c>
      <c r="W23" s="18">
        <v>36</v>
      </c>
      <c r="X23" s="24">
        <f t="shared" si="4"/>
        <v>144</v>
      </c>
      <c r="Y23" s="17">
        <v>5.0000000000000001E-3</v>
      </c>
      <c r="Z23" s="17">
        <v>5.0000000000000001E-3</v>
      </c>
      <c r="AA23" s="18">
        <v>20</v>
      </c>
      <c r="AB23" s="24">
        <f t="shared" si="15"/>
        <v>300</v>
      </c>
      <c r="AC23" s="24">
        <f>AC16*AH23</f>
        <v>30000</v>
      </c>
      <c r="AD23" s="24">
        <f>AD16*AH23</f>
        <v>1350000</v>
      </c>
      <c r="AE23" s="28">
        <f t="shared" si="5"/>
        <v>7.5009138873610326E-2</v>
      </c>
      <c r="AF23" s="17">
        <v>40</v>
      </c>
      <c r="AG23">
        <v>7.0000000000000007E-2</v>
      </c>
      <c r="AH23">
        <v>1</v>
      </c>
    </row>
    <row r="24" spans="1:36" x14ac:dyDescent="0.25">
      <c r="A24" t="s">
        <v>66</v>
      </c>
      <c r="B24">
        <v>1</v>
      </c>
      <c r="C24" t="s">
        <v>170</v>
      </c>
      <c r="D24" t="s">
        <v>72</v>
      </c>
      <c r="E24" t="s">
        <v>16</v>
      </c>
      <c r="F24" t="s">
        <v>17</v>
      </c>
      <c r="G24" t="s">
        <v>24</v>
      </c>
      <c r="H24" s="17">
        <v>0.86</v>
      </c>
      <c r="I24" s="17">
        <v>0.86</v>
      </c>
      <c r="J24" s="17">
        <v>0.2</v>
      </c>
      <c r="K24" s="17">
        <v>1</v>
      </c>
      <c r="L24" s="26">
        <v>0.3</v>
      </c>
      <c r="M24" s="26">
        <v>-0.16</v>
      </c>
      <c r="N24" s="24">
        <f>ROUND(N17*AH24,2)</f>
        <v>2.33</v>
      </c>
      <c r="O24" s="18">
        <v>4</v>
      </c>
      <c r="P24" s="27">
        <v>10</v>
      </c>
      <c r="Q24" s="24">
        <f t="shared" si="0"/>
        <v>1.95</v>
      </c>
      <c r="R24" s="24">
        <f>R17*AH24</f>
        <v>11.66</v>
      </c>
      <c r="S24" s="19">
        <v>3.89</v>
      </c>
      <c r="T24" s="24">
        <f>T17*AH24</f>
        <v>424</v>
      </c>
      <c r="U24" s="24">
        <f t="shared" si="9"/>
        <v>0.98</v>
      </c>
      <c r="V24" s="24">
        <f t="shared" si="10"/>
        <v>5.83</v>
      </c>
      <c r="W24" s="18">
        <v>36</v>
      </c>
      <c r="X24" s="24">
        <f t="shared" si="4"/>
        <v>144</v>
      </c>
      <c r="Y24" s="17">
        <v>0.01</v>
      </c>
      <c r="Z24" s="17">
        <v>0.01</v>
      </c>
      <c r="AA24" s="27">
        <v>100</v>
      </c>
      <c r="AB24" s="24">
        <f t="shared" si="15"/>
        <v>424</v>
      </c>
      <c r="AC24" s="24">
        <f>AC17*AH24</f>
        <v>112572</v>
      </c>
      <c r="AD24" s="24">
        <f>AD17*AH24</f>
        <v>1908000</v>
      </c>
      <c r="AE24" s="28">
        <f t="shared" si="5"/>
        <v>7.2459849539607671E-2</v>
      </c>
      <c r="AF24" s="17">
        <v>50</v>
      </c>
      <c r="AG24">
        <v>7.0000000000000007E-2</v>
      </c>
      <c r="AH24">
        <v>1.06</v>
      </c>
    </row>
    <row r="25" spans="1:36" x14ac:dyDescent="0.25">
      <c r="A25" t="s">
        <v>67</v>
      </c>
      <c r="B25">
        <v>1</v>
      </c>
      <c r="C25" t="s">
        <v>170</v>
      </c>
      <c r="D25" t="s">
        <v>72</v>
      </c>
      <c r="E25" t="s">
        <v>16</v>
      </c>
      <c r="F25" t="s">
        <v>17</v>
      </c>
      <c r="G25" t="s">
        <v>24</v>
      </c>
      <c r="H25" s="17">
        <v>0.9</v>
      </c>
      <c r="I25" s="17">
        <v>0.9</v>
      </c>
      <c r="J25" s="17">
        <v>0.4</v>
      </c>
      <c r="K25" s="17">
        <v>1</v>
      </c>
      <c r="L25" s="26">
        <v>0.4</v>
      </c>
      <c r="M25" s="26">
        <v>-0.15</v>
      </c>
      <c r="N25" s="24">
        <f>ROUND(N18*AH25,2)</f>
        <v>2.89</v>
      </c>
      <c r="O25" s="18">
        <v>6</v>
      </c>
      <c r="P25" s="27">
        <v>12</v>
      </c>
      <c r="Q25" s="24">
        <f t="shared" si="0"/>
        <v>1.95</v>
      </c>
      <c r="R25" s="24">
        <f>R18*AH25</f>
        <v>23.310000000000002</v>
      </c>
      <c r="S25" s="19">
        <v>3.89</v>
      </c>
      <c r="T25" s="24">
        <f>T18*AH25</f>
        <v>555</v>
      </c>
      <c r="U25" s="24">
        <f t="shared" si="9"/>
        <v>0.98</v>
      </c>
      <c r="V25" s="24">
        <f t="shared" si="10"/>
        <v>11.66</v>
      </c>
      <c r="W25" s="18">
        <v>36</v>
      </c>
      <c r="X25" s="24">
        <f t="shared" si="4"/>
        <v>144</v>
      </c>
      <c r="Y25" s="17">
        <v>0.03</v>
      </c>
      <c r="Z25" s="17">
        <v>0.03</v>
      </c>
      <c r="AA25" s="27">
        <v>150</v>
      </c>
      <c r="AB25" s="24">
        <f t="shared" si="15"/>
        <v>555</v>
      </c>
      <c r="AC25" s="24">
        <f>AC18*AH25</f>
        <v>135864</v>
      </c>
      <c r="AD25" s="24">
        <f>AD18*AH25</f>
        <v>5244750</v>
      </c>
      <c r="AE25" s="28">
        <f t="shared" si="5"/>
        <v>7.122922550001945E-2</v>
      </c>
      <c r="AF25" s="17">
        <v>60</v>
      </c>
      <c r="AG25">
        <v>7.0000000000000007E-2</v>
      </c>
      <c r="AH25">
        <v>1.1100000000000001</v>
      </c>
      <c r="AJ25" t="s">
        <v>194</v>
      </c>
    </row>
    <row r="26" spans="1:36" x14ac:dyDescent="0.25">
      <c r="A26" t="s">
        <v>68</v>
      </c>
      <c r="B26">
        <v>1</v>
      </c>
      <c r="C26" t="s">
        <v>170</v>
      </c>
      <c r="D26" t="s">
        <v>72</v>
      </c>
      <c r="E26" t="s">
        <v>16</v>
      </c>
      <c r="F26" t="s">
        <v>17</v>
      </c>
      <c r="G26" t="s">
        <v>24</v>
      </c>
      <c r="H26" s="17">
        <v>0.93</v>
      </c>
      <c r="I26" s="17">
        <v>0.93</v>
      </c>
      <c r="J26" s="17">
        <v>0.5</v>
      </c>
      <c r="K26" s="17">
        <v>1</v>
      </c>
      <c r="L26" s="26">
        <v>0.5</v>
      </c>
      <c r="M26" s="26">
        <v>-0.14000000000000001</v>
      </c>
      <c r="N26" s="24">
        <f>ROUND(N19*AH26,2)</f>
        <v>3.22</v>
      </c>
      <c r="O26" s="18">
        <v>48</v>
      </c>
      <c r="P26" s="27">
        <v>48</v>
      </c>
      <c r="Q26" s="24">
        <f t="shared" si="0"/>
        <v>1.95</v>
      </c>
      <c r="R26" s="24">
        <f>R19*AH26</f>
        <v>35.65</v>
      </c>
      <c r="S26" s="19">
        <v>3.89</v>
      </c>
      <c r="T26" s="24">
        <f>T19*AH26</f>
        <v>690</v>
      </c>
      <c r="U26" s="24">
        <f t="shared" si="9"/>
        <v>0.98</v>
      </c>
      <c r="V26" s="24">
        <f t="shared" si="10"/>
        <v>17.829999999999998</v>
      </c>
      <c r="W26" s="18">
        <v>36</v>
      </c>
      <c r="X26" s="24">
        <f t="shared" si="4"/>
        <v>144</v>
      </c>
      <c r="Y26" s="17">
        <v>0.05</v>
      </c>
      <c r="Z26" s="17">
        <v>0.05</v>
      </c>
      <c r="AA26" s="27">
        <v>200</v>
      </c>
      <c r="AB26" s="24">
        <f t="shared" si="15"/>
        <v>690</v>
      </c>
      <c r="AC26" s="24">
        <f>AC19*AH26</f>
        <v>223559.99999999997</v>
      </c>
      <c r="AD26" s="24">
        <f>AD19*AH26</f>
        <v>10350000</v>
      </c>
      <c r="AE26" s="28">
        <f t="shared" si="5"/>
        <v>7.0619527184264883E-2</v>
      </c>
      <c r="AF26" s="18">
        <v>70</v>
      </c>
      <c r="AG26">
        <v>7.0000000000000007E-2</v>
      </c>
      <c r="AH26">
        <v>1.1499999999999999</v>
      </c>
    </row>
    <row r="27" spans="1:36" x14ac:dyDescent="0.25">
      <c r="A27" t="s">
        <v>182</v>
      </c>
      <c r="B27">
        <v>1</v>
      </c>
      <c r="C27" t="s">
        <v>170</v>
      </c>
      <c r="D27" t="s">
        <v>72</v>
      </c>
      <c r="E27" t="s">
        <v>16</v>
      </c>
      <c r="F27" t="s">
        <v>17</v>
      </c>
      <c r="G27" t="s">
        <v>24</v>
      </c>
      <c r="H27" s="17">
        <v>0.94</v>
      </c>
      <c r="I27" s="17">
        <v>0.94</v>
      </c>
      <c r="J27" s="17">
        <v>0.95</v>
      </c>
      <c r="K27" s="17">
        <v>1</v>
      </c>
      <c r="L27" s="26">
        <v>0.6</v>
      </c>
      <c r="M27" s="26">
        <v>-0.13</v>
      </c>
      <c r="N27" s="24">
        <f>ROUND(N20*AH27,2)</f>
        <v>20.010000000000002</v>
      </c>
      <c r="O27" s="18">
        <v>96</v>
      </c>
      <c r="P27" s="18">
        <v>96</v>
      </c>
      <c r="Q27" s="24">
        <f t="shared" si="0"/>
        <v>1.95</v>
      </c>
      <c r="R27" s="24">
        <f>R20*AH27</f>
        <v>122</v>
      </c>
      <c r="S27" s="19">
        <v>3.89</v>
      </c>
      <c r="T27" s="24">
        <f>T20*AH27</f>
        <v>2440</v>
      </c>
      <c r="U27" s="24">
        <f t="shared" si="9"/>
        <v>0.98</v>
      </c>
      <c r="V27" s="24">
        <f t="shared" si="10"/>
        <v>61</v>
      </c>
      <c r="W27" s="18">
        <v>36</v>
      </c>
      <c r="X27" s="24">
        <f t="shared" si="4"/>
        <v>144</v>
      </c>
      <c r="Y27" s="17">
        <v>0.1</v>
      </c>
      <c r="Z27" s="17">
        <v>0.2</v>
      </c>
      <c r="AA27" s="17">
        <v>300</v>
      </c>
      <c r="AB27" s="24">
        <f t="shared" si="15"/>
        <v>2440</v>
      </c>
      <c r="AC27" s="24">
        <f>AC20*AH27</f>
        <v>307440</v>
      </c>
      <c r="AD27" s="24">
        <f>AD20*AH27</f>
        <v>21960000</v>
      </c>
      <c r="AE27" s="28">
        <f t="shared" si="5"/>
        <v>7.0313571760871663E-2</v>
      </c>
      <c r="AF27" s="18">
        <v>80</v>
      </c>
      <c r="AG27">
        <v>7.0000000000000007E-2</v>
      </c>
      <c r="AH27">
        <v>1.22</v>
      </c>
    </row>
    <row r="28" spans="1:36" x14ac:dyDescent="0.25">
      <c r="A28" t="s">
        <v>247</v>
      </c>
      <c r="B28">
        <v>1</v>
      </c>
      <c r="C28" t="s">
        <v>170</v>
      </c>
      <c r="D28" t="s">
        <v>72</v>
      </c>
      <c r="E28" t="s">
        <v>16</v>
      </c>
      <c r="F28" t="s">
        <v>17</v>
      </c>
      <c r="G28" t="s">
        <v>24</v>
      </c>
      <c r="H28" s="24">
        <f>H26</f>
        <v>0.93</v>
      </c>
      <c r="I28" s="24">
        <f>I26</f>
        <v>0.93</v>
      </c>
      <c r="J28" s="24">
        <f>J24</f>
        <v>0.2</v>
      </c>
      <c r="K28" s="24">
        <f>K26</f>
        <v>1</v>
      </c>
      <c r="L28" s="24">
        <f>L26</f>
        <v>0.5</v>
      </c>
      <c r="M28" s="24">
        <f>M26</f>
        <v>-0.14000000000000001</v>
      </c>
      <c r="N28" s="24">
        <f>N24</f>
        <v>2.33</v>
      </c>
      <c r="O28" s="24">
        <f t="shared" ref="O28:P28" si="19">O24</f>
        <v>4</v>
      </c>
      <c r="P28" s="24">
        <f t="shared" si="19"/>
        <v>10</v>
      </c>
      <c r="Q28" s="24">
        <f>Q24</f>
        <v>1.95</v>
      </c>
      <c r="R28" s="24">
        <f>R24</f>
        <v>11.66</v>
      </c>
      <c r="S28" s="24">
        <f t="shared" ref="S28:X28" si="20">S24</f>
        <v>3.89</v>
      </c>
      <c r="T28" s="24">
        <f t="shared" si="20"/>
        <v>424</v>
      </c>
      <c r="U28" s="24">
        <f t="shared" si="20"/>
        <v>0.98</v>
      </c>
      <c r="V28" s="24">
        <f t="shared" si="20"/>
        <v>5.83</v>
      </c>
      <c r="W28" s="24">
        <f t="shared" si="20"/>
        <v>36</v>
      </c>
      <c r="X28" s="24">
        <f t="shared" si="20"/>
        <v>144</v>
      </c>
      <c r="Y28" s="24">
        <f>Y26</f>
        <v>0.05</v>
      </c>
      <c r="Z28" s="24">
        <f>Z26</f>
        <v>0.05</v>
      </c>
      <c r="AA28" s="24">
        <f>AA24</f>
        <v>100</v>
      </c>
      <c r="AB28" s="24">
        <f>AB24</f>
        <v>424</v>
      </c>
      <c r="AC28" s="24">
        <f>AC24</f>
        <v>112572</v>
      </c>
      <c r="AD28" s="24">
        <f>AD24</f>
        <v>1908000</v>
      </c>
      <c r="AE28" s="28">
        <f t="shared" ref="AE28:AE29" si="21">-PMT(AG28,AF28,1)</f>
        <v>7.0619527184264883E-2</v>
      </c>
      <c r="AF28" s="24">
        <f>AF26</f>
        <v>70</v>
      </c>
      <c r="AG28">
        <v>7.0000000000000007E-2</v>
      </c>
      <c r="AJ28" t="s">
        <v>248</v>
      </c>
    </row>
    <row r="29" spans="1:36" x14ac:dyDescent="0.25">
      <c r="A29" t="s">
        <v>246</v>
      </c>
      <c r="B29">
        <v>1</v>
      </c>
      <c r="C29" t="s">
        <v>170</v>
      </c>
      <c r="D29" t="s">
        <v>72</v>
      </c>
      <c r="E29" t="s">
        <v>16</v>
      </c>
      <c r="F29" t="s">
        <v>17</v>
      </c>
      <c r="G29" t="s">
        <v>24</v>
      </c>
      <c r="H29" s="24">
        <f>H27</f>
        <v>0.94</v>
      </c>
      <c r="I29" s="24">
        <f>I27</f>
        <v>0.94</v>
      </c>
      <c r="J29" s="24">
        <f>J23</f>
        <v>0.15</v>
      </c>
      <c r="K29" s="24">
        <f>K27</f>
        <v>1</v>
      </c>
      <c r="L29" s="24">
        <f>L27</f>
        <v>0.6</v>
      </c>
      <c r="M29" s="24">
        <f>M27</f>
        <v>-0.13</v>
      </c>
      <c r="N29" s="24">
        <f>N23</f>
        <v>1.2</v>
      </c>
      <c r="O29" s="24">
        <f t="shared" ref="O29:P29" si="22">O23</f>
        <v>2</v>
      </c>
      <c r="P29" s="24">
        <f t="shared" si="22"/>
        <v>2</v>
      </c>
      <c r="Q29" s="24">
        <f>Q23</f>
        <v>1.95</v>
      </c>
      <c r="R29" s="24">
        <f>R23</f>
        <v>5</v>
      </c>
      <c r="S29" s="24">
        <f>S23</f>
        <v>3.89</v>
      </c>
      <c r="T29" s="24">
        <f>T23</f>
        <v>300</v>
      </c>
      <c r="U29" s="24">
        <f>U23</f>
        <v>0.98</v>
      </c>
      <c r="V29" s="24">
        <f>V23</f>
        <v>2.5</v>
      </c>
      <c r="W29" s="24">
        <f>W23</f>
        <v>36</v>
      </c>
      <c r="X29" s="24">
        <f>X23</f>
        <v>144</v>
      </c>
      <c r="Y29" s="24">
        <f>Y27</f>
        <v>0.1</v>
      </c>
      <c r="Z29" s="24">
        <f>Z27</f>
        <v>0.2</v>
      </c>
      <c r="AA29" s="24">
        <f>AA23</f>
        <v>20</v>
      </c>
      <c r="AB29" s="24">
        <f>AB23</f>
        <v>300</v>
      </c>
      <c r="AC29" s="24">
        <f>AC23</f>
        <v>30000</v>
      </c>
      <c r="AD29" s="24">
        <f>AD23</f>
        <v>1350000</v>
      </c>
      <c r="AE29" s="28">
        <f t="shared" si="21"/>
        <v>7.0313571760871663E-2</v>
      </c>
      <c r="AF29" s="24">
        <f>AF27</f>
        <v>80</v>
      </c>
      <c r="AG29">
        <v>7.0000000000000007E-2</v>
      </c>
      <c r="AJ29" t="s">
        <v>249</v>
      </c>
    </row>
    <row r="30" spans="1:36" x14ac:dyDescent="0.25">
      <c r="A30" t="s">
        <v>183</v>
      </c>
      <c r="B30">
        <v>1</v>
      </c>
      <c r="C30" t="s">
        <v>171</v>
      </c>
      <c r="D30" t="s">
        <v>172</v>
      </c>
      <c r="E30" t="s">
        <v>16</v>
      </c>
      <c r="F30" t="s">
        <v>24</v>
      </c>
      <c r="H30" s="17">
        <v>0.81</v>
      </c>
      <c r="I30" s="17">
        <v>0.81</v>
      </c>
      <c r="J30" s="17">
        <v>0.15</v>
      </c>
      <c r="K30" s="17">
        <v>1</v>
      </c>
      <c r="N30" s="18">
        <v>0</v>
      </c>
      <c r="O30" s="18">
        <v>2</v>
      </c>
      <c r="P30" s="18">
        <v>2</v>
      </c>
      <c r="Q30" s="24">
        <f t="shared" si="0"/>
        <v>1.95</v>
      </c>
      <c r="R30" s="26">
        <v>1</v>
      </c>
      <c r="S30" s="19">
        <v>3.89</v>
      </c>
      <c r="T30" s="19">
        <v>50</v>
      </c>
      <c r="U30" s="24">
        <f t="shared" si="9"/>
        <v>0.98</v>
      </c>
      <c r="V30" s="24">
        <f t="shared" si="10"/>
        <v>0.5</v>
      </c>
      <c r="W30" s="18">
        <v>36</v>
      </c>
      <c r="X30" s="24">
        <f t="shared" si="4"/>
        <v>144</v>
      </c>
      <c r="Y30" s="18">
        <v>5.0000000000000001E-3</v>
      </c>
      <c r="Z30" s="18">
        <v>5.0000000000000001E-3</v>
      </c>
      <c r="AA30" s="18">
        <v>20</v>
      </c>
      <c r="AB30" s="24">
        <f t="shared" si="15"/>
        <v>50</v>
      </c>
      <c r="AC30" s="18">
        <v>7320</v>
      </c>
      <c r="AD30" s="18">
        <v>244000</v>
      </c>
      <c r="AE30" s="28">
        <f t="shared" si="5"/>
        <v>7.5009138873610326E-2</v>
      </c>
      <c r="AF30" s="17">
        <v>40</v>
      </c>
      <c r="AG30">
        <v>7.0000000000000007E-2</v>
      </c>
    </row>
    <row r="31" spans="1:36" x14ac:dyDescent="0.25">
      <c r="A31" t="s">
        <v>66</v>
      </c>
      <c r="B31">
        <v>1</v>
      </c>
      <c r="C31" t="s">
        <v>171</v>
      </c>
      <c r="D31" t="s">
        <v>172</v>
      </c>
      <c r="E31" t="s">
        <v>16</v>
      </c>
      <c r="F31" t="s">
        <v>24</v>
      </c>
      <c r="H31" s="17">
        <v>0.88</v>
      </c>
      <c r="I31" s="17">
        <v>0.88</v>
      </c>
      <c r="J31" s="17">
        <v>0.2</v>
      </c>
      <c r="K31" s="17">
        <v>1</v>
      </c>
      <c r="N31" s="17">
        <v>0.5</v>
      </c>
      <c r="O31" s="18">
        <v>4</v>
      </c>
      <c r="P31" s="27">
        <v>10</v>
      </c>
      <c r="Q31" s="24">
        <f t="shared" si="0"/>
        <v>1.95</v>
      </c>
      <c r="R31" s="26">
        <v>5</v>
      </c>
      <c r="S31" s="19">
        <v>3.89</v>
      </c>
      <c r="T31" s="19">
        <v>150</v>
      </c>
      <c r="U31" s="24">
        <f t="shared" si="9"/>
        <v>0.98</v>
      </c>
      <c r="V31" s="24">
        <f t="shared" si="10"/>
        <v>2.5</v>
      </c>
      <c r="W31" s="18">
        <v>36</v>
      </c>
      <c r="X31" s="24">
        <f t="shared" si="4"/>
        <v>144</v>
      </c>
      <c r="Y31" s="18">
        <v>0.01</v>
      </c>
      <c r="Z31" s="18">
        <v>0.01</v>
      </c>
      <c r="AA31" s="27">
        <v>100</v>
      </c>
      <c r="AB31" s="24">
        <f t="shared" si="15"/>
        <v>150</v>
      </c>
      <c r="AC31" s="17">
        <v>27000</v>
      </c>
      <c r="AD31" s="17">
        <v>489000</v>
      </c>
      <c r="AE31" s="28">
        <f t="shared" si="5"/>
        <v>7.2459849539607671E-2</v>
      </c>
      <c r="AF31" s="17">
        <v>50</v>
      </c>
      <c r="AG31">
        <v>7.0000000000000007E-2</v>
      </c>
    </row>
    <row r="32" spans="1:36" x14ac:dyDescent="0.25">
      <c r="A32" t="s">
        <v>67</v>
      </c>
      <c r="B32">
        <v>1</v>
      </c>
      <c r="C32" t="s">
        <v>171</v>
      </c>
      <c r="D32" t="s">
        <v>172</v>
      </c>
      <c r="E32" t="s">
        <v>16</v>
      </c>
      <c r="F32" t="s">
        <v>24</v>
      </c>
      <c r="H32" s="17">
        <v>0.9</v>
      </c>
      <c r="I32" s="17">
        <v>0.9</v>
      </c>
      <c r="J32" s="17">
        <v>0.4</v>
      </c>
      <c r="K32" s="17">
        <v>1</v>
      </c>
      <c r="N32" s="17">
        <v>1</v>
      </c>
      <c r="O32" s="18">
        <v>6</v>
      </c>
      <c r="P32" s="27">
        <v>12</v>
      </c>
      <c r="Q32" s="24">
        <f t="shared" si="0"/>
        <v>1.95</v>
      </c>
      <c r="R32" s="26">
        <v>11</v>
      </c>
      <c r="S32" s="19">
        <v>3.89</v>
      </c>
      <c r="T32" s="19">
        <v>250</v>
      </c>
      <c r="U32" s="24">
        <f t="shared" si="9"/>
        <v>0.98</v>
      </c>
      <c r="V32" s="24">
        <f t="shared" si="10"/>
        <v>5.5</v>
      </c>
      <c r="W32" s="18">
        <v>36</v>
      </c>
      <c r="X32" s="24">
        <f t="shared" si="4"/>
        <v>144</v>
      </c>
      <c r="Y32" s="18">
        <v>0.03</v>
      </c>
      <c r="Z32" s="18">
        <v>0.03</v>
      </c>
      <c r="AA32" s="27">
        <v>150</v>
      </c>
      <c r="AB32" s="24">
        <f t="shared" si="15"/>
        <v>250</v>
      </c>
      <c r="AC32" s="17">
        <v>33000</v>
      </c>
      <c r="AD32" s="17">
        <v>978000</v>
      </c>
      <c r="AE32" s="28">
        <f t="shared" si="5"/>
        <v>7.122922550001945E-2</v>
      </c>
      <c r="AF32" s="17">
        <v>60</v>
      </c>
      <c r="AG32">
        <v>7.0000000000000007E-2</v>
      </c>
      <c r="AJ32" t="s">
        <v>196</v>
      </c>
    </row>
    <row r="33" spans="1:36" x14ac:dyDescent="0.25">
      <c r="A33" t="s">
        <v>68</v>
      </c>
      <c r="B33">
        <v>1</v>
      </c>
      <c r="C33" t="s">
        <v>171</v>
      </c>
      <c r="D33" t="s">
        <v>172</v>
      </c>
      <c r="E33" t="s">
        <v>16</v>
      </c>
      <c r="F33" t="s">
        <v>24</v>
      </c>
      <c r="H33" s="17">
        <v>0.92</v>
      </c>
      <c r="I33" s="17">
        <v>0.92</v>
      </c>
      <c r="J33" s="17">
        <v>0.5</v>
      </c>
      <c r="K33" s="17">
        <v>1</v>
      </c>
      <c r="N33" s="17">
        <v>2</v>
      </c>
      <c r="O33" s="18">
        <v>48</v>
      </c>
      <c r="P33" s="27">
        <v>48</v>
      </c>
      <c r="Q33" s="24">
        <f t="shared" si="0"/>
        <v>1.95</v>
      </c>
      <c r="R33" s="26">
        <v>21</v>
      </c>
      <c r="S33" s="19">
        <v>3.89</v>
      </c>
      <c r="T33" s="19">
        <v>350</v>
      </c>
      <c r="U33" s="24">
        <f t="shared" si="9"/>
        <v>0.98</v>
      </c>
      <c r="V33" s="24">
        <f t="shared" si="10"/>
        <v>10.5</v>
      </c>
      <c r="W33" s="18">
        <v>36</v>
      </c>
      <c r="X33" s="24">
        <f t="shared" si="4"/>
        <v>144</v>
      </c>
      <c r="Y33" s="18">
        <v>0.05</v>
      </c>
      <c r="Z33" s="18">
        <v>0.05</v>
      </c>
      <c r="AA33" s="27">
        <v>200</v>
      </c>
      <c r="AB33" s="24">
        <f t="shared" si="15"/>
        <v>350</v>
      </c>
      <c r="AC33" s="17">
        <v>40000</v>
      </c>
      <c r="AD33" s="17">
        <v>1466000</v>
      </c>
      <c r="AE33" s="28">
        <f t="shared" si="5"/>
        <v>7.0619527184264883E-2</v>
      </c>
      <c r="AF33" s="18">
        <v>70</v>
      </c>
      <c r="AG33">
        <v>7.0000000000000007E-2</v>
      </c>
    </row>
    <row r="34" spans="1:36" x14ac:dyDescent="0.25">
      <c r="A34" t="s">
        <v>182</v>
      </c>
      <c r="B34">
        <v>1</v>
      </c>
      <c r="C34" t="s">
        <v>171</v>
      </c>
      <c r="D34" t="s">
        <v>172</v>
      </c>
      <c r="E34" t="s">
        <v>16</v>
      </c>
      <c r="F34" t="s">
        <v>24</v>
      </c>
      <c r="H34" s="17">
        <v>0.94</v>
      </c>
      <c r="I34" s="17">
        <v>0.94</v>
      </c>
      <c r="J34" s="17">
        <v>0.95</v>
      </c>
      <c r="K34" s="17">
        <v>1</v>
      </c>
      <c r="N34" s="27">
        <v>6.3</v>
      </c>
      <c r="O34" s="18">
        <v>96</v>
      </c>
      <c r="P34" s="18">
        <v>96</v>
      </c>
      <c r="Q34" s="24">
        <f>ROUND(S34/2,2)</f>
        <v>1.95</v>
      </c>
      <c r="R34" s="26">
        <v>50</v>
      </c>
      <c r="S34" s="19">
        <v>3.89</v>
      </c>
      <c r="T34" s="19">
        <v>1000</v>
      </c>
      <c r="U34" s="24">
        <f t="shared" si="9"/>
        <v>0.98</v>
      </c>
      <c r="V34" s="24">
        <f t="shared" si="10"/>
        <v>25</v>
      </c>
      <c r="W34" s="18">
        <v>36</v>
      </c>
      <c r="X34" s="24">
        <f t="shared" si="4"/>
        <v>144</v>
      </c>
      <c r="Y34" s="18">
        <v>0.1</v>
      </c>
      <c r="Z34" s="18">
        <v>0.2</v>
      </c>
      <c r="AA34" s="18">
        <v>300</v>
      </c>
      <c r="AB34" s="24">
        <f t="shared" si="15"/>
        <v>1000</v>
      </c>
      <c r="AC34" s="18">
        <v>67500</v>
      </c>
      <c r="AD34" s="18">
        <v>2250000</v>
      </c>
      <c r="AE34" s="28">
        <f t="shared" si="5"/>
        <v>7.0313571760871663E-2</v>
      </c>
      <c r="AF34" s="18">
        <v>80</v>
      </c>
      <c r="AG34">
        <v>7.0000000000000007E-2</v>
      </c>
    </row>
    <row r="35" spans="1:36" x14ac:dyDescent="0.25">
      <c r="A35" t="s">
        <v>247</v>
      </c>
      <c r="B35">
        <v>1</v>
      </c>
      <c r="C35" t="s">
        <v>171</v>
      </c>
      <c r="D35" t="s">
        <v>172</v>
      </c>
      <c r="E35" t="s">
        <v>16</v>
      </c>
      <c r="F35" t="s">
        <v>24</v>
      </c>
      <c r="H35" s="24">
        <f>H33</f>
        <v>0.92</v>
      </c>
      <c r="I35" s="24">
        <f>I33</f>
        <v>0.92</v>
      </c>
      <c r="J35" s="24">
        <f>J31</f>
        <v>0.2</v>
      </c>
      <c r="K35" s="24">
        <f>K33</f>
        <v>1</v>
      </c>
      <c r="N35" s="24">
        <f>N31</f>
        <v>0.5</v>
      </c>
      <c r="O35" s="24">
        <f t="shared" ref="O35:P35" si="23">O31</f>
        <v>4</v>
      </c>
      <c r="P35" s="24">
        <f t="shared" si="23"/>
        <v>10</v>
      </c>
      <c r="Q35" s="24">
        <f>Q31</f>
        <v>1.95</v>
      </c>
      <c r="R35" s="24">
        <f>R31</f>
        <v>5</v>
      </c>
      <c r="S35" s="24">
        <f t="shared" ref="S35:X35" si="24">S31</f>
        <v>3.89</v>
      </c>
      <c r="T35" s="24">
        <f t="shared" si="24"/>
        <v>150</v>
      </c>
      <c r="U35" s="24">
        <f t="shared" si="24"/>
        <v>0.98</v>
      </c>
      <c r="V35" s="24">
        <f t="shared" si="24"/>
        <v>2.5</v>
      </c>
      <c r="W35" s="24">
        <f t="shared" si="24"/>
        <v>36</v>
      </c>
      <c r="X35" s="24">
        <f t="shared" si="24"/>
        <v>144</v>
      </c>
      <c r="Y35" s="24">
        <f>Y33</f>
        <v>0.05</v>
      </c>
      <c r="Z35" s="24">
        <f>Z33</f>
        <v>0.05</v>
      </c>
      <c r="AA35" s="24">
        <f>AA31</f>
        <v>100</v>
      </c>
      <c r="AB35" s="24">
        <f>AB31</f>
        <v>150</v>
      </c>
      <c r="AC35" s="24">
        <f>AC31</f>
        <v>27000</v>
      </c>
      <c r="AD35" s="24">
        <f>AD31</f>
        <v>489000</v>
      </c>
      <c r="AE35" s="28">
        <f t="shared" ref="AE35:AE36" si="25">-PMT(AG35,AF35,1)</f>
        <v>7.0619527184264883E-2</v>
      </c>
      <c r="AF35" s="24">
        <f>AF33</f>
        <v>70</v>
      </c>
      <c r="AG35">
        <v>7.0000000000000007E-2</v>
      </c>
      <c r="AJ35" t="s">
        <v>248</v>
      </c>
    </row>
    <row r="36" spans="1:36" x14ac:dyDescent="0.25">
      <c r="A36" t="s">
        <v>246</v>
      </c>
      <c r="B36">
        <v>1</v>
      </c>
      <c r="C36" t="s">
        <v>171</v>
      </c>
      <c r="D36" t="s">
        <v>172</v>
      </c>
      <c r="E36" t="s">
        <v>16</v>
      </c>
      <c r="F36" t="s">
        <v>24</v>
      </c>
      <c r="H36" s="24">
        <f>H34</f>
        <v>0.94</v>
      </c>
      <c r="I36" s="24">
        <f>I34</f>
        <v>0.94</v>
      </c>
      <c r="J36" s="24">
        <f>J30</f>
        <v>0.15</v>
      </c>
      <c r="K36" s="24">
        <f>K34</f>
        <v>1</v>
      </c>
      <c r="N36" s="24">
        <f>N30</f>
        <v>0</v>
      </c>
      <c r="O36" s="24">
        <f t="shared" ref="O36:P36" si="26">O30</f>
        <v>2</v>
      </c>
      <c r="P36" s="24">
        <f t="shared" si="26"/>
        <v>2</v>
      </c>
      <c r="Q36" s="24">
        <f>Q30</f>
        <v>1.95</v>
      </c>
      <c r="R36" s="24">
        <f>R30</f>
        <v>1</v>
      </c>
      <c r="S36" s="24">
        <f>S30</f>
        <v>3.89</v>
      </c>
      <c r="T36" s="24">
        <f>T30</f>
        <v>50</v>
      </c>
      <c r="U36" s="24">
        <f>U30</f>
        <v>0.98</v>
      </c>
      <c r="V36" s="24">
        <f>V30</f>
        <v>0.5</v>
      </c>
      <c r="W36" s="24">
        <f>W30</f>
        <v>36</v>
      </c>
      <c r="X36" s="24">
        <f>X30</f>
        <v>144</v>
      </c>
      <c r="Y36" s="24">
        <f>Y34</f>
        <v>0.1</v>
      </c>
      <c r="Z36" s="24">
        <f>Z34</f>
        <v>0.2</v>
      </c>
      <c r="AA36" s="24">
        <f>AA30</f>
        <v>20</v>
      </c>
      <c r="AB36" s="24">
        <f>AB30</f>
        <v>50</v>
      </c>
      <c r="AC36" s="24">
        <f>AC30</f>
        <v>7320</v>
      </c>
      <c r="AD36" s="24">
        <f>AD30</f>
        <v>244000</v>
      </c>
      <c r="AE36" s="28">
        <f t="shared" si="25"/>
        <v>7.0313571760871663E-2</v>
      </c>
      <c r="AF36" s="24">
        <f>AF34</f>
        <v>80</v>
      </c>
      <c r="AG36">
        <v>7.0000000000000007E-2</v>
      </c>
      <c r="AJ36" t="s">
        <v>249</v>
      </c>
    </row>
    <row r="37" spans="1:36" x14ac:dyDescent="0.25">
      <c r="A37" t="s">
        <v>183</v>
      </c>
      <c r="B37">
        <v>1</v>
      </c>
      <c r="C37" t="s">
        <v>174</v>
      </c>
      <c r="D37" t="s">
        <v>73</v>
      </c>
      <c r="E37" t="s">
        <v>16</v>
      </c>
      <c r="F37" t="s">
        <v>17</v>
      </c>
      <c r="H37" s="18">
        <v>0.23</v>
      </c>
      <c r="I37" s="18">
        <v>0.23</v>
      </c>
      <c r="J37" s="18">
        <v>0.15</v>
      </c>
      <c r="K37" s="18">
        <v>1</v>
      </c>
      <c r="N37" s="19">
        <v>1.2</v>
      </c>
      <c r="O37" s="19">
        <v>1</v>
      </c>
      <c r="P37" s="19">
        <v>1</v>
      </c>
      <c r="Q37" s="24">
        <f t="shared" si="0"/>
        <v>1.95</v>
      </c>
      <c r="R37" s="26">
        <v>5</v>
      </c>
      <c r="S37" s="19">
        <v>3.89</v>
      </c>
      <c r="T37" s="19">
        <v>300</v>
      </c>
      <c r="U37" s="24">
        <f t="shared" si="9"/>
        <v>0.98</v>
      </c>
      <c r="V37" s="24">
        <f t="shared" si="10"/>
        <v>2.5</v>
      </c>
      <c r="W37" s="19">
        <v>18</v>
      </c>
      <c r="X37" s="24">
        <f t="shared" si="4"/>
        <v>72</v>
      </c>
      <c r="Y37" s="18">
        <v>5.0000000000000001E-3</v>
      </c>
      <c r="Z37" s="18">
        <v>5.0000000000000001E-3</v>
      </c>
      <c r="AA37" s="17">
        <v>1</v>
      </c>
      <c r="AB37" s="24">
        <f t="shared" si="15"/>
        <v>300</v>
      </c>
      <c r="AC37" s="19">
        <f>150000*AI37</f>
        <v>135000</v>
      </c>
      <c r="AD37" s="17">
        <f>4000000*AI37</f>
        <v>3600000</v>
      </c>
      <c r="AE37" s="28">
        <f t="shared" si="5"/>
        <v>7.5009138873610326E-2</v>
      </c>
      <c r="AF37" s="17">
        <v>40</v>
      </c>
      <c r="AG37">
        <v>7.0000000000000007E-2</v>
      </c>
      <c r="AI37">
        <v>0.9</v>
      </c>
    </row>
    <row r="38" spans="1:36" x14ac:dyDescent="0.25">
      <c r="A38" t="s">
        <v>66</v>
      </c>
      <c r="B38">
        <v>1</v>
      </c>
      <c r="C38" t="s">
        <v>174</v>
      </c>
      <c r="D38" t="s">
        <v>73</v>
      </c>
      <c r="E38" t="s">
        <v>16</v>
      </c>
      <c r="F38" t="s">
        <v>17</v>
      </c>
      <c r="H38" s="18">
        <v>0.31</v>
      </c>
      <c r="I38" s="18">
        <v>0.31</v>
      </c>
      <c r="J38" s="18">
        <v>0.2</v>
      </c>
      <c r="K38" s="18">
        <v>1</v>
      </c>
      <c r="N38" s="19">
        <v>2.2000000000000002</v>
      </c>
      <c r="O38" s="19">
        <v>2</v>
      </c>
      <c r="P38" s="26">
        <v>5</v>
      </c>
      <c r="Q38" s="24">
        <f t="shared" si="0"/>
        <v>1.95</v>
      </c>
      <c r="R38" s="26">
        <v>11</v>
      </c>
      <c r="S38" s="19">
        <v>3.89</v>
      </c>
      <c r="T38" s="19">
        <v>400</v>
      </c>
      <c r="U38" s="24">
        <f t="shared" si="9"/>
        <v>0.98</v>
      </c>
      <c r="V38" s="24">
        <f t="shared" si="10"/>
        <v>5.5</v>
      </c>
      <c r="W38" s="19">
        <v>18</v>
      </c>
      <c r="X38" s="24">
        <f t="shared" si="4"/>
        <v>72</v>
      </c>
      <c r="Y38" s="18">
        <v>0.01</v>
      </c>
      <c r="Z38" s="18">
        <v>0.01</v>
      </c>
      <c r="AA38" s="27">
        <v>5</v>
      </c>
      <c r="AB38" s="24">
        <f t="shared" si="15"/>
        <v>400</v>
      </c>
      <c r="AC38" s="17">
        <f>250000*AI38</f>
        <v>225000</v>
      </c>
      <c r="AD38" s="17">
        <f>10000000*AI38</f>
        <v>9000000</v>
      </c>
      <c r="AE38" s="28">
        <f t="shared" si="5"/>
        <v>7.2459849539607671E-2</v>
      </c>
      <c r="AF38" s="17">
        <v>50</v>
      </c>
      <c r="AG38">
        <v>7.0000000000000007E-2</v>
      </c>
      <c r="AI38">
        <v>0.9</v>
      </c>
    </row>
    <row r="39" spans="1:36" x14ac:dyDescent="0.25">
      <c r="A39" t="s">
        <v>67</v>
      </c>
      <c r="B39">
        <v>1</v>
      </c>
      <c r="C39" t="s">
        <v>174</v>
      </c>
      <c r="D39" t="s">
        <v>73</v>
      </c>
      <c r="E39" t="s">
        <v>16</v>
      </c>
      <c r="F39" t="s">
        <v>17</v>
      </c>
      <c r="H39" s="18">
        <v>0.33</v>
      </c>
      <c r="I39" s="18">
        <v>0.33</v>
      </c>
      <c r="J39" s="18">
        <v>0.4</v>
      </c>
      <c r="K39" s="18">
        <v>1</v>
      </c>
      <c r="N39" s="19">
        <v>2.6</v>
      </c>
      <c r="O39" s="19">
        <v>3</v>
      </c>
      <c r="P39" s="26">
        <v>6</v>
      </c>
      <c r="Q39" s="24">
        <f t="shared" si="0"/>
        <v>1.95</v>
      </c>
      <c r="R39" s="26">
        <v>21</v>
      </c>
      <c r="S39" s="19">
        <v>3.89</v>
      </c>
      <c r="T39" s="19">
        <v>500</v>
      </c>
      <c r="U39" s="24">
        <f t="shared" si="9"/>
        <v>0.98</v>
      </c>
      <c r="V39" s="24">
        <f t="shared" si="10"/>
        <v>10.5</v>
      </c>
      <c r="W39" s="19">
        <v>18</v>
      </c>
      <c r="X39" s="24">
        <f t="shared" si="4"/>
        <v>72</v>
      </c>
      <c r="Y39" s="18">
        <v>0.03</v>
      </c>
      <c r="Z39" s="18">
        <v>0.03</v>
      </c>
      <c r="AA39" s="27">
        <v>10</v>
      </c>
      <c r="AB39" s="24">
        <f t="shared" si="15"/>
        <v>500</v>
      </c>
      <c r="AC39" s="17">
        <f>350000*AI39</f>
        <v>315000</v>
      </c>
      <c r="AD39" s="17">
        <f>15000000*AI39</f>
        <v>13500000</v>
      </c>
      <c r="AE39" s="28">
        <f t="shared" si="5"/>
        <v>7.122922550001945E-2</v>
      </c>
      <c r="AF39" s="17">
        <v>60</v>
      </c>
      <c r="AG39">
        <v>7.0000000000000007E-2</v>
      </c>
      <c r="AI39">
        <v>0.9</v>
      </c>
      <c r="AJ39" t="s">
        <v>197</v>
      </c>
    </row>
    <row r="40" spans="1:36" x14ac:dyDescent="0.25">
      <c r="A40" t="s">
        <v>68</v>
      </c>
      <c r="B40">
        <v>1</v>
      </c>
      <c r="C40" t="s">
        <v>174</v>
      </c>
      <c r="D40" t="s">
        <v>73</v>
      </c>
      <c r="E40" t="s">
        <v>16</v>
      </c>
      <c r="F40" t="s">
        <v>17</v>
      </c>
      <c r="H40" s="18">
        <v>0.35</v>
      </c>
      <c r="I40" s="18">
        <v>0.35</v>
      </c>
      <c r="J40" s="18">
        <v>0.5</v>
      </c>
      <c r="K40" s="18">
        <v>1</v>
      </c>
      <c r="N40" s="19">
        <v>2.8</v>
      </c>
      <c r="O40" s="19">
        <v>24</v>
      </c>
      <c r="P40" s="26">
        <v>24</v>
      </c>
      <c r="Q40" s="24">
        <f t="shared" si="0"/>
        <v>1.95</v>
      </c>
      <c r="R40" s="26">
        <v>31</v>
      </c>
      <c r="S40" s="19">
        <v>3.89</v>
      </c>
      <c r="T40" s="19">
        <v>600</v>
      </c>
      <c r="U40" s="24">
        <f t="shared" si="9"/>
        <v>0.98</v>
      </c>
      <c r="V40" s="24">
        <f t="shared" si="10"/>
        <v>15.5</v>
      </c>
      <c r="W40" s="19">
        <v>18</v>
      </c>
      <c r="X40" s="24">
        <f t="shared" si="4"/>
        <v>72</v>
      </c>
      <c r="Y40" s="18">
        <v>0.05</v>
      </c>
      <c r="Z40" s="18">
        <v>0.05</v>
      </c>
      <c r="AA40" s="27">
        <v>15</v>
      </c>
      <c r="AB40" s="24">
        <f t="shared" si="15"/>
        <v>600</v>
      </c>
      <c r="AC40" s="17">
        <f>450000*AI40</f>
        <v>405000</v>
      </c>
      <c r="AD40" s="17">
        <f>20000000*AI40</f>
        <v>18000000</v>
      </c>
      <c r="AE40" s="28">
        <f t="shared" si="5"/>
        <v>7.0619527184264883E-2</v>
      </c>
      <c r="AF40" s="18">
        <v>70</v>
      </c>
      <c r="AG40">
        <v>7.0000000000000007E-2</v>
      </c>
      <c r="AI40">
        <v>0.9</v>
      </c>
    </row>
    <row r="41" spans="1:36" x14ac:dyDescent="0.25">
      <c r="A41" t="s">
        <v>182</v>
      </c>
      <c r="B41">
        <v>1</v>
      </c>
      <c r="C41" t="s">
        <v>174</v>
      </c>
      <c r="D41" t="s">
        <v>73</v>
      </c>
      <c r="E41" t="s">
        <v>16</v>
      </c>
      <c r="F41" t="s">
        <v>17</v>
      </c>
      <c r="H41" s="18">
        <v>0.42</v>
      </c>
      <c r="I41" s="18">
        <v>0.42</v>
      </c>
      <c r="J41" s="18">
        <v>0.95</v>
      </c>
      <c r="K41" s="18">
        <v>1</v>
      </c>
      <c r="N41" s="26">
        <v>16.399999999999999</v>
      </c>
      <c r="O41" s="19">
        <v>48</v>
      </c>
      <c r="P41" s="19">
        <v>48</v>
      </c>
      <c r="Q41" s="24">
        <f t="shared" si="0"/>
        <v>1.95</v>
      </c>
      <c r="R41" s="26">
        <v>100</v>
      </c>
      <c r="S41" s="19">
        <v>3.89</v>
      </c>
      <c r="T41" s="19">
        <v>2000</v>
      </c>
      <c r="U41" s="24">
        <f t="shared" si="9"/>
        <v>0.98</v>
      </c>
      <c r="V41" s="24">
        <f t="shared" si="10"/>
        <v>50</v>
      </c>
      <c r="W41" s="19">
        <v>18</v>
      </c>
      <c r="X41" s="24">
        <f t="shared" si="4"/>
        <v>72</v>
      </c>
      <c r="Y41" s="18">
        <v>0.1</v>
      </c>
      <c r="Z41" s="18">
        <v>0.2</v>
      </c>
      <c r="AA41" s="17">
        <v>20</v>
      </c>
      <c r="AB41" s="24">
        <f t="shared" si="15"/>
        <v>2000</v>
      </c>
      <c r="AC41" s="19">
        <v>550000</v>
      </c>
      <c r="AD41" s="19">
        <f>30000000*AI41</f>
        <v>27000000</v>
      </c>
      <c r="AE41" s="28">
        <f t="shared" si="5"/>
        <v>7.0313571760871663E-2</v>
      </c>
      <c r="AF41" s="18">
        <v>80</v>
      </c>
      <c r="AG41">
        <v>7.0000000000000007E-2</v>
      </c>
      <c r="AI41">
        <v>0.9</v>
      </c>
    </row>
    <row r="42" spans="1:36" x14ac:dyDescent="0.25">
      <c r="A42" t="s">
        <v>247</v>
      </c>
      <c r="B42">
        <v>1</v>
      </c>
      <c r="C42" t="s">
        <v>174</v>
      </c>
      <c r="D42" t="s">
        <v>73</v>
      </c>
      <c r="E42" t="s">
        <v>16</v>
      </c>
      <c r="F42" t="s">
        <v>17</v>
      </c>
      <c r="H42" s="24">
        <f>H40</f>
        <v>0.35</v>
      </c>
      <c r="I42" s="24">
        <f>I40</f>
        <v>0.35</v>
      </c>
      <c r="J42" s="24">
        <f>J38</f>
        <v>0.2</v>
      </c>
      <c r="K42" s="24">
        <f>K40</f>
        <v>1</v>
      </c>
      <c r="N42" s="24">
        <f>N38</f>
        <v>2.2000000000000002</v>
      </c>
      <c r="O42" s="24">
        <f t="shared" ref="O42:P42" si="27">O38</f>
        <v>2</v>
      </c>
      <c r="P42" s="24">
        <f t="shared" si="27"/>
        <v>5</v>
      </c>
      <c r="Q42" s="24">
        <f>Q38</f>
        <v>1.95</v>
      </c>
      <c r="R42" s="24">
        <f>R38</f>
        <v>11</v>
      </c>
      <c r="S42" s="24">
        <f t="shared" ref="S42:X42" si="28">S38</f>
        <v>3.89</v>
      </c>
      <c r="T42" s="24">
        <f t="shared" si="28"/>
        <v>400</v>
      </c>
      <c r="U42" s="24">
        <f t="shared" si="28"/>
        <v>0.98</v>
      </c>
      <c r="V42" s="24">
        <f t="shared" si="28"/>
        <v>5.5</v>
      </c>
      <c r="W42" s="24">
        <f t="shared" si="28"/>
        <v>18</v>
      </c>
      <c r="X42" s="24">
        <f t="shared" si="28"/>
        <v>72</v>
      </c>
      <c r="Y42" s="24">
        <f>Y40</f>
        <v>0.05</v>
      </c>
      <c r="Z42" s="24">
        <f>Z40</f>
        <v>0.05</v>
      </c>
      <c r="AA42" s="24">
        <f>AA38</f>
        <v>5</v>
      </c>
      <c r="AB42" s="24">
        <f>AB38</f>
        <v>400</v>
      </c>
      <c r="AC42" s="24">
        <f>AC38</f>
        <v>225000</v>
      </c>
      <c r="AD42" s="24">
        <f>AD38</f>
        <v>9000000</v>
      </c>
      <c r="AE42" s="28">
        <f t="shared" si="5"/>
        <v>7.0619527184264883E-2</v>
      </c>
      <c r="AF42" s="24">
        <f>AF40</f>
        <v>70</v>
      </c>
      <c r="AG42">
        <v>7.0000000000000007E-2</v>
      </c>
      <c r="AJ42" t="s">
        <v>248</v>
      </c>
    </row>
    <row r="43" spans="1:36" x14ac:dyDescent="0.25">
      <c r="A43" t="s">
        <v>246</v>
      </c>
      <c r="B43">
        <v>1</v>
      </c>
      <c r="C43" t="s">
        <v>174</v>
      </c>
      <c r="D43" t="s">
        <v>73</v>
      </c>
      <c r="E43" t="s">
        <v>16</v>
      </c>
      <c r="F43" t="s">
        <v>17</v>
      </c>
      <c r="H43" s="24">
        <f>H41</f>
        <v>0.42</v>
      </c>
      <c r="I43" s="24">
        <f>I41</f>
        <v>0.42</v>
      </c>
      <c r="J43" s="24">
        <f>J37</f>
        <v>0.15</v>
      </c>
      <c r="K43" s="24">
        <f>K41</f>
        <v>1</v>
      </c>
      <c r="N43" s="24">
        <f>N37</f>
        <v>1.2</v>
      </c>
      <c r="O43" s="24">
        <f t="shared" ref="O43:P43" si="29">O37</f>
        <v>1</v>
      </c>
      <c r="P43" s="24">
        <f t="shared" si="29"/>
        <v>1</v>
      </c>
      <c r="Q43" s="24">
        <f>Q37</f>
        <v>1.95</v>
      </c>
      <c r="R43" s="24">
        <f>R37</f>
        <v>5</v>
      </c>
      <c r="S43" s="24">
        <f>S37</f>
        <v>3.89</v>
      </c>
      <c r="T43" s="24">
        <f>T37</f>
        <v>300</v>
      </c>
      <c r="U43" s="24">
        <f>U37</f>
        <v>0.98</v>
      </c>
      <c r="V43" s="24">
        <f>V37</f>
        <v>2.5</v>
      </c>
      <c r="W43" s="24">
        <f>W37</f>
        <v>18</v>
      </c>
      <c r="X43" s="24">
        <f>X37</f>
        <v>72</v>
      </c>
      <c r="Y43" s="24">
        <f>Y41</f>
        <v>0.1</v>
      </c>
      <c r="Z43" s="24">
        <f>Z41</f>
        <v>0.2</v>
      </c>
      <c r="AA43" s="24">
        <f>AA37</f>
        <v>1</v>
      </c>
      <c r="AB43" s="24">
        <f>AB37</f>
        <v>300</v>
      </c>
      <c r="AC43" s="24">
        <f>AC37</f>
        <v>135000</v>
      </c>
      <c r="AD43" s="24">
        <f>AD37</f>
        <v>3600000</v>
      </c>
      <c r="AE43" s="28">
        <f t="shared" si="5"/>
        <v>7.0313571760871663E-2</v>
      </c>
      <c r="AF43" s="24">
        <f>AF41</f>
        <v>80</v>
      </c>
      <c r="AG43">
        <v>7.0000000000000007E-2</v>
      </c>
      <c r="AJ43" t="s">
        <v>249</v>
      </c>
    </row>
    <row r="44" spans="1:36" x14ac:dyDescent="0.25">
      <c r="A44" t="s">
        <v>183</v>
      </c>
      <c r="B44">
        <v>1</v>
      </c>
      <c r="C44" t="s">
        <v>175</v>
      </c>
      <c r="D44" t="s">
        <v>74</v>
      </c>
      <c r="E44" t="s">
        <v>16</v>
      </c>
      <c r="F44" t="s">
        <v>17</v>
      </c>
      <c r="G44" t="s">
        <v>24</v>
      </c>
      <c r="H44" s="18">
        <v>0.81</v>
      </c>
      <c r="I44" s="18">
        <v>0.81</v>
      </c>
      <c r="J44" s="18">
        <v>0.15</v>
      </c>
      <c r="K44" s="18">
        <v>1</v>
      </c>
      <c r="L44" s="26">
        <v>0.2</v>
      </c>
      <c r="M44" s="19">
        <v>-0.17</v>
      </c>
      <c r="N44" s="24">
        <f>ROUND(N37*AH44,2)</f>
        <v>1.2</v>
      </c>
      <c r="O44" s="19">
        <v>1</v>
      </c>
      <c r="P44" s="19">
        <v>1</v>
      </c>
      <c r="Q44" s="24">
        <f t="shared" si="0"/>
        <v>1.95</v>
      </c>
      <c r="R44" s="24">
        <f>R37*AH44</f>
        <v>5</v>
      </c>
      <c r="S44" s="19">
        <v>3.89</v>
      </c>
      <c r="T44" s="24">
        <f>T37*AH44</f>
        <v>300</v>
      </c>
      <c r="U44" s="24">
        <f t="shared" si="9"/>
        <v>0.98</v>
      </c>
      <c r="V44" s="24">
        <f t="shared" si="10"/>
        <v>2.5</v>
      </c>
      <c r="W44" s="19">
        <v>18</v>
      </c>
      <c r="X44" s="24">
        <f>W44*4</f>
        <v>72</v>
      </c>
      <c r="Y44" s="18">
        <v>5.0000000000000001E-3</v>
      </c>
      <c r="Z44" s="18">
        <v>5.0000000000000001E-3</v>
      </c>
      <c r="AA44" s="17">
        <v>1</v>
      </c>
      <c r="AB44" s="24">
        <f t="shared" ref="AB44:AB48" si="30">T44</f>
        <v>300</v>
      </c>
      <c r="AC44" s="24">
        <f>AC37*AH44</f>
        <v>135000</v>
      </c>
      <c r="AD44" s="24">
        <f>AD37*AH44</f>
        <v>3600000</v>
      </c>
      <c r="AE44" s="28">
        <f t="shared" si="5"/>
        <v>7.5009138873610326E-2</v>
      </c>
      <c r="AF44" s="17">
        <v>40</v>
      </c>
      <c r="AG44">
        <v>7.0000000000000007E-2</v>
      </c>
      <c r="AH44">
        <v>1</v>
      </c>
    </row>
    <row r="45" spans="1:36" x14ac:dyDescent="0.25">
      <c r="A45" t="s">
        <v>66</v>
      </c>
      <c r="B45">
        <v>1</v>
      </c>
      <c r="C45" t="s">
        <v>175</v>
      </c>
      <c r="D45" t="s">
        <v>74</v>
      </c>
      <c r="E45" t="s">
        <v>16</v>
      </c>
      <c r="F45" t="s">
        <v>17</v>
      </c>
      <c r="G45" t="s">
        <v>24</v>
      </c>
      <c r="H45" s="18">
        <v>0.86</v>
      </c>
      <c r="I45" s="18">
        <v>0.86</v>
      </c>
      <c r="J45" s="18">
        <v>0.2</v>
      </c>
      <c r="K45" s="18">
        <v>1</v>
      </c>
      <c r="L45" s="26">
        <v>0.3</v>
      </c>
      <c r="M45" s="26">
        <v>-0.16</v>
      </c>
      <c r="N45" s="24">
        <f>ROUND(N38*AH45,2)</f>
        <v>2.33</v>
      </c>
      <c r="O45" s="19">
        <v>2</v>
      </c>
      <c r="P45" s="26">
        <v>5</v>
      </c>
      <c r="Q45" s="24">
        <f t="shared" si="0"/>
        <v>1.95</v>
      </c>
      <c r="R45" s="24">
        <f>R38*AH45</f>
        <v>11.66</v>
      </c>
      <c r="S45" s="19">
        <v>3.89</v>
      </c>
      <c r="T45" s="24">
        <f>T38*AH45</f>
        <v>424</v>
      </c>
      <c r="U45" s="24">
        <f t="shared" si="9"/>
        <v>0.98</v>
      </c>
      <c r="V45" s="24">
        <f t="shared" si="10"/>
        <v>5.83</v>
      </c>
      <c r="W45" s="19">
        <v>18</v>
      </c>
      <c r="X45" s="24">
        <f t="shared" si="4"/>
        <v>72</v>
      </c>
      <c r="Y45" s="18">
        <v>0.01</v>
      </c>
      <c r="Z45" s="18">
        <v>0.01</v>
      </c>
      <c r="AA45" s="27">
        <v>5</v>
      </c>
      <c r="AB45" s="24">
        <f t="shared" si="30"/>
        <v>424</v>
      </c>
      <c r="AC45" s="24">
        <f>AC38*AH45</f>
        <v>238500</v>
      </c>
      <c r="AD45" s="24">
        <f>AD38*AH45</f>
        <v>9540000</v>
      </c>
      <c r="AE45" s="28">
        <f t="shared" si="5"/>
        <v>7.2459849539607671E-2</v>
      </c>
      <c r="AF45" s="17">
        <v>50</v>
      </c>
      <c r="AG45">
        <v>7.0000000000000007E-2</v>
      </c>
      <c r="AH45">
        <v>1.06</v>
      </c>
    </row>
    <row r="46" spans="1:36" x14ac:dyDescent="0.25">
      <c r="A46" t="s">
        <v>67</v>
      </c>
      <c r="B46">
        <v>1</v>
      </c>
      <c r="C46" t="s">
        <v>175</v>
      </c>
      <c r="D46" t="s">
        <v>74</v>
      </c>
      <c r="E46" t="s">
        <v>16</v>
      </c>
      <c r="F46" t="s">
        <v>17</v>
      </c>
      <c r="G46" t="s">
        <v>24</v>
      </c>
      <c r="H46" s="18">
        <v>0.9</v>
      </c>
      <c r="I46" s="18">
        <v>0.9</v>
      </c>
      <c r="J46" s="18">
        <v>0.4</v>
      </c>
      <c r="K46" s="18">
        <v>1</v>
      </c>
      <c r="L46" s="26">
        <v>0.4</v>
      </c>
      <c r="M46" s="26">
        <v>-0.15</v>
      </c>
      <c r="N46" s="24">
        <f>ROUND(N39*AH46,2)</f>
        <v>2.89</v>
      </c>
      <c r="O46" s="19">
        <v>3</v>
      </c>
      <c r="P46" s="26">
        <v>6</v>
      </c>
      <c r="Q46" s="24">
        <f t="shared" si="0"/>
        <v>1.95</v>
      </c>
      <c r="R46" s="24">
        <f>R39*AH46</f>
        <v>23.310000000000002</v>
      </c>
      <c r="S46" s="19">
        <v>3.89</v>
      </c>
      <c r="T46" s="24">
        <f>T39*AH46</f>
        <v>555</v>
      </c>
      <c r="U46" s="24">
        <f t="shared" si="9"/>
        <v>0.98</v>
      </c>
      <c r="V46" s="24">
        <f t="shared" si="10"/>
        <v>11.66</v>
      </c>
      <c r="W46" s="19">
        <v>18</v>
      </c>
      <c r="X46" s="24">
        <f t="shared" si="4"/>
        <v>72</v>
      </c>
      <c r="Y46" s="18">
        <v>0.03</v>
      </c>
      <c r="Z46" s="18">
        <v>0.03</v>
      </c>
      <c r="AA46" s="27">
        <v>10</v>
      </c>
      <c r="AB46" s="24">
        <f t="shared" si="30"/>
        <v>555</v>
      </c>
      <c r="AC46" s="24">
        <f>AC39*AH46</f>
        <v>349650.00000000006</v>
      </c>
      <c r="AD46" s="24">
        <f>AD39*AH46</f>
        <v>14985000.000000002</v>
      </c>
      <c r="AE46" s="28">
        <f t="shared" si="5"/>
        <v>7.122922550001945E-2</v>
      </c>
      <c r="AF46" s="17">
        <v>60</v>
      </c>
      <c r="AG46">
        <v>7.0000000000000007E-2</v>
      </c>
      <c r="AH46">
        <v>1.1100000000000001</v>
      </c>
      <c r="AJ46" t="s">
        <v>194</v>
      </c>
    </row>
    <row r="47" spans="1:36" x14ac:dyDescent="0.25">
      <c r="A47" t="s">
        <v>68</v>
      </c>
      <c r="B47">
        <v>1</v>
      </c>
      <c r="C47" t="s">
        <v>175</v>
      </c>
      <c r="D47" t="s">
        <v>74</v>
      </c>
      <c r="E47" t="s">
        <v>16</v>
      </c>
      <c r="F47" t="s">
        <v>17</v>
      </c>
      <c r="G47" t="s">
        <v>24</v>
      </c>
      <c r="H47" s="18">
        <v>0.93</v>
      </c>
      <c r="I47" s="18">
        <v>0.93</v>
      </c>
      <c r="J47" s="18">
        <v>0.5</v>
      </c>
      <c r="K47" s="18">
        <v>1</v>
      </c>
      <c r="L47" s="26">
        <v>0.5</v>
      </c>
      <c r="M47" s="26">
        <v>-0.14000000000000001</v>
      </c>
      <c r="N47" s="24">
        <f>ROUND(N40*AH47,2)</f>
        <v>3.22</v>
      </c>
      <c r="O47" s="19">
        <v>24</v>
      </c>
      <c r="P47" s="26">
        <v>24</v>
      </c>
      <c r="Q47" s="24">
        <f t="shared" si="0"/>
        <v>1.95</v>
      </c>
      <c r="R47" s="24">
        <f>R40*AH47</f>
        <v>35.65</v>
      </c>
      <c r="S47" s="19">
        <v>3.89</v>
      </c>
      <c r="T47" s="24">
        <f>T40*AH47</f>
        <v>690</v>
      </c>
      <c r="U47" s="24">
        <f t="shared" si="9"/>
        <v>0.98</v>
      </c>
      <c r="V47" s="24">
        <f t="shared" si="10"/>
        <v>17.829999999999998</v>
      </c>
      <c r="W47" s="19">
        <v>18</v>
      </c>
      <c r="X47" s="24">
        <f t="shared" si="4"/>
        <v>72</v>
      </c>
      <c r="Y47" s="18">
        <v>0.05</v>
      </c>
      <c r="Z47" s="18">
        <v>0.05</v>
      </c>
      <c r="AA47" s="27">
        <v>15</v>
      </c>
      <c r="AB47" s="24">
        <f t="shared" si="30"/>
        <v>690</v>
      </c>
      <c r="AC47" s="24">
        <f>AC40*AH47</f>
        <v>465749.99999999994</v>
      </c>
      <c r="AD47" s="24">
        <f>AD40*AH47</f>
        <v>20700000</v>
      </c>
      <c r="AE47" s="28">
        <f t="shared" si="5"/>
        <v>7.0619527184264883E-2</v>
      </c>
      <c r="AF47" s="18">
        <v>70</v>
      </c>
      <c r="AG47">
        <v>7.0000000000000007E-2</v>
      </c>
      <c r="AH47">
        <v>1.1499999999999999</v>
      </c>
    </row>
    <row r="48" spans="1:36" x14ac:dyDescent="0.25">
      <c r="A48" t="s">
        <v>182</v>
      </c>
      <c r="B48">
        <v>1</v>
      </c>
      <c r="C48" t="s">
        <v>175</v>
      </c>
      <c r="D48" t="s">
        <v>74</v>
      </c>
      <c r="E48" t="s">
        <v>16</v>
      </c>
      <c r="F48" t="s">
        <v>17</v>
      </c>
      <c r="G48" t="s">
        <v>24</v>
      </c>
      <c r="H48" s="18">
        <v>0.94</v>
      </c>
      <c r="I48" s="18">
        <v>0.94</v>
      </c>
      <c r="J48" s="18">
        <v>0.95</v>
      </c>
      <c r="K48" s="18">
        <v>1</v>
      </c>
      <c r="L48" s="26">
        <v>0.6</v>
      </c>
      <c r="M48" s="26">
        <v>-0.13</v>
      </c>
      <c r="N48" s="24">
        <f>ROUND(N41*AH48,2)</f>
        <v>20.010000000000002</v>
      </c>
      <c r="O48" s="19">
        <v>48</v>
      </c>
      <c r="P48" s="19">
        <v>48</v>
      </c>
      <c r="Q48" s="24">
        <f t="shared" si="0"/>
        <v>1.95</v>
      </c>
      <c r="R48" s="24">
        <f>R41*AH48</f>
        <v>122</v>
      </c>
      <c r="S48" s="19">
        <v>3.89</v>
      </c>
      <c r="T48" s="24">
        <f>T41*AH48</f>
        <v>2440</v>
      </c>
      <c r="U48" s="24">
        <f t="shared" si="9"/>
        <v>0.98</v>
      </c>
      <c r="V48" s="24">
        <f t="shared" si="10"/>
        <v>61</v>
      </c>
      <c r="W48" s="19">
        <v>18</v>
      </c>
      <c r="X48" s="24">
        <f t="shared" si="4"/>
        <v>72</v>
      </c>
      <c r="Y48" s="18">
        <v>0.1</v>
      </c>
      <c r="Z48" s="18">
        <v>0.2</v>
      </c>
      <c r="AA48" s="17">
        <v>20</v>
      </c>
      <c r="AB48" s="24">
        <f t="shared" si="30"/>
        <v>2440</v>
      </c>
      <c r="AC48" s="24">
        <f>AC41*AH48</f>
        <v>671000</v>
      </c>
      <c r="AD48" s="24">
        <f>AD41*AH48</f>
        <v>32940000</v>
      </c>
      <c r="AE48" s="28">
        <f t="shared" si="5"/>
        <v>7.0313571760871663E-2</v>
      </c>
      <c r="AF48" s="18">
        <v>80</v>
      </c>
      <c r="AG48">
        <v>7.0000000000000007E-2</v>
      </c>
      <c r="AH48">
        <v>1.22</v>
      </c>
    </row>
    <row r="49" spans="1:36" x14ac:dyDescent="0.25">
      <c r="A49" t="s">
        <v>247</v>
      </c>
      <c r="B49">
        <v>1</v>
      </c>
      <c r="C49" t="s">
        <v>175</v>
      </c>
      <c r="D49" t="s">
        <v>74</v>
      </c>
      <c r="E49" t="s">
        <v>16</v>
      </c>
      <c r="F49" t="s">
        <v>17</v>
      </c>
      <c r="G49" t="s">
        <v>24</v>
      </c>
      <c r="H49" s="24">
        <f>H47</f>
        <v>0.93</v>
      </c>
      <c r="I49" s="24">
        <f>I47</f>
        <v>0.93</v>
      </c>
      <c r="J49" s="24">
        <f>J45</f>
        <v>0.2</v>
      </c>
      <c r="K49" s="24">
        <f>K47</f>
        <v>1</v>
      </c>
      <c r="L49" s="24">
        <f>L47</f>
        <v>0.5</v>
      </c>
      <c r="M49" s="24">
        <f>M47</f>
        <v>-0.14000000000000001</v>
      </c>
      <c r="N49" s="24">
        <f>N45</f>
        <v>2.33</v>
      </c>
      <c r="O49" s="24">
        <f t="shared" ref="O49:P49" si="31">O45</f>
        <v>2</v>
      </c>
      <c r="P49" s="24">
        <f t="shared" si="31"/>
        <v>5</v>
      </c>
      <c r="Q49" s="24">
        <f>Q45</f>
        <v>1.95</v>
      </c>
      <c r="R49" s="24">
        <f>R45</f>
        <v>11.66</v>
      </c>
      <c r="S49" s="24">
        <f t="shared" ref="S49:X49" si="32">S45</f>
        <v>3.89</v>
      </c>
      <c r="T49" s="24">
        <f t="shared" si="32"/>
        <v>424</v>
      </c>
      <c r="U49" s="24">
        <f t="shared" si="32"/>
        <v>0.98</v>
      </c>
      <c r="V49" s="24">
        <f t="shared" si="32"/>
        <v>5.83</v>
      </c>
      <c r="W49" s="24">
        <f t="shared" si="32"/>
        <v>18</v>
      </c>
      <c r="X49" s="24">
        <f t="shared" si="32"/>
        <v>72</v>
      </c>
      <c r="Y49" s="24">
        <f>Y47</f>
        <v>0.05</v>
      </c>
      <c r="Z49" s="24">
        <f>Z47</f>
        <v>0.05</v>
      </c>
      <c r="AA49" s="24">
        <f>AA45</f>
        <v>5</v>
      </c>
      <c r="AB49" s="24">
        <f>AB45</f>
        <v>424</v>
      </c>
      <c r="AC49" s="24">
        <f>AC45</f>
        <v>238500</v>
      </c>
      <c r="AD49" s="24">
        <f>AD45</f>
        <v>9540000</v>
      </c>
      <c r="AE49" s="28">
        <f t="shared" si="5"/>
        <v>7.0619527184264883E-2</v>
      </c>
      <c r="AF49" s="24">
        <f>AF47</f>
        <v>70</v>
      </c>
      <c r="AG49">
        <v>7.0000000000000007E-2</v>
      </c>
      <c r="AJ49" t="s">
        <v>248</v>
      </c>
    </row>
    <row r="50" spans="1:36" x14ac:dyDescent="0.25">
      <c r="A50" t="s">
        <v>246</v>
      </c>
      <c r="B50">
        <v>1</v>
      </c>
      <c r="C50" t="s">
        <v>175</v>
      </c>
      <c r="D50" t="s">
        <v>74</v>
      </c>
      <c r="E50" t="s">
        <v>16</v>
      </c>
      <c r="F50" t="s">
        <v>17</v>
      </c>
      <c r="G50" t="s">
        <v>24</v>
      </c>
      <c r="H50" s="24">
        <f>H48</f>
        <v>0.94</v>
      </c>
      <c r="I50" s="24">
        <f>I48</f>
        <v>0.94</v>
      </c>
      <c r="J50" s="24">
        <f>J44</f>
        <v>0.15</v>
      </c>
      <c r="K50" s="24">
        <f>K48</f>
        <v>1</v>
      </c>
      <c r="L50" s="24">
        <f>L48</f>
        <v>0.6</v>
      </c>
      <c r="M50" s="24">
        <f>M48</f>
        <v>-0.13</v>
      </c>
      <c r="N50" s="24">
        <f>N44</f>
        <v>1.2</v>
      </c>
      <c r="O50" s="24">
        <f t="shared" ref="O50:P50" si="33">O44</f>
        <v>1</v>
      </c>
      <c r="P50" s="24">
        <f t="shared" si="33"/>
        <v>1</v>
      </c>
      <c r="Q50" s="24">
        <f>Q44</f>
        <v>1.95</v>
      </c>
      <c r="R50" s="24">
        <f>R44</f>
        <v>5</v>
      </c>
      <c r="S50" s="24">
        <f>S44</f>
        <v>3.89</v>
      </c>
      <c r="T50" s="24">
        <f>T44</f>
        <v>300</v>
      </c>
      <c r="U50" s="24">
        <f>U44</f>
        <v>0.98</v>
      </c>
      <c r="V50" s="24">
        <f>V44</f>
        <v>2.5</v>
      </c>
      <c r="W50" s="24">
        <f>W44</f>
        <v>18</v>
      </c>
      <c r="X50" s="24">
        <f>X44</f>
        <v>72</v>
      </c>
      <c r="Y50" s="24">
        <f>Y48</f>
        <v>0.1</v>
      </c>
      <c r="Z50" s="24">
        <f>Z48</f>
        <v>0.2</v>
      </c>
      <c r="AA50" s="24">
        <f>AA44</f>
        <v>1</v>
      </c>
      <c r="AB50" s="24">
        <f>AB44</f>
        <v>300</v>
      </c>
      <c r="AC50" s="24">
        <f>AC44</f>
        <v>135000</v>
      </c>
      <c r="AD50" s="24">
        <f>AD44</f>
        <v>3600000</v>
      </c>
      <c r="AE50" s="28">
        <f t="shared" si="5"/>
        <v>7.0313571760871663E-2</v>
      </c>
      <c r="AF50" s="24">
        <f>AF48</f>
        <v>80</v>
      </c>
      <c r="AG50">
        <v>7.0000000000000007E-2</v>
      </c>
      <c r="AJ50" t="s">
        <v>249</v>
      </c>
    </row>
    <row r="51" spans="1:36" x14ac:dyDescent="0.25">
      <c r="A51" t="s">
        <v>183</v>
      </c>
      <c r="B51">
        <v>1</v>
      </c>
      <c r="C51" t="s">
        <v>176</v>
      </c>
      <c r="D51" t="s">
        <v>177</v>
      </c>
      <c r="E51" t="s">
        <v>16</v>
      </c>
      <c r="F51" t="s">
        <v>24</v>
      </c>
      <c r="H51" s="18">
        <v>0.81</v>
      </c>
      <c r="I51" s="18">
        <v>0.81</v>
      </c>
      <c r="J51" s="18">
        <v>0.15</v>
      </c>
      <c r="K51" s="18">
        <v>1</v>
      </c>
      <c r="N51" s="19">
        <v>0</v>
      </c>
      <c r="O51" s="19">
        <v>1</v>
      </c>
      <c r="P51" s="19">
        <v>1</v>
      </c>
      <c r="Q51" s="24">
        <f t="shared" si="0"/>
        <v>1.95</v>
      </c>
      <c r="R51" s="26">
        <v>1</v>
      </c>
      <c r="S51" s="19">
        <v>3.89</v>
      </c>
      <c r="T51" s="19">
        <v>50</v>
      </c>
      <c r="U51" s="24">
        <f t="shared" si="9"/>
        <v>0.98</v>
      </c>
      <c r="V51" s="24">
        <f t="shared" si="10"/>
        <v>0.5</v>
      </c>
      <c r="W51" s="19">
        <v>18</v>
      </c>
      <c r="X51" s="24">
        <f t="shared" si="4"/>
        <v>72</v>
      </c>
      <c r="Y51" s="18">
        <v>5.0000000000000001E-3</v>
      </c>
      <c r="Z51" s="18">
        <v>5.0000000000000001E-3</v>
      </c>
      <c r="AA51" s="18">
        <v>1</v>
      </c>
      <c r="AB51" s="24">
        <f t="shared" ref="AB51:AB55" si="34">T51</f>
        <v>50</v>
      </c>
      <c r="AC51" s="19">
        <v>7320</v>
      </c>
      <c r="AD51" s="19">
        <v>244000</v>
      </c>
      <c r="AE51" s="28">
        <f t="shared" si="5"/>
        <v>7.5009138873610326E-2</v>
      </c>
      <c r="AF51" s="17">
        <v>40</v>
      </c>
      <c r="AG51">
        <v>7.0000000000000007E-2</v>
      </c>
    </row>
    <row r="52" spans="1:36" x14ac:dyDescent="0.25">
      <c r="A52" t="s">
        <v>66</v>
      </c>
      <c r="B52">
        <v>1</v>
      </c>
      <c r="C52" t="s">
        <v>176</v>
      </c>
      <c r="D52" t="s">
        <v>177</v>
      </c>
      <c r="E52" t="s">
        <v>16</v>
      </c>
      <c r="F52" t="s">
        <v>24</v>
      </c>
      <c r="H52" s="18">
        <v>0.88</v>
      </c>
      <c r="I52" s="18">
        <v>0.88</v>
      </c>
      <c r="J52" s="18">
        <v>0.2</v>
      </c>
      <c r="K52" s="18">
        <v>1</v>
      </c>
      <c r="N52" s="19">
        <v>0.5</v>
      </c>
      <c r="O52" s="19">
        <v>2</v>
      </c>
      <c r="P52" s="26">
        <v>5</v>
      </c>
      <c r="Q52" s="24">
        <f t="shared" si="0"/>
        <v>1.95</v>
      </c>
      <c r="R52" s="26">
        <v>5</v>
      </c>
      <c r="S52" s="19">
        <v>3.89</v>
      </c>
      <c r="T52" s="19">
        <v>150</v>
      </c>
      <c r="U52" s="24">
        <f t="shared" si="9"/>
        <v>0.98</v>
      </c>
      <c r="V52" s="24">
        <f t="shared" si="10"/>
        <v>2.5</v>
      </c>
      <c r="W52" s="19">
        <v>18</v>
      </c>
      <c r="X52" s="24">
        <f t="shared" si="4"/>
        <v>72</v>
      </c>
      <c r="Y52" s="18">
        <v>0.01</v>
      </c>
      <c r="Z52" s="18">
        <v>0.01</v>
      </c>
      <c r="AA52" s="27">
        <v>10</v>
      </c>
      <c r="AB52" s="24">
        <f t="shared" si="34"/>
        <v>150</v>
      </c>
      <c r="AC52" s="19">
        <v>27000</v>
      </c>
      <c r="AD52" s="19">
        <v>489000</v>
      </c>
      <c r="AE52" s="28">
        <f t="shared" si="5"/>
        <v>7.2459849539607671E-2</v>
      </c>
      <c r="AF52" s="17">
        <v>50</v>
      </c>
      <c r="AG52">
        <v>7.0000000000000007E-2</v>
      </c>
    </row>
    <row r="53" spans="1:36" x14ac:dyDescent="0.25">
      <c r="A53" t="s">
        <v>67</v>
      </c>
      <c r="B53">
        <v>1</v>
      </c>
      <c r="C53" t="s">
        <v>176</v>
      </c>
      <c r="D53" t="s">
        <v>177</v>
      </c>
      <c r="E53" t="s">
        <v>16</v>
      </c>
      <c r="F53" t="s">
        <v>24</v>
      </c>
      <c r="H53" s="18">
        <v>0.92</v>
      </c>
      <c r="I53" s="18">
        <v>0.92</v>
      </c>
      <c r="J53" s="18">
        <v>0.4</v>
      </c>
      <c r="K53" s="18">
        <v>1</v>
      </c>
      <c r="N53" s="19">
        <v>1</v>
      </c>
      <c r="O53" s="19">
        <v>3</v>
      </c>
      <c r="P53" s="26">
        <v>6</v>
      </c>
      <c r="Q53" s="24">
        <f t="shared" si="0"/>
        <v>1.95</v>
      </c>
      <c r="R53" s="26">
        <v>11</v>
      </c>
      <c r="S53" s="19">
        <v>3.89</v>
      </c>
      <c r="T53" s="19">
        <v>250</v>
      </c>
      <c r="U53" s="24">
        <f t="shared" si="9"/>
        <v>0.98</v>
      </c>
      <c r="V53" s="24">
        <f t="shared" si="10"/>
        <v>5.5</v>
      </c>
      <c r="W53" s="19">
        <v>18</v>
      </c>
      <c r="X53" s="24">
        <f t="shared" si="4"/>
        <v>72</v>
      </c>
      <c r="Y53" s="18">
        <v>0.03</v>
      </c>
      <c r="Z53" s="18">
        <v>0.03</v>
      </c>
      <c r="AA53" s="27">
        <v>25</v>
      </c>
      <c r="AB53" s="24">
        <f t="shared" si="34"/>
        <v>250</v>
      </c>
      <c r="AC53" s="19">
        <v>33000</v>
      </c>
      <c r="AD53" s="19">
        <v>978000</v>
      </c>
      <c r="AE53" s="28">
        <f t="shared" si="5"/>
        <v>7.122922550001945E-2</v>
      </c>
      <c r="AF53" s="17">
        <v>60</v>
      </c>
      <c r="AG53">
        <v>7.0000000000000007E-2</v>
      </c>
      <c r="AJ53" t="s">
        <v>197</v>
      </c>
    </row>
    <row r="54" spans="1:36" x14ac:dyDescent="0.25">
      <c r="A54" t="s">
        <v>68</v>
      </c>
      <c r="B54">
        <v>1</v>
      </c>
      <c r="C54" t="s">
        <v>176</v>
      </c>
      <c r="D54" t="s">
        <v>177</v>
      </c>
      <c r="E54" t="s">
        <v>16</v>
      </c>
      <c r="F54" t="s">
        <v>24</v>
      </c>
      <c r="H54" s="18">
        <v>0.94</v>
      </c>
      <c r="I54" s="18">
        <v>0.94</v>
      </c>
      <c r="J54" s="18">
        <v>0.5</v>
      </c>
      <c r="K54" s="18">
        <v>1</v>
      </c>
      <c r="N54" s="19">
        <v>2</v>
      </c>
      <c r="O54" s="19">
        <v>24</v>
      </c>
      <c r="P54" s="26">
        <v>24</v>
      </c>
      <c r="Q54" s="24">
        <f t="shared" si="0"/>
        <v>1.95</v>
      </c>
      <c r="R54" s="26">
        <v>21</v>
      </c>
      <c r="S54" s="19">
        <v>3.89</v>
      </c>
      <c r="T54" s="19">
        <v>350</v>
      </c>
      <c r="U54" s="24">
        <f t="shared" si="9"/>
        <v>0.98</v>
      </c>
      <c r="V54" s="24">
        <f t="shared" si="10"/>
        <v>10.5</v>
      </c>
      <c r="W54" s="19">
        <v>18</v>
      </c>
      <c r="X54" s="24">
        <f t="shared" si="4"/>
        <v>72</v>
      </c>
      <c r="Y54" s="18">
        <v>0.05</v>
      </c>
      <c r="Z54" s="18">
        <v>0.05</v>
      </c>
      <c r="AA54" s="27">
        <v>40</v>
      </c>
      <c r="AB54" s="24">
        <f t="shared" si="34"/>
        <v>350</v>
      </c>
      <c r="AC54" s="19">
        <v>40000</v>
      </c>
      <c r="AD54" s="19">
        <v>1466000</v>
      </c>
      <c r="AE54" s="28">
        <f t="shared" si="5"/>
        <v>7.0619527184264883E-2</v>
      </c>
      <c r="AF54" s="18">
        <v>70</v>
      </c>
      <c r="AG54">
        <v>7.0000000000000007E-2</v>
      </c>
    </row>
    <row r="55" spans="1:36" x14ac:dyDescent="0.25">
      <c r="A55" t="s">
        <v>182</v>
      </c>
      <c r="B55">
        <v>1</v>
      </c>
      <c r="C55" t="s">
        <v>176</v>
      </c>
      <c r="D55" t="s">
        <v>177</v>
      </c>
      <c r="E55" t="s">
        <v>16</v>
      </c>
      <c r="F55" t="s">
        <v>24</v>
      </c>
      <c r="H55" s="18">
        <v>0.95</v>
      </c>
      <c r="I55" s="18">
        <v>0.95</v>
      </c>
      <c r="J55" s="18">
        <v>0.95</v>
      </c>
      <c r="K55" s="18">
        <v>1</v>
      </c>
      <c r="N55" s="26">
        <v>6.3</v>
      </c>
      <c r="O55" s="19">
        <v>48</v>
      </c>
      <c r="P55" s="19">
        <v>48</v>
      </c>
      <c r="Q55" s="24">
        <f t="shared" si="0"/>
        <v>1.95</v>
      </c>
      <c r="R55" s="26">
        <v>50</v>
      </c>
      <c r="S55" s="19">
        <v>3.89</v>
      </c>
      <c r="T55" s="19">
        <v>1000</v>
      </c>
      <c r="U55" s="24">
        <f t="shared" si="9"/>
        <v>0.98</v>
      </c>
      <c r="V55" s="24">
        <f t="shared" si="10"/>
        <v>25</v>
      </c>
      <c r="W55" s="19">
        <v>18</v>
      </c>
      <c r="X55" s="24">
        <f t="shared" si="4"/>
        <v>72</v>
      </c>
      <c r="Y55" s="18">
        <v>0.1</v>
      </c>
      <c r="Z55" s="18">
        <v>0.2</v>
      </c>
      <c r="AA55" s="18">
        <v>50</v>
      </c>
      <c r="AB55" s="24">
        <f t="shared" si="34"/>
        <v>1000</v>
      </c>
      <c r="AC55" s="19">
        <v>67500</v>
      </c>
      <c r="AD55" s="19">
        <v>2250000</v>
      </c>
      <c r="AE55" s="28">
        <f t="shared" si="5"/>
        <v>7.0313571760871663E-2</v>
      </c>
      <c r="AF55" s="18">
        <v>80</v>
      </c>
      <c r="AG55">
        <v>7.0000000000000007E-2</v>
      </c>
    </row>
    <row r="56" spans="1:36" x14ac:dyDescent="0.25">
      <c r="A56" t="s">
        <v>247</v>
      </c>
      <c r="B56">
        <v>1</v>
      </c>
      <c r="C56" t="s">
        <v>176</v>
      </c>
      <c r="D56" t="s">
        <v>177</v>
      </c>
      <c r="E56" t="s">
        <v>16</v>
      </c>
      <c r="F56" t="s">
        <v>24</v>
      </c>
      <c r="H56" s="24">
        <f>H54</f>
        <v>0.94</v>
      </c>
      <c r="I56" s="24">
        <f>I54</f>
        <v>0.94</v>
      </c>
      <c r="J56" s="24">
        <f>J52</f>
        <v>0.2</v>
      </c>
      <c r="K56" s="24">
        <f>K54</f>
        <v>1</v>
      </c>
      <c r="N56" s="24">
        <f>N52</f>
        <v>0.5</v>
      </c>
      <c r="O56" s="24">
        <f t="shared" ref="O56:P56" si="35">O52</f>
        <v>2</v>
      </c>
      <c r="P56" s="24">
        <f t="shared" si="35"/>
        <v>5</v>
      </c>
      <c r="Q56" s="24">
        <f>Q52</f>
        <v>1.95</v>
      </c>
      <c r="R56" s="24">
        <f>R52</f>
        <v>5</v>
      </c>
      <c r="S56" s="24">
        <f t="shared" ref="S56:X56" si="36">S52</f>
        <v>3.89</v>
      </c>
      <c r="T56" s="24">
        <f t="shared" si="36"/>
        <v>150</v>
      </c>
      <c r="U56" s="24">
        <f t="shared" si="36"/>
        <v>0.98</v>
      </c>
      <c r="V56" s="24">
        <f t="shared" si="36"/>
        <v>2.5</v>
      </c>
      <c r="W56" s="24">
        <f t="shared" si="36"/>
        <v>18</v>
      </c>
      <c r="X56" s="24">
        <f t="shared" si="36"/>
        <v>72</v>
      </c>
      <c r="Y56" s="24">
        <f>Y54</f>
        <v>0.05</v>
      </c>
      <c r="Z56" s="24">
        <f>Z54</f>
        <v>0.05</v>
      </c>
      <c r="AA56" s="24">
        <f>AA52</f>
        <v>10</v>
      </c>
      <c r="AB56" s="24">
        <f>AB52</f>
        <v>150</v>
      </c>
      <c r="AC56" s="24">
        <f>AC52</f>
        <v>27000</v>
      </c>
      <c r="AD56" s="24">
        <f>AD52</f>
        <v>489000</v>
      </c>
      <c r="AE56" s="28">
        <f t="shared" si="5"/>
        <v>7.0619527184264883E-2</v>
      </c>
      <c r="AF56" s="24">
        <f>AF54</f>
        <v>70</v>
      </c>
      <c r="AG56">
        <v>7.0000000000000007E-2</v>
      </c>
      <c r="AJ56" t="s">
        <v>248</v>
      </c>
    </row>
    <row r="57" spans="1:36" x14ac:dyDescent="0.25">
      <c r="A57" t="s">
        <v>246</v>
      </c>
      <c r="B57">
        <v>1</v>
      </c>
      <c r="C57" t="s">
        <v>176</v>
      </c>
      <c r="D57" t="s">
        <v>177</v>
      </c>
      <c r="E57" t="s">
        <v>16</v>
      </c>
      <c r="F57" t="s">
        <v>24</v>
      </c>
      <c r="H57" s="24">
        <f>H55</f>
        <v>0.95</v>
      </c>
      <c r="I57" s="24">
        <f>I55</f>
        <v>0.95</v>
      </c>
      <c r="J57" s="24">
        <f>J51</f>
        <v>0.15</v>
      </c>
      <c r="K57" s="24">
        <f>K55</f>
        <v>1</v>
      </c>
      <c r="N57" s="24">
        <f>N51</f>
        <v>0</v>
      </c>
      <c r="O57" s="24">
        <f t="shared" ref="O57:P57" si="37">O51</f>
        <v>1</v>
      </c>
      <c r="P57" s="24">
        <f t="shared" si="37"/>
        <v>1</v>
      </c>
      <c r="Q57" s="24">
        <f>Q51</f>
        <v>1.95</v>
      </c>
      <c r="R57" s="24">
        <f>R51</f>
        <v>1</v>
      </c>
      <c r="S57" s="24">
        <f>S51</f>
        <v>3.89</v>
      </c>
      <c r="T57" s="24">
        <f>T51</f>
        <v>50</v>
      </c>
      <c r="U57" s="24">
        <f>U51</f>
        <v>0.98</v>
      </c>
      <c r="V57" s="24">
        <f>V51</f>
        <v>0.5</v>
      </c>
      <c r="W57" s="24">
        <f>W51</f>
        <v>18</v>
      </c>
      <c r="X57" s="24">
        <f>X51</f>
        <v>72</v>
      </c>
      <c r="Y57" s="24">
        <f>Y55</f>
        <v>0.1</v>
      </c>
      <c r="Z57" s="24">
        <f>Z55</f>
        <v>0.2</v>
      </c>
      <c r="AA57" s="24">
        <f>AA51</f>
        <v>1</v>
      </c>
      <c r="AB57" s="24">
        <f>AB51</f>
        <v>50</v>
      </c>
      <c r="AC57" s="24">
        <f>AC51</f>
        <v>7320</v>
      </c>
      <c r="AD57" s="24">
        <f>AD51</f>
        <v>244000</v>
      </c>
      <c r="AE57" s="28">
        <f t="shared" si="5"/>
        <v>7.0313571760871663E-2</v>
      </c>
      <c r="AF57" s="24">
        <f>AF55</f>
        <v>80</v>
      </c>
      <c r="AG57">
        <v>7.0000000000000007E-2</v>
      </c>
      <c r="AJ57" t="s">
        <v>249</v>
      </c>
    </row>
    <row r="58" spans="1:36" s="7" customFormat="1" x14ac:dyDescent="0.25">
      <c r="A58" t="s">
        <v>183</v>
      </c>
      <c r="B58">
        <v>1</v>
      </c>
      <c r="C58" t="s">
        <v>235</v>
      </c>
      <c r="D58" t="s">
        <v>236</v>
      </c>
      <c r="E58" t="s">
        <v>16</v>
      </c>
      <c r="F58" t="s">
        <v>17</v>
      </c>
      <c r="G58" s="2"/>
      <c r="H58" s="24">
        <f>ROUND(MIN(H2,H16,H37),2)</f>
        <v>0.23</v>
      </c>
      <c r="I58" s="24">
        <f>ROUND(MIN(I2,I16,I37),2)</f>
        <v>0.23</v>
      </c>
      <c r="J58" s="24">
        <f>ROUND(MIN(J2,J16,J37),2)</f>
        <v>0.15</v>
      </c>
      <c r="K58" s="24">
        <f>ROUND(MIN(K2,K16,K37),2)</f>
        <v>1</v>
      </c>
      <c r="L58"/>
      <c r="M58"/>
      <c r="N58" s="24">
        <f>ROUND(MIN(N2,N16,N37),2)</f>
        <v>1.2</v>
      </c>
      <c r="O58" s="24">
        <f>ROUNDDOWN(MIN(O2,O16,O37),0)</f>
        <v>1</v>
      </c>
      <c r="P58" s="24">
        <f>ROUNDDOWN(MIN(P2,P16,P37),0)</f>
        <v>1</v>
      </c>
      <c r="Q58" s="24">
        <f>ROUND(MIN(Q2,Q16,Q37),2)</f>
        <v>1.95</v>
      </c>
      <c r="R58" s="24">
        <f>ROUND(MIN(R2,R16,R37),2)</f>
        <v>5</v>
      </c>
      <c r="S58" s="24">
        <f>ROUND(MIN(S2,S16,S37),2)</f>
        <v>3.89</v>
      </c>
      <c r="T58" s="24">
        <f>ROUND(MIN(T2,T16,T37),2)</f>
        <v>300</v>
      </c>
      <c r="U58" s="24">
        <f>ROUND(MIN(U2,U16,U37),2)</f>
        <v>0.98</v>
      </c>
      <c r="V58" s="24">
        <f>ROUND(MIN(V2,V16,V37),2)</f>
        <v>2.5</v>
      </c>
      <c r="W58" s="24">
        <f>ROUNDDOWN(MIN(W2,W16,W37),0)</f>
        <v>18</v>
      </c>
      <c r="X58" s="24">
        <f>ROUNDDOWN(MIN(X2,X16,X37),0)</f>
        <v>72</v>
      </c>
      <c r="Y58" s="24">
        <f>ROUND(MIN(Y2,Y16,Y37),2)</f>
        <v>0.01</v>
      </c>
      <c r="Z58" s="24">
        <f>ROUND(MIN(Z2,Z16,Z37),2)</f>
        <v>0.01</v>
      </c>
      <c r="AA58" s="24">
        <f>ROUNDDOWN(MIN(AA2,AA16,AA37),0)</f>
        <v>1</v>
      </c>
      <c r="AB58" s="24">
        <f>ROUND(MIN(AB2,AB16,AB37),2)</f>
        <v>300</v>
      </c>
      <c r="AC58" s="24">
        <f>ROUNDDOWN(MIN(AC2,AC16,AC37),0)</f>
        <v>30000</v>
      </c>
      <c r="AD58" s="24">
        <f>ROUNDDOWN(MIN(AD2,AD16,AD37),0)</f>
        <v>1350000</v>
      </c>
      <c r="AE58" s="28">
        <f t="shared" si="5"/>
        <v>7.5009138873610326E-2</v>
      </c>
      <c r="AF58" s="24">
        <f>ROUNDDOWN(MIN(AF2,AF16,AF37),0)</f>
        <v>40</v>
      </c>
      <c r="AG58">
        <v>7.0000000000000007E-2</v>
      </c>
      <c r="AH58"/>
      <c r="AI58"/>
    </row>
    <row r="59" spans="1:36" s="6" customFormat="1" x14ac:dyDescent="0.25">
      <c r="A59" t="s">
        <v>66</v>
      </c>
      <c r="B59">
        <v>1</v>
      </c>
      <c r="C59" t="s">
        <v>235</v>
      </c>
      <c r="D59" t="s">
        <v>236</v>
      </c>
      <c r="E59" t="s">
        <v>16</v>
      </c>
      <c r="F59" t="s">
        <v>17</v>
      </c>
      <c r="G59" s="5"/>
      <c r="H59" s="24">
        <f>ROUND(AVERAGE(H58,H60),2)</f>
        <v>0.28000000000000003</v>
      </c>
      <c r="I59" s="24">
        <f t="shared" ref="I59:AB59" si="38">ROUND(AVERAGE(I58,I60),2)</f>
        <v>0.28000000000000003</v>
      </c>
      <c r="J59" s="24">
        <f t="shared" si="38"/>
        <v>0.28999999999999998</v>
      </c>
      <c r="K59" s="24">
        <f t="shared" si="38"/>
        <v>1</v>
      </c>
      <c r="L59"/>
      <c r="M59"/>
      <c r="N59" s="24">
        <f t="shared" si="38"/>
        <v>1.94</v>
      </c>
      <c r="O59" s="24">
        <f>ROUNDDOWN(AVERAGE(O58,O60),0)</f>
        <v>3</v>
      </c>
      <c r="P59" s="24">
        <f>ROUNDDOWN(AVERAGE(P58,P60),0)</f>
        <v>7</v>
      </c>
      <c r="Q59" s="24">
        <f t="shared" si="38"/>
        <v>1.95</v>
      </c>
      <c r="R59" s="24">
        <f t="shared" si="38"/>
        <v>13</v>
      </c>
      <c r="S59" s="24">
        <f t="shared" si="38"/>
        <v>3.89</v>
      </c>
      <c r="T59" s="24">
        <f t="shared" si="38"/>
        <v>400</v>
      </c>
      <c r="U59" s="24">
        <f t="shared" si="38"/>
        <v>0.98</v>
      </c>
      <c r="V59" s="24">
        <f t="shared" si="38"/>
        <v>6.5</v>
      </c>
      <c r="W59" s="24">
        <f>ROUNDDOWN(AVERAGE(W58,W60),0)</f>
        <v>24</v>
      </c>
      <c r="X59" s="24">
        <f>ROUNDDOWN(AVERAGE(X58,X60),0)</f>
        <v>96</v>
      </c>
      <c r="Y59" s="24">
        <f t="shared" si="38"/>
        <v>0.02</v>
      </c>
      <c r="Z59" s="24">
        <f t="shared" si="38"/>
        <v>0.02</v>
      </c>
      <c r="AA59" s="24">
        <f>ROUNDDOWN(AVERAGE(AA58,AA60),0)</f>
        <v>194</v>
      </c>
      <c r="AB59" s="24">
        <f t="shared" si="38"/>
        <v>400</v>
      </c>
      <c r="AC59" s="24">
        <f>ROUNDDOWN(AVERAGE(AC58,AC60),0)</f>
        <v>114150</v>
      </c>
      <c r="AD59" s="24">
        <f>ROUNDDOWN(AVERAGE(AD58,AD60),0)</f>
        <v>4425000</v>
      </c>
      <c r="AE59" s="28">
        <f t="shared" si="5"/>
        <v>7.2459849539607671E-2</v>
      </c>
      <c r="AF59" s="24">
        <f>ROUNDDOWN(AVERAGE(AF58,AF60),0)</f>
        <v>50</v>
      </c>
      <c r="AG59">
        <v>7.0000000000000007E-2</v>
      </c>
      <c r="AH59"/>
      <c r="AI59"/>
    </row>
    <row r="60" spans="1:36" s="5" customFormat="1" x14ac:dyDescent="0.25">
      <c r="A60" t="s">
        <v>67</v>
      </c>
      <c r="B60">
        <v>1</v>
      </c>
      <c r="C60" t="s">
        <v>235</v>
      </c>
      <c r="D60" t="s">
        <v>236</v>
      </c>
      <c r="E60" t="s">
        <v>16</v>
      </c>
      <c r="F60" t="s">
        <v>17</v>
      </c>
      <c r="H60" s="24">
        <f>ROUND(AVERAGE(H4,H18,H39),2)</f>
        <v>0.33</v>
      </c>
      <c r="I60" s="24">
        <f>ROUND(AVERAGE(I4,I18,I39),2)</f>
        <v>0.33</v>
      </c>
      <c r="J60" s="24">
        <f>ROUND(AVERAGE(J4,J18,J39),2)</f>
        <v>0.43</v>
      </c>
      <c r="K60" s="24">
        <f>ROUND(AVERAGE(K4,K18,K39),2)</f>
        <v>1</v>
      </c>
      <c r="L60"/>
      <c r="M60"/>
      <c r="N60" s="24">
        <f>ROUND(AVERAGE(N4,N18,N39),2)</f>
        <v>2.67</v>
      </c>
      <c r="O60" s="24">
        <f>ROUND(AVERAGE(O4,O18,O39),0)</f>
        <v>6</v>
      </c>
      <c r="P60" s="24">
        <f>ROUND(AVERAGE(P4,P18,P39),0)</f>
        <v>14</v>
      </c>
      <c r="Q60" s="24">
        <f>ROUND(AVERAGE(Q4,Q18,Q39),2)</f>
        <v>1.95</v>
      </c>
      <c r="R60" s="24">
        <f>ROUND(AVERAGE(R4,R18,R39),2)</f>
        <v>21</v>
      </c>
      <c r="S60" s="24">
        <f>ROUND(AVERAGE(S4,S18,S39),2)</f>
        <v>3.89</v>
      </c>
      <c r="T60" s="24">
        <f>ROUND(AVERAGE(T4,T18,T39),2)</f>
        <v>500</v>
      </c>
      <c r="U60" s="24">
        <f>ROUND(AVERAGE(U4,U18,U39),2)</f>
        <v>0.98</v>
      </c>
      <c r="V60" s="24">
        <f>ROUND(AVERAGE(V4,V18,V39),2)</f>
        <v>10.5</v>
      </c>
      <c r="W60" s="24">
        <f>ROUND(AVERAGE(W4,W18,W39),0)</f>
        <v>30</v>
      </c>
      <c r="X60" s="24">
        <f>ROUND(AVERAGE(X4,X18,X39),0)</f>
        <v>120</v>
      </c>
      <c r="Y60" s="24">
        <f>ROUND(AVERAGE(Y4,Y18,Y39),2)</f>
        <v>0.03</v>
      </c>
      <c r="Z60" s="24">
        <f>ROUND(AVERAGE(Z4,Z18,Z39),2)</f>
        <v>0.03</v>
      </c>
      <c r="AA60" s="24">
        <f>ROUND(AVERAGE(AA4,AA18,AA39),0)</f>
        <v>387</v>
      </c>
      <c r="AB60" s="24">
        <f>ROUND(AVERAGE(AB4,AB18,AB39),2)</f>
        <v>500</v>
      </c>
      <c r="AC60" s="24">
        <f>ROUND(AVERAGE(AC4,AC18,AC39),0)</f>
        <v>198300</v>
      </c>
      <c r="AD60" s="24">
        <f>ROUND(AVERAGE(AD4,AD18,AD39),0)</f>
        <v>7500000</v>
      </c>
      <c r="AE60" s="28">
        <f t="shared" si="5"/>
        <v>7.122922550001945E-2</v>
      </c>
      <c r="AF60" s="24">
        <f>ROUND(AVERAGE(AF4,AF18,AF39),0)</f>
        <v>60</v>
      </c>
      <c r="AG60">
        <v>7.0000000000000007E-2</v>
      </c>
      <c r="AH60"/>
      <c r="AI60"/>
      <c r="AJ60" s="5" t="s">
        <v>241</v>
      </c>
    </row>
    <row r="61" spans="1:36" s="6" customFormat="1" x14ac:dyDescent="0.25">
      <c r="A61" t="s">
        <v>68</v>
      </c>
      <c r="B61">
        <v>1</v>
      </c>
      <c r="C61" t="s">
        <v>235</v>
      </c>
      <c r="D61" t="s">
        <v>236</v>
      </c>
      <c r="E61" t="s">
        <v>16</v>
      </c>
      <c r="F61" t="s">
        <v>17</v>
      </c>
      <c r="G61"/>
      <c r="H61" s="24">
        <f>ROUND(AVERAGE(H60,H62),2)</f>
        <v>0.38</v>
      </c>
      <c r="I61" s="24">
        <f t="shared" ref="I61:AB61" si="39">ROUND(AVERAGE(I60,I62),2)</f>
        <v>0.38</v>
      </c>
      <c r="J61" s="24">
        <f t="shared" si="39"/>
        <v>0.69</v>
      </c>
      <c r="K61" s="24">
        <f t="shared" si="39"/>
        <v>1</v>
      </c>
      <c r="L61"/>
      <c r="M61"/>
      <c r="N61" s="24">
        <f t="shared" si="39"/>
        <v>9.5399999999999991</v>
      </c>
      <c r="O61" s="24">
        <f>ROUNDUP(AVERAGE(O60,O62),0)</f>
        <v>51</v>
      </c>
      <c r="P61" s="24">
        <f>ROUNDUP(AVERAGE(P60,P62),0)</f>
        <v>55</v>
      </c>
      <c r="Q61" s="24">
        <f t="shared" si="39"/>
        <v>1.95</v>
      </c>
      <c r="R61" s="24">
        <f t="shared" si="39"/>
        <v>60.5</v>
      </c>
      <c r="S61" s="24">
        <f t="shared" si="39"/>
        <v>3.89</v>
      </c>
      <c r="T61" s="24">
        <f t="shared" si="39"/>
        <v>1250</v>
      </c>
      <c r="U61" s="24">
        <f t="shared" si="39"/>
        <v>0.98</v>
      </c>
      <c r="V61" s="24">
        <f t="shared" si="39"/>
        <v>30.25</v>
      </c>
      <c r="W61" s="24">
        <f>ROUNDUP(AVERAGE(W60,W62),0)</f>
        <v>33</v>
      </c>
      <c r="X61" s="24">
        <f>ROUNDUP(AVERAGE(X60,X62),0)</f>
        <v>132</v>
      </c>
      <c r="Y61" s="24">
        <f t="shared" si="39"/>
        <v>7.0000000000000007E-2</v>
      </c>
      <c r="Z61" s="24">
        <f t="shared" si="39"/>
        <v>0.12</v>
      </c>
      <c r="AA61" s="24">
        <f>ROUNDUP(AVERAGE(AA60,AA62),0)</f>
        <v>1069</v>
      </c>
      <c r="AB61" s="24">
        <f t="shared" si="39"/>
        <v>1250</v>
      </c>
      <c r="AC61" s="24">
        <f>ROUNDUP(AVERAGE(AC60,AC62),0)</f>
        <v>374150</v>
      </c>
      <c r="AD61" s="24">
        <f>ROUNDUP(AVERAGE(AD60,AD62),0)</f>
        <v>17250000</v>
      </c>
      <c r="AE61" s="28">
        <f t="shared" si="5"/>
        <v>7.0619527184264883E-2</v>
      </c>
      <c r="AF61" s="24">
        <f>ROUNDUP(AVERAGE(AF60,AF62),0)</f>
        <v>70</v>
      </c>
      <c r="AG61">
        <v>7.0000000000000007E-2</v>
      </c>
      <c r="AH61"/>
      <c r="AI61"/>
    </row>
    <row r="62" spans="1:36" s="6" customFormat="1" x14ac:dyDescent="0.25">
      <c r="A62" t="s">
        <v>182</v>
      </c>
      <c r="B62">
        <v>1</v>
      </c>
      <c r="C62" t="s">
        <v>235</v>
      </c>
      <c r="D62" t="s">
        <v>236</v>
      </c>
      <c r="E62" t="s">
        <v>16</v>
      </c>
      <c r="F62" t="s">
        <v>17</v>
      </c>
      <c r="G62" s="2"/>
      <c r="H62" s="24">
        <f>ROUND(MAX(H6,H20,H41),2)</f>
        <v>0.42</v>
      </c>
      <c r="I62" s="24">
        <f>ROUND(MAX(I6,I20,I41),2)</f>
        <v>0.42</v>
      </c>
      <c r="J62" s="24">
        <f>ROUND(MAX(J6,J20,J41),2)</f>
        <v>0.95</v>
      </c>
      <c r="K62" s="24">
        <f>ROUND(MAX(K6,K20,K41),2)</f>
        <v>1</v>
      </c>
      <c r="L62"/>
      <c r="M62"/>
      <c r="N62" s="24">
        <f>ROUND(MAX(N6,N20,N41),2)</f>
        <v>16.399999999999999</v>
      </c>
      <c r="O62" s="24">
        <f>ROUNDUP(MAX(O6,O20,O41),0)</f>
        <v>96</v>
      </c>
      <c r="P62" s="24">
        <f>ROUNDUP(MAX(P6,P20,P41),0)</f>
        <v>96</v>
      </c>
      <c r="Q62" s="24">
        <f>ROUND(MAX(Q6,Q20,Q41),2)</f>
        <v>1.95</v>
      </c>
      <c r="R62" s="24">
        <f>ROUND(MAX(R6,R20,R41),2)</f>
        <v>100</v>
      </c>
      <c r="S62" s="24">
        <f>ROUND(MAX(S6,S20,S41),2)</f>
        <v>3.89</v>
      </c>
      <c r="T62" s="24">
        <f>ROUND(MAX(T6,T20,T41),2)</f>
        <v>2000</v>
      </c>
      <c r="U62" s="24">
        <f>ROUND(MAX(U6,U20,U41),2)</f>
        <v>0.98</v>
      </c>
      <c r="V62" s="24">
        <f>ROUND(MAX(V6,V20,V41),2)</f>
        <v>50</v>
      </c>
      <c r="W62" s="24">
        <f>ROUNDUP(MAX(W6,W20,W41),0)</f>
        <v>36</v>
      </c>
      <c r="X62" s="24">
        <f>ROUNDUP(MAX(X6,X20,X41),0)</f>
        <v>144</v>
      </c>
      <c r="Y62" s="24">
        <f>ROUND(MAX(Y6,Y20,Y41),2)</f>
        <v>0.1</v>
      </c>
      <c r="Z62" s="24">
        <f>ROUND(MAX(Z6,Z20,Z41),2)</f>
        <v>0.2</v>
      </c>
      <c r="AA62" s="24">
        <f>ROUNDUP(MAX(AA6,AA20,AA41),0)</f>
        <v>1750</v>
      </c>
      <c r="AB62" s="24">
        <f>ROUND(MAX(AB6,AB20,AB41),2)</f>
        <v>2000</v>
      </c>
      <c r="AC62" s="24">
        <f>ROUNDUP(MAX(AC6,AC20,AC41),0)</f>
        <v>550000</v>
      </c>
      <c r="AD62" s="24">
        <f>ROUNDUP(MAX(AD6,AD20,AD41),0)</f>
        <v>27000000</v>
      </c>
      <c r="AE62" s="28">
        <f t="shared" si="5"/>
        <v>7.0313571760871663E-2</v>
      </c>
      <c r="AF62" s="24">
        <f>ROUNDUP(MAX(AF6,AF20,AF41),0)</f>
        <v>80</v>
      </c>
      <c r="AG62">
        <v>7.0000000000000007E-2</v>
      </c>
      <c r="AH62"/>
      <c r="AI62"/>
    </row>
    <row r="63" spans="1:36" x14ac:dyDescent="0.25">
      <c r="A63" t="s">
        <v>247</v>
      </c>
      <c r="B63">
        <v>1</v>
      </c>
      <c r="C63" t="s">
        <v>235</v>
      </c>
      <c r="D63" t="s">
        <v>236</v>
      </c>
      <c r="E63" t="s">
        <v>16</v>
      </c>
      <c r="F63" t="s">
        <v>17</v>
      </c>
      <c r="H63" s="24">
        <f>H61</f>
        <v>0.38</v>
      </c>
      <c r="I63" s="24">
        <f>I61</f>
        <v>0.38</v>
      </c>
      <c r="J63" s="24">
        <f>J59</f>
        <v>0.28999999999999998</v>
      </c>
      <c r="K63" s="24">
        <f>K61</f>
        <v>1</v>
      </c>
      <c r="N63" s="24">
        <f>N59</f>
        <v>1.94</v>
      </c>
      <c r="O63" s="24">
        <f t="shared" ref="O63:P63" si="40">O59</f>
        <v>3</v>
      </c>
      <c r="P63" s="24">
        <f t="shared" si="40"/>
        <v>7</v>
      </c>
      <c r="Q63" s="24">
        <f>Q59</f>
        <v>1.95</v>
      </c>
      <c r="R63" s="24">
        <f>R59</f>
        <v>13</v>
      </c>
      <c r="S63" s="24">
        <f t="shared" ref="S63:X63" si="41">S59</f>
        <v>3.89</v>
      </c>
      <c r="T63" s="24">
        <f t="shared" si="41"/>
        <v>400</v>
      </c>
      <c r="U63" s="24">
        <f t="shared" si="41"/>
        <v>0.98</v>
      </c>
      <c r="V63" s="24">
        <f t="shared" si="41"/>
        <v>6.5</v>
      </c>
      <c r="W63" s="24">
        <f t="shared" si="41"/>
        <v>24</v>
      </c>
      <c r="X63" s="24">
        <f t="shared" si="41"/>
        <v>96</v>
      </c>
      <c r="Y63" s="24">
        <f>Y61</f>
        <v>7.0000000000000007E-2</v>
      </c>
      <c r="Z63" s="24">
        <f>Z61</f>
        <v>0.12</v>
      </c>
      <c r="AA63" s="24">
        <f>AA59</f>
        <v>194</v>
      </c>
      <c r="AB63" s="24">
        <f>AB59</f>
        <v>400</v>
      </c>
      <c r="AC63" s="24">
        <f>AC59</f>
        <v>114150</v>
      </c>
      <c r="AD63" s="24">
        <f>AD59</f>
        <v>4425000</v>
      </c>
      <c r="AE63" s="28">
        <f t="shared" ref="AE63:AE64" si="42">-PMT(AG63,AF63,1)</f>
        <v>7.0619527184264883E-2</v>
      </c>
      <c r="AF63" s="24">
        <f>AF61</f>
        <v>70</v>
      </c>
      <c r="AG63">
        <v>7.0000000000000007E-2</v>
      </c>
      <c r="AJ63" t="s">
        <v>248</v>
      </c>
    </row>
    <row r="64" spans="1:36" x14ac:dyDescent="0.25">
      <c r="A64" t="s">
        <v>246</v>
      </c>
      <c r="B64">
        <v>1</v>
      </c>
      <c r="C64" t="s">
        <v>235</v>
      </c>
      <c r="D64" t="s">
        <v>236</v>
      </c>
      <c r="E64" t="s">
        <v>16</v>
      </c>
      <c r="F64" t="s">
        <v>17</v>
      </c>
      <c r="G64" s="2"/>
      <c r="H64" s="24">
        <f>H62</f>
        <v>0.42</v>
      </c>
      <c r="I64" s="24">
        <f>I62</f>
        <v>0.42</v>
      </c>
      <c r="J64" s="24">
        <f>J58</f>
        <v>0.15</v>
      </c>
      <c r="K64" s="24">
        <f>K62</f>
        <v>1</v>
      </c>
      <c r="N64" s="24">
        <f>N58</f>
        <v>1.2</v>
      </c>
      <c r="O64" s="24">
        <f t="shared" ref="O64:P64" si="43">O58</f>
        <v>1</v>
      </c>
      <c r="P64" s="24">
        <f t="shared" si="43"/>
        <v>1</v>
      </c>
      <c r="Q64" s="24">
        <f>Q58</f>
        <v>1.95</v>
      </c>
      <c r="R64" s="24">
        <f>R58</f>
        <v>5</v>
      </c>
      <c r="S64" s="24">
        <f>S58</f>
        <v>3.89</v>
      </c>
      <c r="T64" s="24">
        <f>T58</f>
        <v>300</v>
      </c>
      <c r="U64" s="24">
        <f>U58</f>
        <v>0.98</v>
      </c>
      <c r="V64" s="24">
        <f>V58</f>
        <v>2.5</v>
      </c>
      <c r="W64" s="24">
        <f>W58</f>
        <v>18</v>
      </c>
      <c r="X64" s="24">
        <f>X58</f>
        <v>72</v>
      </c>
      <c r="Y64" s="24">
        <f>Y62</f>
        <v>0.1</v>
      </c>
      <c r="Z64" s="24">
        <f>Z62</f>
        <v>0.2</v>
      </c>
      <c r="AA64" s="24">
        <f>AA58</f>
        <v>1</v>
      </c>
      <c r="AB64" s="24">
        <f>AB58</f>
        <v>300</v>
      </c>
      <c r="AC64" s="24">
        <f>AC58</f>
        <v>30000</v>
      </c>
      <c r="AD64" s="24">
        <f>AD58</f>
        <v>1350000</v>
      </c>
      <c r="AE64" s="28">
        <f t="shared" si="42"/>
        <v>7.0313571760871663E-2</v>
      </c>
      <c r="AF64" s="24">
        <f>AF62</f>
        <v>80</v>
      </c>
      <c r="AG64">
        <v>7.0000000000000007E-2</v>
      </c>
      <c r="AJ64" t="s">
        <v>249</v>
      </c>
    </row>
    <row r="65" spans="1:36" x14ac:dyDescent="0.25">
      <c r="A65" t="s">
        <v>183</v>
      </c>
      <c r="B65">
        <v>1</v>
      </c>
      <c r="C65" t="s">
        <v>237</v>
      </c>
      <c r="D65" t="s">
        <v>238</v>
      </c>
      <c r="E65" t="s">
        <v>16</v>
      </c>
      <c r="F65" t="s">
        <v>17</v>
      </c>
      <c r="G65" t="s">
        <v>24</v>
      </c>
      <c r="H65" s="24">
        <f>ROUND(MIN(H9,H23,H44),2)</f>
        <v>0.61</v>
      </c>
      <c r="I65" s="24">
        <f>ROUND(MIN(I9,I23,I44),2)</f>
        <v>0.61</v>
      </c>
      <c r="J65" s="24">
        <f>ROUND(MIN(J9,J23,J44),2)</f>
        <v>0.15</v>
      </c>
      <c r="K65" s="24">
        <f>ROUND(MIN(K9,K23,K44),2)</f>
        <v>1</v>
      </c>
      <c r="L65" s="24">
        <f>ROUND(MIN(L9,L23,L44),2)</f>
        <v>0.2</v>
      </c>
      <c r="M65" s="24">
        <f>ROUND(MIN(M9,M23,M44),2)</f>
        <v>-0.17</v>
      </c>
      <c r="N65" s="24">
        <f>ROUND(MIN(N9,N23,N44),2)</f>
        <v>1.2</v>
      </c>
      <c r="O65" s="24">
        <f>ROUNDDOWN(MIN(O9,O23,O44),0)</f>
        <v>1</v>
      </c>
      <c r="P65" s="24">
        <f>ROUNDDOWN(MIN(P9,P23,P44),0)</f>
        <v>1</v>
      </c>
      <c r="Q65" s="24">
        <f>ROUND(MIN(Q9,Q23,Q44),2)</f>
        <v>1.95</v>
      </c>
      <c r="R65" s="24">
        <f>ROUND(MIN(R9,R23,R44),2)</f>
        <v>5</v>
      </c>
      <c r="S65" s="24">
        <f>ROUND(MIN(S9,S23,S44),2)</f>
        <v>3.89</v>
      </c>
      <c r="T65" s="24">
        <f>ROUND(MIN(T9,T23,T44),2)</f>
        <v>300</v>
      </c>
      <c r="U65" s="24">
        <f>ROUND(MIN(U9,U23,U44),2)</f>
        <v>0.98</v>
      </c>
      <c r="V65" s="24">
        <f>ROUND(MIN(V9,V23,V44),2)</f>
        <v>2.5</v>
      </c>
      <c r="W65" s="24">
        <f>ROUNDDOWN(MIN(W9,W23,W44),0)</f>
        <v>18</v>
      </c>
      <c r="X65" s="24">
        <f>ROUNDDOWN(MIN(X9,X23,X44),0)</f>
        <v>72</v>
      </c>
      <c r="Y65" s="24">
        <f>ROUND(MIN(Y9,Y23,Y44),2)</f>
        <v>0.01</v>
      </c>
      <c r="Z65" s="24">
        <f>ROUND(MIN(Z9,Z23,Z44),2)</f>
        <v>0.01</v>
      </c>
      <c r="AA65" s="24">
        <f>ROUNDDOWN(MIN(AA9,AA23,AA44),0)</f>
        <v>1</v>
      </c>
      <c r="AB65" s="24">
        <f>ROUND(MIN(AB9,AB23,AB44),2)</f>
        <v>300</v>
      </c>
      <c r="AC65" s="24">
        <f>ROUNDDOWN(MIN(AC9,AC23,AC44),0)</f>
        <v>30000</v>
      </c>
      <c r="AD65" s="24">
        <f>ROUNDDOWN(MIN(AD9,AD23,AD44),0)</f>
        <v>1350000</v>
      </c>
      <c r="AE65" s="28">
        <f t="shared" ref="AE65:AE75" si="44">-PMT(AG65,AF65,1)</f>
        <v>7.5009138873610326E-2</v>
      </c>
      <c r="AF65" s="24">
        <f>ROUNDDOWN(MIN(AF9,AF23,AF44),0)</f>
        <v>40</v>
      </c>
      <c r="AG65">
        <v>7.0000000000000007E-2</v>
      </c>
      <c r="AH65" s="2"/>
      <c r="AI65" s="2"/>
    </row>
    <row r="66" spans="1:36" x14ac:dyDescent="0.25">
      <c r="A66" t="s">
        <v>66</v>
      </c>
      <c r="B66">
        <v>1</v>
      </c>
      <c r="C66" t="s">
        <v>237</v>
      </c>
      <c r="D66" t="s">
        <v>238</v>
      </c>
      <c r="E66" t="s">
        <v>16</v>
      </c>
      <c r="F66" t="s">
        <v>17</v>
      </c>
      <c r="G66" t="s">
        <v>24</v>
      </c>
      <c r="H66" s="24">
        <f>ROUND(AVERAGE(H65,H67),2)</f>
        <v>0.75</v>
      </c>
      <c r="I66" s="24">
        <f t="shared" ref="I66" si="45">ROUND(AVERAGE(I65,I67),2)</f>
        <v>0.75</v>
      </c>
      <c r="J66" s="24">
        <f t="shared" ref="J66" si="46">ROUND(AVERAGE(J65,J67),2)</f>
        <v>0.28999999999999998</v>
      </c>
      <c r="K66" s="24">
        <f t="shared" ref="K66" si="47">ROUND(AVERAGE(K65,K67),2)</f>
        <v>1</v>
      </c>
      <c r="L66" s="24">
        <f t="shared" ref="L66" si="48">ROUND(AVERAGE(L65,L67),2)</f>
        <v>0.3</v>
      </c>
      <c r="M66" s="24">
        <f t="shared" ref="M66" si="49">ROUND(AVERAGE(M65,M67),2)</f>
        <v>-0.16</v>
      </c>
      <c r="N66" s="24">
        <f>ROUND(AVERAGE(N65,N67),2)</f>
        <v>2.08</v>
      </c>
      <c r="O66" s="24">
        <f>ROUNDDOWN(AVERAGE(O65,O67),0)</f>
        <v>3</v>
      </c>
      <c r="P66" s="24">
        <f>ROUNDDOWN(AVERAGE(P65,P67),0)</f>
        <v>7</v>
      </c>
      <c r="Q66" s="24">
        <f t="shared" ref="Q66" si="50">ROUND(AVERAGE(Q65,Q67),2)</f>
        <v>1.95</v>
      </c>
      <c r="R66" s="24">
        <f t="shared" ref="R66" si="51">ROUND(AVERAGE(R65,R67),2)</f>
        <v>14.16</v>
      </c>
      <c r="S66" s="24">
        <f t="shared" ref="S66" si="52">ROUND(AVERAGE(S65,S67),2)</f>
        <v>3.89</v>
      </c>
      <c r="T66" s="24">
        <f t="shared" ref="T66" si="53">ROUND(AVERAGE(T65,T67),2)</f>
        <v>427.5</v>
      </c>
      <c r="U66" s="24">
        <f t="shared" ref="U66" si="54">ROUND(AVERAGE(U65,U67),2)</f>
        <v>0.98</v>
      </c>
      <c r="V66" s="24">
        <f t="shared" ref="V66" si="55">ROUND(AVERAGE(V65,V67),2)</f>
        <v>7.08</v>
      </c>
      <c r="W66" s="24">
        <f>ROUNDDOWN(AVERAGE(W65,W67),0)</f>
        <v>24</v>
      </c>
      <c r="X66" s="24">
        <f>ROUNDDOWN(AVERAGE(X65,X67),0)</f>
        <v>96</v>
      </c>
      <c r="Y66" s="24">
        <f t="shared" ref="Y66" si="56">ROUND(AVERAGE(Y65,Y67),2)</f>
        <v>0.02</v>
      </c>
      <c r="Z66" s="24">
        <f t="shared" ref="Z66" si="57">ROUND(AVERAGE(Z65,Z67),2)</f>
        <v>0.02</v>
      </c>
      <c r="AA66" s="24">
        <f>ROUNDDOWN(AVERAGE(AA65,AA67),0)</f>
        <v>194</v>
      </c>
      <c r="AB66" s="24">
        <f t="shared" ref="AB66" si="58">ROUND(AVERAGE(AB65,AB67),2)</f>
        <v>427.5</v>
      </c>
      <c r="AC66" s="24">
        <f>ROUNDDOWN(AVERAGE(AC65,AC67),0)</f>
        <v>125056</v>
      </c>
      <c r="AD66" s="24">
        <f>ROUNDDOWN(AVERAGE(AD65,AD67),0)</f>
        <v>4837500</v>
      </c>
      <c r="AE66" s="28">
        <f t="shared" si="44"/>
        <v>7.2459849539607671E-2</v>
      </c>
      <c r="AF66" s="24">
        <f>ROUNDDOWN(AVERAGE(AF65,AF67),0)</f>
        <v>50</v>
      </c>
      <c r="AG66">
        <v>7.0000000000000007E-2</v>
      </c>
      <c r="AH66" s="2"/>
      <c r="AI66" s="2"/>
    </row>
    <row r="67" spans="1:36" x14ac:dyDescent="0.25">
      <c r="A67" t="s">
        <v>67</v>
      </c>
      <c r="B67">
        <v>1</v>
      </c>
      <c r="C67" t="s">
        <v>237</v>
      </c>
      <c r="D67" t="s">
        <v>238</v>
      </c>
      <c r="E67" t="s">
        <v>16</v>
      </c>
      <c r="F67" t="s">
        <v>17</v>
      </c>
      <c r="G67" t="s">
        <v>24</v>
      </c>
      <c r="H67" s="24">
        <f>ROUND(AVERAGE(H11,H25,H46),2)</f>
        <v>0.89</v>
      </c>
      <c r="I67" s="24">
        <f>ROUND(AVERAGE(I11,I25,I46),2)</f>
        <v>0.89</v>
      </c>
      <c r="J67" s="24">
        <f>ROUND(AVERAGE(J11,J25,J46),2)</f>
        <v>0.43</v>
      </c>
      <c r="K67" s="24">
        <f>ROUND(AVERAGE(K11,K25,K46),2)</f>
        <v>1</v>
      </c>
      <c r="L67" s="24">
        <f>ROUND(AVERAGE(L11,L25,L46),2)</f>
        <v>0.4</v>
      </c>
      <c r="M67" s="24">
        <f>ROUND(AVERAGE(M11,M25,M46),2)</f>
        <v>-0.15</v>
      </c>
      <c r="N67" s="24">
        <f>ROUND(AVERAGE(N11,N25,N46),2)</f>
        <v>2.96</v>
      </c>
      <c r="O67" s="24">
        <f>ROUND(AVERAGE(O11,O25,O46),0)</f>
        <v>6</v>
      </c>
      <c r="P67" s="24">
        <f>ROUND(AVERAGE(P11,P25,P46),0)</f>
        <v>14</v>
      </c>
      <c r="Q67" s="24">
        <f>ROUND(AVERAGE(Q11,Q25,Q46),2)</f>
        <v>1.95</v>
      </c>
      <c r="R67" s="24">
        <f>ROUND(AVERAGE(R11,R25,R46),2)</f>
        <v>23.31</v>
      </c>
      <c r="S67" s="24">
        <f>ROUND(AVERAGE(S11,S25,S46),2)</f>
        <v>3.89</v>
      </c>
      <c r="T67" s="24">
        <f>ROUND(AVERAGE(T11,T25,T46),2)</f>
        <v>555</v>
      </c>
      <c r="U67" s="24">
        <f>ROUND(AVERAGE(U11,U25,U46),2)</f>
        <v>0.98</v>
      </c>
      <c r="V67" s="24">
        <f>ROUND(AVERAGE(V11,V25,V46),2)</f>
        <v>11.66</v>
      </c>
      <c r="W67" s="24">
        <f>ROUND(AVERAGE(W11,W25,W46),0)</f>
        <v>30</v>
      </c>
      <c r="X67" s="24">
        <f>ROUND(AVERAGE(X11,X25,X46),0)</f>
        <v>120</v>
      </c>
      <c r="Y67" s="24">
        <f>ROUND(AVERAGE(Y11,Y25,Y46),2)</f>
        <v>0.03</v>
      </c>
      <c r="Z67" s="24">
        <f>ROUND(AVERAGE(Z11,Z25,Z46),2)</f>
        <v>0.03</v>
      </c>
      <c r="AA67" s="24">
        <f>ROUND(AVERAGE(AA11,AA25,AA46),0)</f>
        <v>387</v>
      </c>
      <c r="AB67" s="24">
        <f>ROUND(AVERAGE(AB11,AB25,AB46),2)</f>
        <v>555</v>
      </c>
      <c r="AC67" s="24">
        <f>ROUND(AVERAGE(AC11,AC25,AC46),0)</f>
        <v>220113</v>
      </c>
      <c r="AD67" s="24">
        <f>ROUND(AVERAGE(AD11,AD25,AD46),0)</f>
        <v>8325000</v>
      </c>
      <c r="AE67" s="28">
        <f t="shared" si="44"/>
        <v>7.122922550001945E-2</v>
      </c>
      <c r="AF67" s="24">
        <f>ROUND(AVERAGE(AF11,AF25,AF46),0)</f>
        <v>60</v>
      </c>
      <c r="AG67">
        <v>7.0000000000000007E-2</v>
      </c>
      <c r="AH67" s="2"/>
      <c r="AI67" s="2"/>
      <c r="AJ67" s="5" t="s">
        <v>242</v>
      </c>
    </row>
    <row r="68" spans="1:36" x14ac:dyDescent="0.25">
      <c r="A68" t="s">
        <v>68</v>
      </c>
      <c r="B68">
        <v>1</v>
      </c>
      <c r="C68" t="s">
        <v>237</v>
      </c>
      <c r="D68" t="s">
        <v>238</v>
      </c>
      <c r="E68" t="s">
        <v>16</v>
      </c>
      <c r="F68" t="s">
        <v>17</v>
      </c>
      <c r="G68" t="s">
        <v>24</v>
      </c>
      <c r="H68" s="24">
        <f>ROUND(AVERAGE(H67,H69),2)</f>
        <v>0.92</v>
      </c>
      <c r="I68" s="24">
        <f t="shared" ref="I68" si="59">ROUND(AVERAGE(I67,I69),2)</f>
        <v>0.92</v>
      </c>
      <c r="J68" s="24">
        <f t="shared" ref="J68" si="60">ROUND(AVERAGE(J67,J69),2)</f>
        <v>0.69</v>
      </c>
      <c r="K68" s="24">
        <f t="shared" ref="K68" si="61">ROUND(AVERAGE(K67,K69),2)</f>
        <v>1</v>
      </c>
      <c r="L68" s="24">
        <f t="shared" ref="L68" si="62">ROUND(AVERAGE(L67,L69),2)</f>
        <v>0.5</v>
      </c>
      <c r="M68" s="24">
        <f t="shared" ref="M68:N68" si="63">ROUND(AVERAGE(M67,M69),2)</f>
        <v>-0.14000000000000001</v>
      </c>
      <c r="N68" s="24">
        <f t="shared" si="63"/>
        <v>11.49</v>
      </c>
      <c r="O68" s="24">
        <f>ROUNDUP(AVERAGE(O67,O69),0)</f>
        <v>51</v>
      </c>
      <c r="P68" s="24">
        <f>ROUNDUP(AVERAGE(P67,P69),0)</f>
        <v>55</v>
      </c>
      <c r="Q68" s="24">
        <f t="shared" ref="Q68" si="64">ROUND(AVERAGE(Q67,Q69),2)</f>
        <v>1.95</v>
      </c>
      <c r="R68" s="24">
        <f t="shared" ref="R68" si="65">ROUND(AVERAGE(R67,R69),2)</f>
        <v>72.66</v>
      </c>
      <c r="S68" s="24">
        <f t="shared" ref="S68" si="66">ROUND(AVERAGE(S67,S69),2)</f>
        <v>3.89</v>
      </c>
      <c r="T68" s="24">
        <f>ROUND(AVERAGE(T67,T69),2)</f>
        <v>1497.5</v>
      </c>
      <c r="U68" s="24">
        <f t="shared" ref="U68" si="67">ROUND(AVERAGE(U67,U69),2)</f>
        <v>0.98</v>
      </c>
      <c r="V68" s="24">
        <f t="shared" ref="V68" si="68">ROUND(AVERAGE(V67,V69),2)</f>
        <v>36.33</v>
      </c>
      <c r="W68" s="24">
        <f>ROUNDUP(AVERAGE(W67,W69),0)</f>
        <v>33</v>
      </c>
      <c r="X68" s="24">
        <f>ROUNDUP(AVERAGE(X67,X69),0)</f>
        <v>132</v>
      </c>
      <c r="Y68" s="24">
        <f t="shared" ref="Y68" si="69">ROUND(AVERAGE(Y67,Y69),2)</f>
        <v>7.0000000000000007E-2</v>
      </c>
      <c r="Z68" s="24">
        <f t="shared" ref="Z68" si="70">ROUND(AVERAGE(Z67,Z69),2)</f>
        <v>0.12</v>
      </c>
      <c r="AA68" s="24">
        <f>ROUNDUP(AVERAGE(AA67,AA69),0)</f>
        <v>1069</v>
      </c>
      <c r="AB68" s="24">
        <f t="shared" ref="AB68" si="71">ROUND(AVERAGE(AB67,AB69),2)</f>
        <v>1497.5</v>
      </c>
      <c r="AC68" s="24">
        <f>ROUNDUP(AVERAGE(AC67,AC69),0)</f>
        <v>445557</v>
      </c>
      <c r="AD68" s="24">
        <f>ROUNDUP(AVERAGE(AD67,AD69),0)</f>
        <v>20632500</v>
      </c>
      <c r="AE68" s="28">
        <f t="shared" si="44"/>
        <v>7.0619527184264883E-2</v>
      </c>
      <c r="AF68" s="24">
        <f>ROUNDUP(AVERAGE(AF67,AF69),0)</f>
        <v>70</v>
      </c>
      <c r="AG68">
        <v>7.0000000000000007E-2</v>
      </c>
      <c r="AH68" s="2"/>
      <c r="AI68" s="2"/>
    </row>
    <row r="69" spans="1:36" x14ac:dyDescent="0.25">
      <c r="A69" t="s">
        <v>182</v>
      </c>
      <c r="B69">
        <v>1</v>
      </c>
      <c r="C69" t="s">
        <v>237</v>
      </c>
      <c r="D69" t="s">
        <v>238</v>
      </c>
      <c r="E69" t="s">
        <v>16</v>
      </c>
      <c r="F69" t="s">
        <v>17</v>
      </c>
      <c r="G69" t="s">
        <v>24</v>
      </c>
      <c r="H69" s="24">
        <f>ROUND(MAX(H13,H27,H48),2)</f>
        <v>0.94</v>
      </c>
      <c r="I69" s="24">
        <f>ROUND(MAX(I13,I27,I48),2)</f>
        <v>0.94</v>
      </c>
      <c r="J69" s="24">
        <f>ROUND(MAX(J13,J27,J48),2)</f>
        <v>0.95</v>
      </c>
      <c r="K69" s="24">
        <f>ROUND(MAX(K13,K27,K48),2)</f>
        <v>1</v>
      </c>
      <c r="L69" s="24">
        <f>ROUND(MAX(L13,L27,L48),2)</f>
        <v>0.6</v>
      </c>
      <c r="M69" s="24">
        <f>ROUND(MAX(M13,M27,M48),2)</f>
        <v>-0.13</v>
      </c>
      <c r="N69" s="24">
        <f>ROUND(MAX(N13,N27,N48),2)</f>
        <v>20.010000000000002</v>
      </c>
      <c r="O69" s="24">
        <f>ROUNDUP(MAX(O13,O27,O48),0)</f>
        <v>96</v>
      </c>
      <c r="P69" s="24">
        <f>ROUNDUP(MAX(P13,P27,P48),0)</f>
        <v>96</v>
      </c>
      <c r="Q69" s="24">
        <f>ROUND(MAX(Q13,Q27,Q48),2)</f>
        <v>1.95</v>
      </c>
      <c r="R69" s="24">
        <f>ROUND(MAX(R13,R27,R48),2)</f>
        <v>122</v>
      </c>
      <c r="S69" s="24">
        <f>ROUND(MAX(S13,S27,S48),2)</f>
        <v>3.89</v>
      </c>
      <c r="T69" s="24">
        <f>ROUND(MAX(T13,T27,T48),2)</f>
        <v>2440</v>
      </c>
      <c r="U69" s="24">
        <f>ROUND(MAX(U13,U27,U48),2)</f>
        <v>0.98</v>
      </c>
      <c r="V69" s="24">
        <f>ROUND(MAX(V13,V27,V48),2)</f>
        <v>61</v>
      </c>
      <c r="W69" s="24">
        <f>ROUNDUP(MAX(W13,W27,W48),0)</f>
        <v>36</v>
      </c>
      <c r="X69" s="24">
        <f>ROUNDUP(MAX(X13,X27,X48),0)</f>
        <v>144</v>
      </c>
      <c r="Y69" s="24">
        <f>ROUND(MAX(Y13,Y27,Y48),2)</f>
        <v>0.1</v>
      </c>
      <c r="Z69" s="24">
        <f>ROUND(MAX(Z13,Z27,Z48),2)</f>
        <v>0.2</v>
      </c>
      <c r="AA69" s="24">
        <f>ROUNDUP(MAX(AA13,AA27,AA48),0)</f>
        <v>1750</v>
      </c>
      <c r="AB69" s="24">
        <f>ROUND(MAX(AB13,AB27,AB48),2)</f>
        <v>2440</v>
      </c>
      <c r="AC69" s="24">
        <f>ROUNDUP(MAX(AC13,AC27,AC48),0)</f>
        <v>671000</v>
      </c>
      <c r="AD69" s="24">
        <f>ROUNDUP(MAX(AD13,AD27,AD48),0)</f>
        <v>32940000</v>
      </c>
      <c r="AE69" s="28">
        <f t="shared" si="44"/>
        <v>7.0313571760871663E-2</v>
      </c>
      <c r="AF69" s="24">
        <f>ROUNDUP(MAX(AF13,AF27,AF48),0)</f>
        <v>80</v>
      </c>
      <c r="AG69">
        <v>7.0000000000000007E-2</v>
      </c>
      <c r="AH69" s="2"/>
      <c r="AI69" s="2"/>
    </row>
    <row r="70" spans="1:36" x14ac:dyDescent="0.25">
      <c r="A70" t="s">
        <v>247</v>
      </c>
      <c r="B70">
        <v>1</v>
      </c>
      <c r="C70" t="s">
        <v>237</v>
      </c>
      <c r="D70" t="s">
        <v>238</v>
      </c>
      <c r="E70" t="s">
        <v>16</v>
      </c>
      <c r="F70" t="s">
        <v>17</v>
      </c>
      <c r="G70" t="s">
        <v>24</v>
      </c>
      <c r="H70" s="24">
        <f>H68</f>
        <v>0.92</v>
      </c>
      <c r="I70" s="24">
        <f>I68</f>
        <v>0.92</v>
      </c>
      <c r="J70" s="24">
        <f>J66</f>
        <v>0.28999999999999998</v>
      </c>
      <c r="K70" s="24">
        <f>K68</f>
        <v>1</v>
      </c>
      <c r="L70" s="24">
        <f>L68</f>
        <v>0.5</v>
      </c>
      <c r="M70" s="24">
        <f>M68</f>
        <v>-0.14000000000000001</v>
      </c>
      <c r="N70" s="24">
        <f>N66</f>
        <v>2.08</v>
      </c>
      <c r="O70" s="24">
        <f t="shared" ref="O70:P70" si="72">O66</f>
        <v>3</v>
      </c>
      <c r="P70" s="24">
        <f t="shared" si="72"/>
        <v>7</v>
      </c>
      <c r="Q70" s="24">
        <f>Q66</f>
        <v>1.95</v>
      </c>
      <c r="R70" s="24">
        <f>R66</f>
        <v>14.16</v>
      </c>
      <c r="S70" s="24">
        <f t="shared" ref="S70:X70" si="73">S66</f>
        <v>3.89</v>
      </c>
      <c r="T70" s="24">
        <f t="shared" si="73"/>
        <v>427.5</v>
      </c>
      <c r="U70" s="24">
        <f t="shared" si="73"/>
        <v>0.98</v>
      </c>
      <c r="V70" s="24">
        <f t="shared" si="73"/>
        <v>7.08</v>
      </c>
      <c r="W70" s="24">
        <f t="shared" si="73"/>
        <v>24</v>
      </c>
      <c r="X70" s="24">
        <f t="shared" si="73"/>
        <v>96</v>
      </c>
      <c r="Y70" s="24">
        <f>Y68</f>
        <v>7.0000000000000007E-2</v>
      </c>
      <c r="Z70" s="24">
        <f>Z68</f>
        <v>0.12</v>
      </c>
      <c r="AA70" s="24">
        <f>AA66</f>
        <v>194</v>
      </c>
      <c r="AB70" s="24">
        <f>AB66</f>
        <v>427.5</v>
      </c>
      <c r="AC70" s="24">
        <f>AC66</f>
        <v>125056</v>
      </c>
      <c r="AD70" s="24">
        <f>AD66</f>
        <v>4837500</v>
      </c>
      <c r="AE70" s="28">
        <f t="shared" si="44"/>
        <v>7.0619527184264883E-2</v>
      </c>
      <c r="AF70" s="24">
        <f>AF68</f>
        <v>70</v>
      </c>
      <c r="AG70">
        <v>7.0000000000000007E-2</v>
      </c>
      <c r="AJ70" t="s">
        <v>248</v>
      </c>
    </row>
    <row r="71" spans="1:36" x14ac:dyDescent="0.25">
      <c r="A71" t="s">
        <v>246</v>
      </c>
      <c r="B71">
        <v>1</v>
      </c>
      <c r="C71" t="s">
        <v>237</v>
      </c>
      <c r="D71" t="s">
        <v>238</v>
      </c>
      <c r="E71" t="s">
        <v>16</v>
      </c>
      <c r="F71" t="s">
        <v>17</v>
      </c>
      <c r="G71" t="s">
        <v>24</v>
      </c>
      <c r="H71" s="24">
        <f>H69</f>
        <v>0.94</v>
      </c>
      <c r="I71" s="24">
        <f>I69</f>
        <v>0.94</v>
      </c>
      <c r="J71" s="24">
        <f>J65</f>
        <v>0.15</v>
      </c>
      <c r="K71" s="24">
        <f>K69</f>
        <v>1</v>
      </c>
      <c r="L71" s="24">
        <f>L69</f>
        <v>0.6</v>
      </c>
      <c r="M71" s="24">
        <f>M69</f>
        <v>-0.13</v>
      </c>
      <c r="N71" s="24">
        <f>N65</f>
        <v>1.2</v>
      </c>
      <c r="O71" s="24">
        <f t="shared" ref="O71:P71" si="74">O65</f>
        <v>1</v>
      </c>
      <c r="P71" s="24">
        <f t="shared" si="74"/>
        <v>1</v>
      </c>
      <c r="Q71" s="24">
        <f>Q65</f>
        <v>1.95</v>
      </c>
      <c r="R71" s="24">
        <f>R65</f>
        <v>5</v>
      </c>
      <c r="S71" s="24">
        <f>S65</f>
        <v>3.89</v>
      </c>
      <c r="T71" s="24">
        <f>T65</f>
        <v>300</v>
      </c>
      <c r="U71" s="24">
        <f>U65</f>
        <v>0.98</v>
      </c>
      <c r="V71" s="24">
        <f>V65</f>
        <v>2.5</v>
      </c>
      <c r="W71" s="24">
        <f>W65</f>
        <v>18</v>
      </c>
      <c r="X71" s="24">
        <f>X65</f>
        <v>72</v>
      </c>
      <c r="Y71" s="24">
        <f>Y69</f>
        <v>0.1</v>
      </c>
      <c r="Z71" s="24">
        <f>Z69</f>
        <v>0.2</v>
      </c>
      <c r="AA71" s="24">
        <f>AA65</f>
        <v>1</v>
      </c>
      <c r="AB71" s="24">
        <f>AB65</f>
        <v>300</v>
      </c>
      <c r="AC71" s="24">
        <f>AC65</f>
        <v>30000</v>
      </c>
      <c r="AD71" s="24">
        <f>AD65</f>
        <v>1350000</v>
      </c>
      <c r="AE71" s="28">
        <f t="shared" si="44"/>
        <v>7.0313571760871663E-2</v>
      </c>
      <c r="AF71" s="24">
        <f>AF69</f>
        <v>80</v>
      </c>
      <c r="AG71">
        <v>7.0000000000000007E-2</v>
      </c>
      <c r="AJ71" t="s">
        <v>249</v>
      </c>
    </row>
    <row r="72" spans="1:36" x14ac:dyDescent="0.25">
      <c r="A72" t="s">
        <v>183</v>
      </c>
      <c r="B72">
        <v>1</v>
      </c>
      <c r="C72" t="s">
        <v>239</v>
      </c>
      <c r="D72" t="s">
        <v>240</v>
      </c>
      <c r="E72" t="s">
        <v>16</v>
      </c>
      <c r="F72" t="s">
        <v>24</v>
      </c>
      <c r="G72" s="4"/>
      <c r="H72" s="24">
        <f>ROUND(MIN(H30,H51),2)</f>
        <v>0.81</v>
      </c>
      <c r="I72" s="24">
        <f>ROUND(MIN(I30,I51),2)</f>
        <v>0.81</v>
      </c>
      <c r="J72" s="24">
        <f>ROUND(MIN(J30,J51),2)</f>
        <v>0.15</v>
      </c>
      <c r="K72" s="24">
        <f>ROUND(MIN(K30,K51),2)</f>
        <v>1</v>
      </c>
      <c r="N72" s="24">
        <f>ROUND(MIN(N30,N51),2)</f>
        <v>0</v>
      </c>
      <c r="O72" s="24">
        <f>ROUNDDOWN(MIN(O30,O51),0)</f>
        <v>1</v>
      </c>
      <c r="P72" s="24">
        <f>ROUNDDOWN(MIN(P30,P51),0)</f>
        <v>1</v>
      </c>
      <c r="Q72" s="24">
        <f>ROUND(MIN(Q30,Q51),2)</f>
        <v>1.95</v>
      </c>
      <c r="R72" s="24">
        <f>ROUND(MIN(R30,R51),2)</f>
        <v>1</v>
      </c>
      <c r="S72" s="24">
        <f>ROUND(MIN(S30,S51),2)</f>
        <v>3.89</v>
      </c>
      <c r="T72" s="24">
        <f>ROUND(MIN(T30,T51),2)</f>
        <v>50</v>
      </c>
      <c r="U72" s="24">
        <f>ROUND(MIN(U30,U51),2)</f>
        <v>0.98</v>
      </c>
      <c r="V72" s="24">
        <f>ROUND(MIN(V30,V51),2)</f>
        <v>0.5</v>
      </c>
      <c r="W72" s="24">
        <f>ROUNDDOWN(MIN(W30,W51),0)</f>
        <v>18</v>
      </c>
      <c r="X72" s="24">
        <f>ROUNDDOWN(MIN(X30,X51),0)</f>
        <v>72</v>
      </c>
      <c r="Y72" s="24">
        <f>ROUND(MIN(Y30,Y51),2)</f>
        <v>0.01</v>
      </c>
      <c r="Z72" s="24">
        <f>ROUND(MIN(Z30,Z51),2)</f>
        <v>0.01</v>
      </c>
      <c r="AA72" s="24">
        <f>ROUNDDOWN(MIN(AA30,AA51),0)</f>
        <v>1</v>
      </c>
      <c r="AB72" s="24">
        <f>ROUND(MIN(AB30,AB51),2)</f>
        <v>50</v>
      </c>
      <c r="AC72" s="24">
        <f>ROUNDDOWN(MIN(AC30,AC51),0)</f>
        <v>7320</v>
      </c>
      <c r="AD72" s="24">
        <f>ROUNDDOWN(MIN(AD30,AD51),0)</f>
        <v>244000</v>
      </c>
      <c r="AE72" s="28">
        <f t="shared" si="44"/>
        <v>7.5009138873610326E-2</v>
      </c>
      <c r="AF72" s="24">
        <f>ROUNDDOWN(MIN(AF30,AF51),0)</f>
        <v>40</v>
      </c>
      <c r="AG72">
        <v>7.0000000000000007E-2</v>
      </c>
    </row>
    <row r="73" spans="1:36" x14ac:dyDescent="0.25">
      <c r="A73" t="s">
        <v>66</v>
      </c>
      <c r="B73">
        <v>1</v>
      </c>
      <c r="C73" t="s">
        <v>239</v>
      </c>
      <c r="D73" t="s">
        <v>240</v>
      </c>
      <c r="E73" t="s">
        <v>16</v>
      </c>
      <c r="F73" t="s">
        <v>24</v>
      </c>
      <c r="G73" s="5"/>
      <c r="H73" s="24">
        <f>ROUND(AVERAGE(H72,H74),2)</f>
        <v>0.86</v>
      </c>
      <c r="I73" s="24">
        <f t="shared" ref="I73:K73" si="75">ROUND(AVERAGE(I72,I74),2)</f>
        <v>0.86</v>
      </c>
      <c r="J73" s="24">
        <f t="shared" si="75"/>
        <v>0.28000000000000003</v>
      </c>
      <c r="K73" s="24">
        <f t="shared" si="75"/>
        <v>1</v>
      </c>
      <c r="N73" s="24">
        <f t="shared" ref="N73" si="76">ROUND(AVERAGE(N72,N74),2)</f>
        <v>0.5</v>
      </c>
      <c r="O73" s="24">
        <f>ROUNDDOWN(AVERAGE(O72,O74),0)</f>
        <v>3</v>
      </c>
      <c r="P73" s="24">
        <f>ROUNDDOWN(AVERAGE(P72,P74),0)</f>
        <v>5</v>
      </c>
      <c r="Q73" s="24">
        <f t="shared" ref="Q73" si="77">ROUND(AVERAGE(Q72,Q74),2)</f>
        <v>1.95</v>
      </c>
      <c r="R73" s="24">
        <f t="shared" ref="R73:S73" si="78">ROUND(AVERAGE(R72,R74),2)</f>
        <v>6</v>
      </c>
      <c r="S73" s="24">
        <f t="shared" si="78"/>
        <v>3.89</v>
      </c>
      <c r="T73" s="24">
        <f t="shared" ref="T73" si="79">ROUND(AVERAGE(T72,T74),2)</f>
        <v>150</v>
      </c>
      <c r="U73" s="24">
        <f t="shared" ref="U73" si="80">ROUND(AVERAGE(U72,U74),2)</f>
        <v>0.98</v>
      </c>
      <c r="V73" s="24">
        <f t="shared" ref="V73" si="81">ROUND(AVERAGE(V72,V74),2)</f>
        <v>3</v>
      </c>
      <c r="W73" s="24">
        <f>ROUNDDOWN(AVERAGE(W72,W74),0)</f>
        <v>22</v>
      </c>
      <c r="X73" s="24">
        <f>ROUNDDOWN(AVERAGE(X72,X74),0)</f>
        <v>90</v>
      </c>
      <c r="Y73" s="24">
        <f t="shared" ref="Y73" si="82">ROUND(AVERAGE(Y72,Y74),2)</f>
        <v>0.02</v>
      </c>
      <c r="Z73" s="24">
        <f t="shared" ref="Z73" si="83">ROUND(AVERAGE(Z72,Z74),2)</f>
        <v>0.02</v>
      </c>
      <c r="AA73" s="24">
        <f>ROUNDDOWN(AVERAGE(AA72,AA74),0)</f>
        <v>44</v>
      </c>
      <c r="AB73" s="24">
        <f t="shared" ref="AB73" si="84">ROUND(AVERAGE(AB72,AB74),2)</f>
        <v>150</v>
      </c>
      <c r="AC73" s="24">
        <f>ROUNDDOWN(AVERAGE(AC72,AC74),0)</f>
        <v>20160</v>
      </c>
      <c r="AD73" s="24">
        <f>ROUNDDOWN(AVERAGE(AD72,AD74),0)</f>
        <v>611000</v>
      </c>
      <c r="AE73" s="28">
        <f t="shared" si="44"/>
        <v>7.2459849539607671E-2</v>
      </c>
      <c r="AF73" s="24">
        <f>ROUNDDOWN(AVERAGE(AF72,AF74),0)</f>
        <v>50</v>
      </c>
      <c r="AG73">
        <v>7.0000000000000007E-2</v>
      </c>
      <c r="AH73" s="5"/>
      <c r="AI73" s="5"/>
    </row>
    <row r="74" spans="1:36" s="2" customFormat="1" x14ac:dyDescent="0.25">
      <c r="A74" t="s">
        <v>67</v>
      </c>
      <c r="B74">
        <v>1</v>
      </c>
      <c r="C74" t="s">
        <v>239</v>
      </c>
      <c r="D74" t="s">
        <v>240</v>
      </c>
      <c r="E74" t="s">
        <v>16</v>
      </c>
      <c r="F74" t="s">
        <v>24</v>
      </c>
      <c r="G74" s="5"/>
      <c r="H74" s="24">
        <f>ROUND(AVERAGE(H32,H53),2)</f>
        <v>0.91</v>
      </c>
      <c r="I74" s="24">
        <f>ROUND(AVERAGE(I32,I53),2)</f>
        <v>0.91</v>
      </c>
      <c r="J74" s="24">
        <f>ROUND(AVERAGE(J32,J53),2)</f>
        <v>0.4</v>
      </c>
      <c r="K74" s="24">
        <f>ROUND(AVERAGE(K32,K53),2)</f>
        <v>1</v>
      </c>
      <c r="L74"/>
      <c r="M74"/>
      <c r="N74" s="24">
        <f>ROUND(AVERAGE(N32,N53),2)</f>
        <v>1</v>
      </c>
      <c r="O74" s="24">
        <f>ROUND(AVERAGE(O32,O53),0)</f>
        <v>5</v>
      </c>
      <c r="P74" s="24">
        <f>ROUND(AVERAGE(P32,P53),0)</f>
        <v>9</v>
      </c>
      <c r="Q74" s="24">
        <f>ROUND(AVERAGE(Q32,Q53),2)</f>
        <v>1.95</v>
      </c>
      <c r="R74" s="24">
        <f>ROUND(AVERAGE(R32,R53),2)</f>
        <v>11</v>
      </c>
      <c r="S74" s="24">
        <f>ROUND(AVERAGE(S32,S53),2)</f>
        <v>3.89</v>
      </c>
      <c r="T74" s="24">
        <f>ROUND(AVERAGE(T32,T53),2)</f>
        <v>250</v>
      </c>
      <c r="U74" s="24">
        <f>ROUND(AVERAGE(U32,U53),2)</f>
        <v>0.98</v>
      </c>
      <c r="V74" s="24">
        <f>ROUND(AVERAGE(V32,V53),2)</f>
        <v>5.5</v>
      </c>
      <c r="W74" s="24">
        <f>ROUND(AVERAGE(W32,W53),0)</f>
        <v>27</v>
      </c>
      <c r="X74" s="24">
        <f>ROUND(AVERAGE(X32,X53),0)</f>
        <v>108</v>
      </c>
      <c r="Y74" s="24">
        <f>ROUND(AVERAGE(Y32,Y53),2)</f>
        <v>0.03</v>
      </c>
      <c r="Z74" s="24">
        <f>ROUND(AVERAGE(Z32,Z53),2)</f>
        <v>0.03</v>
      </c>
      <c r="AA74" s="24">
        <f>ROUND(AVERAGE(AA32,AA53),0)</f>
        <v>88</v>
      </c>
      <c r="AB74" s="24">
        <f>ROUND(AVERAGE(AB32,AB53),2)</f>
        <v>250</v>
      </c>
      <c r="AC74" s="24">
        <f>ROUND(AVERAGE(AC32,AC53),0)</f>
        <v>33000</v>
      </c>
      <c r="AD74" s="24">
        <f>ROUND(AVERAGE(AD32,AD53),0)</f>
        <v>978000</v>
      </c>
      <c r="AE74" s="28">
        <f t="shared" si="44"/>
        <v>7.122922550001945E-2</v>
      </c>
      <c r="AF74" s="24">
        <f>ROUND(AVERAGE(AF32,AF53),0)</f>
        <v>60</v>
      </c>
      <c r="AG74">
        <v>7.0000000000000007E-2</v>
      </c>
      <c r="AH74" s="5"/>
      <c r="AI74" s="5"/>
      <c r="AJ74" s="5" t="s">
        <v>243</v>
      </c>
    </row>
    <row r="75" spans="1:36" s="3" customFormat="1" x14ac:dyDescent="0.25">
      <c r="A75" t="s">
        <v>68</v>
      </c>
      <c r="B75">
        <v>1</v>
      </c>
      <c r="C75" t="s">
        <v>239</v>
      </c>
      <c r="D75" t="s">
        <v>240</v>
      </c>
      <c r="E75" t="s">
        <v>16</v>
      </c>
      <c r="F75" t="s">
        <v>24</v>
      </c>
      <c r="G75"/>
      <c r="H75" s="24">
        <f>ROUND(AVERAGE(H74,H76),2)</f>
        <v>0.93</v>
      </c>
      <c r="I75" s="24">
        <f t="shared" ref="I75:K75" si="85">ROUND(AVERAGE(I74,I76),2)</f>
        <v>0.93</v>
      </c>
      <c r="J75" s="24">
        <f t="shared" si="85"/>
        <v>0.68</v>
      </c>
      <c r="K75" s="24">
        <f t="shared" si="85"/>
        <v>1</v>
      </c>
      <c r="L75"/>
      <c r="M75"/>
      <c r="N75" s="24">
        <f t="shared" ref="N75" si="86">ROUND(AVERAGE(N74,N76),2)</f>
        <v>3.65</v>
      </c>
      <c r="O75" s="24">
        <f>ROUNDUP(AVERAGE(O74,O76),0)</f>
        <v>51</v>
      </c>
      <c r="P75" s="24">
        <f>ROUNDUP(AVERAGE(P74,P76),0)</f>
        <v>53</v>
      </c>
      <c r="Q75" s="24">
        <f t="shared" ref="Q75" si="87">ROUND(AVERAGE(Q74,Q76),2)</f>
        <v>1.95</v>
      </c>
      <c r="R75" s="24">
        <f t="shared" ref="R75:S75" si="88">ROUND(AVERAGE(R74,R76),2)</f>
        <v>30.5</v>
      </c>
      <c r="S75" s="24">
        <f t="shared" si="88"/>
        <v>3.89</v>
      </c>
      <c r="T75" s="24">
        <f t="shared" ref="T75" si="89">ROUND(AVERAGE(T74,T76),2)</f>
        <v>625</v>
      </c>
      <c r="U75" s="24">
        <f t="shared" ref="U75" si="90">ROUND(AVERAGE(U74,U76),2)</f>
        <v>0.98</v>
      </c>
      <c r="V75" s="24">
        <f t="shared" ref="V75" si="91">ROUND(AVERAGE(V74,V76),2)</f>
        <v>15.25</v>
      </c>
      <c r="W75" s="24">
        <f>ROUNDUP(AVERAGE(W74,W76),0)</f>
        <v>32</v>
      </c>
      <c r="X75" s="24">
        <f>ROUNDUP(AVERAGE(X74,X76),0)</f>
        <v>126</v>
      </c>
      <c r="Y75" s="24">
        <f t="shared" ref="Y75" si="92">ROUND(AVERAGE(Y74,Y76),2)</f>
        <v>7.0000000000000007E-2</v>
      </c>
      <c r="Z75" s="24">
        <f t="shared" ref="Z75" si="93">ROUND(AVERAGE(Z74,Z76),2)</f>
        <v>0.12</v>
      </c>
      <c r="AA75" s="24">
        <f>ROUNDUP(AVERAGE(AA74,AA76),0)</f>
        <v>194</v>
      </c>
      <c r="AB75" s="24">
        <f t="shared" ref="AB75" si="94">ROUND(AVERAGE(AB74,AB76),2)</f>
        <v>625</v>
      </c>
      <c r="AC75" s="24">
        <f>ROUNDUP(AVERAGE(AC74,AC76),0)</f>
        <v>50250</v>
      </c>
      <c r="AD75" s="24">
        <f>ROUNDUP(AVERAGE(AD74,AD76),0)</f>
        <v>1614000</v>
      </c>
      <c r="AE75" s="28">
        <f t="shared" si="44"/>
        <v>7.0619527184264883E-2</v>
      </c>
      <c r="AF75" s="24">
        <f>ROUNDUP(AVERAGE(AF74,AF76),0)</f>
        <v>70</v>
      </c>
      <c r="AG75">
        <v>7.0000000000000007E-2</v>
      </c>
      <c r="AH75"/>
      <c r="AI75"/>
    </row>
    <row r="76" spans="1:36" s="2" customFormat="1" x14ac:dyDescent="0.25">
      <c r="A76" t="s">
        <v>182</v>
      </c>
      <c r="B76">
        <v>1</v>
      </c>
      <c r="C76" t="s">
        <v>239</v>
      </c>
      <c r="D76" t="s">
        <v>240</v>
      </c>
      <c r="E76" t="s">
        <v>16</v>
      </c>
      <c r="F76" t="s">
        <v>24</v>
      </c>
      <c r="H76" s="24">
        <f>ROUND(MAX(H34,H55),2)</f>
        <v>0.95</v>
      </c>
      <c r="I76" s="24">
        <f>ROUND(MAX(I34,I55),2)</f>
        <v>0.95</v>
      </c>
      <c r="J76" s="24">
        <f>ROUND(MAX(J34,J55),2)</f>
        <v>0.95</v>
      </c>
      <c r="K76" s="24">
        <f>ROUND(MAX(K34,K55),2)</f>
        <v>1</v>
      </c>
      <c r="L76"/>
      <c r="M76"/>
      <c r="N76" s="24">
        <f>ROUND(MAX(N34,N55),2)</f>
        <v>6.3</v>
      </c>
      <c r="O76" s="24">
        <f>ROUNDUP(MAX(O34,O55),0)</f>
        <v>96</v>
      </c>
      <c r="P76" s="24">
        <f>ROUNDUP(MAX(P34,P55),0)</f>
        <v>96</v>
      </c>
      <c r="Q76" s="24">
        <f>ROUND(MAX(Q34,Q55),2)</f>
        <v>1.95</v>
      </c>
      <c r="R76" s="24">
        <f>ROUND(MAX(R34,R55),2)</f>
        <v>50</v>
      </c>
      <c r="S76" s="24">
        <f>ROUND(MAX(S34,S55),2)</f>
        <v>3.89</v>
      </c>
      <c r="T76" s="24">
        <f>ROUND(MAX(T34,T55),2)</f>
        <v>1000</v>
      </c>
      <c r="U76" s="24">
        <f>ROUND(MAX(U34,U55),2)</f>
        <v>0.98</v>
      </c>
      <c r="V76" s="24">
        <f>ROUND(MAX(V34,V55),2)</f>
        <v>25</v>
      </c>
      <c r="W76" s="24">
        <f>ROUNDUP(MAX(W34,W55),0)</f>
        <v>36</v>
      </c>
      <c r="X76" s="24">
        <f>ROUNDUP(MAX(X34,X55),0)</f>
        <v>144</v>
      </c>
      <c r="Y76" s="24">
        <f>ROUND(MAX(Y34,Y55),2)</f>
        <v>0.1</v>
      </c>
      <c r="Z76" s="24">
        <f>ROUND(MAX(Z34,Z55),2)</f>
        <v>0.2</v>
      </c>
      <c r="AA76" s="24">
        <f>ROUNDUP(MAX(AA34,AA55),0)</f>
        <v>300</v>
      </c>
      <c r="AB76" s="24">
        <f>ROUND(MAX(AB34,AB55),2)</f>
        <v>1000</v>
      </c>
      <c r="AC76" s="24">
        <f>ROUNDUP(MAX(AC34,AC55),0)</f>
        <v>67500</v>
      </c>
      <c r="AD76" s="24">
        <f>ROUNDUP(MAX(AD34,AD55),0)</f>
        <v>2250000</v>
      </c>
      <c r="AE76" s="28">
        <f>-PMT(AG76,AF76,1)</f>
        <v>7.0313571760871663E-2</v>
      </c>
      <c r="AF76" s="24">
        <f>ROUNDUP(MAX(AF34,AF55),0)</f>
        <v>80</v>
      </c>
      <c r="AG76">
        <v>7.0000000000000007E-2</v>
      </c>
    </row>
    <row r="77" spans="1:36" x14ac:dyDescent="0.25">
      <c r="A77" t="s">
        <v>247</v>
      </c>
      <c r="B77">
        <v>1</v>
      </c>
      <c r="C77" t="s">
        <v>239</v>
      </c>
      <c r="D77" t="s">
        <v>240</v>
      </c>
      <c r="E77" t="s">
        <v>16</v>
      </c>
      <c r="F77" t="s">
        <v>24</v>
      </c>
      <c r="H77" s="24">
        <f>H75</f>
        <v>0.93</v>
      </c>
      <c r="I77" s="24">
        <f>I75</f>
        <v>0.93</v>
      </c>
      <c r="J77" s="24">
        <f>J73</f>
        <v>0.28000000000000003</v>
      </c>
      <c r="K77" s="24">
        <f>K75</f>
        <v>1</v>
      </c>
      <c r="N77" s="24">
        <f>N73</f>
        <v>0.5</v>
      </c>
      <c r="O77" s="24">
        <f t="shared" ref="O77:P77" si="95">O73</f>
        <v>3</v>
      </c>
      <c r="P77" s="24">
        <f t="shared" si="95"/>
        <v>5</v>
      </c>
      <c r="Q77" s="24">
        <f>Q73</f>
        <v>1.95</v>
      </c>
      <c r="R77" s="24">
        <f>R73</f>
        <v>6</v>
      </c>
      <c r="S77" s="24">
        <f t="shared" ref="S77:X77" si="96">S73</f>
        <v>3.89</v>
      </c>
      <c r="T77" s="24">
        <f t="shared" si="96"/>
        <v>150</v>
      </c>
      <c r="U77" s="24">
        <f t="shared" si="96"/>
        <v>0.98</v>
      </c>
      <c r="V77" s="24">
        <f t="shared" si="96"/>
        <v>3</v>
      </c>
      <c r="W77" s="24">
        <f t="shared" si="96"/>
        <v>22</v>
      </c>
      <c r="X77" s="24">
        <f t="shared" si="96"/>
        <v>90</v>
      </c>
      <c r="Y77" s="24">
        <f>Y75</f>
        <v>7.0000000000000007E-2</v>
      </c>
      <c r="Z77" s="24">
        <f>Z75</f>
        <v>0.12</v>
      </c>
      <c r="AA77" s="24">
        <f>AA73</f>
        <v>44</v>
      </c>
      <c r="AB77" s="24">
        <f>AB73</f>
        <v>150</v>
      </c>
      <c r="AC77" s="24">
        <f>AC73</f>
        <v>20160</v>
      </c>
      <c r="AD77" s="24">
        <f>AD73</f>
        <v>611000</v>
      </c>
      <c r="AE77" s="28">
        <f t="shared" ref="AE77:AE78" si="97">-PMT(AG77,AF77,1)</f>
        <v>7.0619527184264883E-2</v>
      </c>
      <c r="AF77" s="24">
        <f>AF75</f>
        <v>70</v>
      </c>
      <c r="AG77">
        <v>7.0000000000000007E-2</v>
      </c>
      <c r="AJ77" t="s">
        <v>248</v>
      </c>
    </row>
    <row r="78" spans="1:36" x14ac:dyDescent="0.25">
      <c r="A78" t="s">
        <v>246</v>
      </c>
      <c r="B78">
        <v>1</v>
      </c>
      <c r="C78" t="s">
        <v>239</v>
      </c>
      <c r="D78" t="s">
        <v>240</v>
      </c>
      <c r="E78" t="s">
        <v>16</v>
      </c>
      <c r="F78" t="s">
        <v>24</v>
      </c>
      <c r="G78" s="2"/>
      <c r="H78" s="24">
        <f>H76</f>
        <v>0.95</v>
      </c>
      <c r="I78" s="24">
        <f>I76</f>
        <v>0.95</v>
      </c>
      <c r="J78" s="24">
        <f>J72</f>
        <v>0.15</v>
      </c>
      <c r="K78" s="24">
        <f>K76</f>
        <v>1</v>
      </c>
      <c r="N78" s="24">
        <f>N72</f>
        <v>0</v>
      </c>
      <c r="O78" s="24">
        <f t="shared" ref="O78:P78" si="98">O72</f>
        <v>1</v>
      </c>
      <c r="P78" s="24">
        <f t="shared" si="98"/>
        <v>1</v>
      </c>
      <c r="Q78" s="24">
        <f>Q72</f>
        <v>1.95</v>
      </c>
      <c r="R78" s="24">
        <f>R72</f>
        <v>1</v>
      </c>
      <c r="S78" s="24">
        <f>S72</f>
        <v>3.89</v>
      </c>
      <c r="T78" s="24">
        <f>T72</f>
        <v>50</v>
      </c>
      <c r="U78" s="24">
        <f>U72</f>
        <v>0.98</v>
      </c>
      <c r="V78" s="24">
        <f>V72</f>
        <v>0.5</v>
      </c>
      <c r="W78" s="24">
        <f>W72</f>
        <v>18</v>
      </c>
      <c r="X78" s="24">
        <f>X72</f>
        <v>72</v>
      </c>
      <c r="Y78" s="24">
        <f>Y76</f>
        <v>0.1</v>
      </c>
      <c r="Z78" s="24">
        <f>Z76</f>
        <v>0.2</v>
      </c>
      <c r="AA78" s="24">
        <f>AA72</f>
        <v>1</v>
      </c>
      <c r="AB78" s="24">
        <f>AB72</f>
        <v>50</v>
      </c>
      <c r="AC78" s="24">
        <f>AC72</f>
        <v>7320</v>
      </c>
      <c r="AD78" s="24">
        <f>AD72</f>
        <v>244000</v>
      </c>
      <c r="AE78" s="28">
        <f t="shared" si="97"/>
        <v>7.0313571760871663E-2</v>
      </c>
      <c r="AF78" s="24">
        <f>AF76</f>
        <v>80</v>
      </c>
      <c r="AG78">
        <v>7.0000000000000007E-2</v>
      </c>
      <c r="AJ78" t="s">
        <v>249</v>
      </c>
    </row>
    <row r="79" spans="1:36" x14ac:dyDescent="0.25">
      <c r="A79" s="8"/>
      <c r="E79" s="2"/>
      <c r="G79" s="2"/>
      <c r="H79" s="2"/>
      <c r="I79" s="2"/>
      <c r="J79" s="2"/>
      <c r="N79" s="2"/>
      <c r="O79" s="2"/>
      <c r="P79" s="2"/>
      <c r="Q79" s="2"/>
      <c r="R79" s="2"/>
      <c r="S79" s="2"/>
      <c r="T79" s="2"/>
      <c r="U79" s="2"/>
      <c r="V79" s="2"/>
      <c r="W79" s="2"/>
      <c r="X79" s="2"/>
      <c r="Y79" s="2"/>
      <c r="Z79" s="2"/>
      <c r="AA79" s="2"/>
      <c r="AB79" s="2"/>
      <c r="AC79" s="2"/>
      <c r="AD79" s="2"/>
      <c r="AE79" s="2"/>
      <c r="AF79" s="2"/>
      <c r="AG79" s="2"/>
      <c r="AH79" s="2"/>
      <c r="AI79" s="2"/>
    </row>
    <row r="80" spans="1:36" s="3" customFormat="1" x14ac:dyDescent="0.25">
      <c r="A80" s="8"/>
      <c r="B80"/>
      <c r="C80"/>
      <c r="D80"/>
      <c r="E80"/>
      <c r="F80"/>
      <c r="G80"/>
      <c r="H80"/>
      <c r="I80"/>
      <c r="J80"/>
      <c r="K80"/>
      <c r="L80"/>
      <c r="M80"/>
      <c r="N80"/>
      <c r="O80"/>
      <c r="P80"/>
      <c r="Q80"/>
      <c r="R80"/>
      <c r="S80"/>
      <c r="T80"/>
      <c r="U80"/>
      <c r="V80"/>
      <c r="W80"/>
      <c r="X80"/>
      <c r="Y80"/>
      <c r="Z80"/>
      <c r="AA80"/>
      <c r="AB80"/>
      <c r="AC80"/>
      <c r="AD80"/>
      <c r="AE80"/>
      <c r="AF80"/>
      <c r="AG80"/>
      <c r="AH80"/>
      <c r="AI80"/>
    </row>
    <row r="81" spans="1:38" s="3" customFormat="1" x14ac:dyDescent="0.25">
      <c r="A81" s="8"/>
      <c r="B81"/>
      <c r="C81"/>
      <c r="D81"/>
      <c r="E81" s="2"/>
      <c r="F81"/>
      <c r="G81" s="2"/>
      <c r="H81" s="2"/>
      <c r="I81" s="2"/>
      <c r="J81" s="2"/>
      <c r="K81"/>
      <c r="L81"/>
      <c r="M81"/>
      <c r="N81" s="2"/>
      <c r="O81" s="2"/>
      <c r="P81" s="2"/>
      <c r="Q81" s="2"/>
      <c r="R81" s="2"/>
      <c r="S81" s="2"/>
      <c r="T81" s="2"/>
      <c r="U81" s="2"/>
      <c r="V81" s="2"/>
      <c r="W81" s="2"/>
      <c r="X81" s="2"/>
      <c r="Y81" s="2"/>
      <c r="Z81" s="2"/>
      <c r="AA81" s="2"/>
      <c r="AB81" s="2"/>
      <c r="AC81" s="2"/>
      <c r="AD81" s="2"/>
      <c r="AE81" s="2"/>
      <c r="AF81" s="2"/>
      <c r="AG81" s="2"/>
      <c r="AH81" s="2"/>
      <c r="AI81" s="2"/>
    </row>
    <row r="82" spans="1:38" s="2" customFormat="1" x14ac:dyDescent="0.25">
      <c r="A82" s="8"/>
      <c r="B82"/>
      <c r="C82"/>
      <c r="D82"/>
      <c r="E82" s="3"/>
      <c r="F82" s="3"/>
      <c r="G82" s="3"/>
      <c r="H82" s="3"/>
      <c r="I82" s="3"/>
      <c r="J82" s="3"/>
      <c r="K82"/>
      <c r="L82"/>
      <c r="M82"/>
      <c r="N82" s="3"/>
      <c r="O82" s="3"/>
      <c r="P82" s="3"/>
      <c r="Q82" s="3"/>
      <c r="R82" s="3"/>
      <c r="S82" s="3"/>
      <c r="T82" s="3"/>
      <c r="U82" s="3"/>
      <c r="V82" s="3"/>
      <c r="W82" s="3"/>
      <c r="X82" s="3"/>
      <c r="Y82" s="3"/>
      <c r="Z82" s="3"/>
      <c r="AA82" s="3"/>
      <c r="AB82" s="3"/>
      <c r="AC82" s="3"/>
      <c r="AD82" s="3"/>
      <c r="AE82" s="3"/>
      <c r="AF82" s="3"/>
      <c r="AG82" s="3"/>
      <c r="AH82" s="3"/>
      <c r="AI82" s="3"/>
    </row>
    <row r="83" spans="1:38" s="3" customFormat="1" x14ac:dyDescent="0.25">
      <c r="A83" s="8"/>
      <c r="B83"/>
      <c r="C83"/>
      <c r="D83"/>
      <c r="K83"/>
      <c r="L83"/>
      <c r="M83"/>
    </row>
    <row r="84" spans="1:38" s="2" customFormat="1" x14ac:dyDescent="0.25">
      <c r="A84" s="8"/>
      <c r="B84"/>
      <c r="C84"/>
      <c r="D84"/>
      <c r="K84"/>
      <c r="L84"/>
      <c r="M84"/>
    </row>
    <row r="85" spans="1:38" s="2" customFormat="1" x14ac:dyDescent="0.25">
      <c r="A85" s="8"/>
      <c r="B85"/>
      <c r="C85"/>
      <c r="D85"/>
      <c r="K85"/>
      <c r="L85"/>
      <c r="M85"/>
    </row>
    <row r="86" spans="1:38" s="2" customFormat="1" x14ac:dyDescent="0.25">
      <c r="A86" s="8"/>
      <c r="B86"/>
      <c r="C86"/>
      <c r="D86"/>
      <c r="E86"/>
      <c r="F86"/>
      <c r="G86"/>
      <c r="H86" s="1"/>
      <c r="I86" s="1"/>
      <c r="J86"/>
      <c r="K86"/>
      <c r="L86"/>
      <c r="M86"/>
      <c r="N86" s="1"/>
      <c r="O86" s="1"/>
      <c r="P86" s="1"/>
      <c r="Q86" s="1"/>
      <c r="R86" s="1"/>
      <c r="S86" s="1"/>
      <c r="T86" s="1"/>
      <c r="U86" s="1"/>
      <c r="V86" s="1"/>
      <c r="W86" s="1"/>
      <c r="X86" s="1"/>
      <c r="Y86"/>
      <c r="Z86"/>
      <c r="AA86"/>
      <c r="AB86" s="1"/>
      <c r="AC86"/>
      <c r="AD86"/>
      <c r="AE86"/>
      <c r="AF86"/>
      <c r="AG86"/>
      <c r="AH86"/>
      <c r="AI86"/>
    </row>
    <row r="87" spans="1:38" s="3" customFormat="1" x14ac:dyDescent="0.25">
      <c r="A87" s="8"/>
      <c r="B87"/>
      <c r="C87"/>
      <c r="D87"/>
      <c r="E87" s="6"/>
      <c r="F87"/>
      <c r="G87"/>
      <c r="H87"/>
      <c r="I87"/>
      <c r="J87"/>
      <c r="K87"/>
      <c r="L87"/>
      <c r="M87"/>
      <c r="N87"/>
      <c r="O87"/>
      <c r="P87"/>
      <c r="Q87"/>
      <c r="R87"/>
      <c r="S87"/>
      <c r="T87"/>
      <c r="U87"/>
      <c r="V87"/>
      <c r="W87"/>
      <c r="X87"/>
      <c r="Y87"/>
      <c r="Z87"/>
      <c r="AA87"/>
      <c r="AB87"/>
      <c r="AC87"/>
      <c r="AD87"/>
      <c r="AE87"/>
      <c r="AF87"/>
      <c r="AG87"/>
      <c r="AH87"/>
      <c r="AI87"/>
    </row>
    <row r="88" spans="1:38" s="3" customFormat="1" x14ac:dyDescent="0.25">
      <c r="A88" s="8"/>
      <c r="B88"/>
      <c r="C88"/>
      <c r="D88"/>
      <c r="E88" s="6"/>
      <c r="F88"/>
      <c r="G88" s="6"/>
      <c r="H88" s="6"/>
      <c r="I88" s="6"/>
      <c r="J88" s="6"/>
      <c r="K88"/>
      <c r="L88"/>
      <c r="M88"/>
      <c r="N88" s="6"/>
      <c r="O88" s="6"/>
      <c r="P88" s="6"/>
      <c r="Q88" s="6"/>
      <c r="R88" s="6"/>
      <c r="S88" s="6"/>
      <c r="T88" s="6"/>
      <c r="U88" s="6"/>
      <c r="V88" s="6"/>
      <c r="W88" s="6"/>
      <c r="X88" s="6"/>
      <c r="Y88" s="6"/>
      <c r="Z88" s="6"/>
      <c r="AA88" s="6"/>
      <c r="AB88" s="6"/>
      <c r="AC88" s="6"/>
      <c r="AD88" s="6"/>
      <c r="AE88" s="6"/>
      <c r="AF88" s="6"/>
      <c r="AG88" s="6"/>
      <c r="AH88" s="6"/>
      <c r="AI88" s="6"/>
    </row>
    <row r="89" spans="1:38" s="3" customFormat="1" x14ac:dyDescent="0.25">
      <c r="A89" s="8"/>
      <c r="B89"/>
      <c r="C89"/>
      <c r="D89"/>
      <c r="E89" s="2"/>
      <c r="F89"/>
      <c r="G89" s="2"/>
      <c r="H89" s="2"/>
      <c r="I89" s="2"/>
      <c r="J89" s="2"/>
      <c r="K89"/>
      <c r="L89"/>
      <c r="M89"/>
      <c r="N89" s="2"/>
      <c r="O89" s="2"/>
      <c r="P89" s="2"/>
      <c r="Q89" s="2"/>
      <c r="R89" s="2"/>
      <c r="S89" s="2"/>
      <c r="T89" s="2"/>
      <c r="U89" s="2"/>
      <c r="V89" s="2"/>
      <c r="W89" s="2"/>
      <c r="X89" s="2"/>
      <c r="Y89" s="2"/>
      <c r="Z89" s="2"/>
      <c r="AA89" s="2"/>
      <c r="AB89" s="2"/>
      <c r="AC89" s="2"/>
      <c r="AD89" s="2"/>
      <c r="AE89" s="2"/>
      <c r="AF89" s="2"/>
      <c r="AG89" s="2"/>
      <c r="AH89" s="2"/>
      <c r="AI89" s="2"/>
    </row>
    <row r="90" spans="1:38" s="3" customFormat="1" x14ac:dyDescent="0.25">
      <c r="A90" s="8"/>
      <c r="B90"/>
      <c r="C90"/>
      <c r="D90"/>
      <c r="E90" s="2"/>
      <c r="F90"/>
      <c r="G90"/>
      <c r="H90"/>
      <c r="I90"/>
      <c r="J90"/>
      <c r="K90"/>
      <c r="L90"/>
      <c r="M90"/>
      <c r="N90"/>
      <c r="O90"/>
      <c r="P90"/>
      <c r="Q90"/>
      <c r="R90"/>
      <c r="S90"/>
      <c r="T90"/>
      <c r="U90"/>
      <c r="V90"/>
      <c r="W90"/>
      <c r="X90"/>
      <c r="Y90"/>
      <c r="Z90"/>
      <c r="AA90"/>
      <c r="AB90"/>
      <c r="AC90"/>
      <c r="AD90"/>
      <c r="AE90"/>
      <c r="AF90"/>
      <c r="AG90"/>
      <c r="AH90"/>
      <c r="AI90"/>
    </row>
    <row r="91" spans="1:38" x14ac:dyDescent="0.25">
      <c r="A91" s="8"/>
      <c r="C91" s="2"/>
      <c r="E91" s="2"/>
      <c r="G91" s="2"/>
      <c r="H91" s="2"/>
      <c r="I91" s="2"/>
      <c r="J91" s="2"/>
      <c r="N91" s="2"/>
      <c r="O91" s="2"/>
      <c r="P91" s="2"/>
      <c r="Q91" s="2"/>
      <c r="R91" s="2"/>
      <c r="S91" s="2"/>
      <c r="T91" s="2"/>
      <c r="U91" s="2"/>
      <c r="V91" s="2"/>
      <c r="W91" s="2"/>
      <c r="X91" s="2"/>
      <c r="Y91" s="2"/>
      <c r="Z91" s="2"/>
      <c r="AA91" s="2"/>
      <c r="AB91" s="2"/>
      <c r="AC91" s="2"/>
      <c r="AD91" s="2"/>
      <c r="AE91" s="2"/>
      <c r="AF91" s="2"/>
      <c r="AG91" s="2"/>
      <c r="AH91" s="2"/>
      <c r="AI91" s="2"/>
      <c r="AJ91" s="3"/>
      <c r="AK91" s="3"/>
      <c r="AL91" s="3"/>
    </row>
    <row r="92" spans="1:38" x14ac:dyDescent="0.25">
      <c r="A92" s="8"/>
      <c r="E92" s="6"/>
      <c r="AC92" s="2"/>
      <c r="AD92" s="2"/>
      <c r="AE92" s="2"/>
      <c r="AF92" s="2"/>
      <c r="AG92" s="2"/>
      <c r="AH92" s="2"/>
      <c r="AI92" s="2"/>
    </row>
    <row r="93" spans="1:38" s="2" customFormat="1" x14ac:dyDescent="0.25">
      <c r="A93" s="8"/>
      <c r="B93"/>
      <c r="C93"/>
      <c r="D93"/>
      <c r="E93"/>
      <c r="F93"/>
      <c r="G93"/>
      <c r="H93"/>
      <c r="I93"/>
      <c r="J93"/>
      <c r="K93"/>
      <c r="L93"/>
      <c r="M93"/>
      <c r="N93"/>
      <c r="O93"/>
      <c r="P93"/>
      <c r="Q93"/>
      <c r="R93"/>
      <c r="S93"/>
      <c r="T93"/>
      <c r="U93"/>
      <c r="V93"/>
      <c r="W93"/>
      <c r="X93"/>
      <c r="Y93"/>
      <c r="Z93"/>
      <c r="AA93"/>
      <c r="AB93"/>
      <c r="AC93"/>
      <c r="AD93"/>
      <c r="AE93"/>
      <c r="AF93"/>
      <c r="AG93"/>
      <c r="AH93"/>
      <c r="AI93"/>
    </row>
    <row r="94" spans="1:38" s="2" customFormat="1" x14ac:dyDescent="0.25">
      <c r="A94" s="8"/>
      <c r="B94"/>
      <c r="C94"/>
      <c r="D94"/>
      <c r="E94"/>
      <c r="F94"/>
      <c r="G94"/>
      <c r="H94"/>
      <c r="I94"/>
      <c r="J94"/>
      <c r="K94"/>
      <c r="L94"/>
      <c r="M94"/>
      <c r="N94"/>
      <c r="O94"/>
      <c r="P94"/>
      <c r="Q94"/>
      <c r="R94"/>
      <c r="S94"/>
      <c r="T94"/>
      <c r="U94"/>
      <c r="V94"/>
      <c r="W94"/>
      <c r="X94"/>
      <c r="Y94"/>
      <c r="Z94"/>
      <c r="AA94"/>
      <c r="AB94"/>
      <c r="AC94"/>
      <c r="AD94"/>
      <c r="AE94"/>
      <c r="AF94"/>
      <c r="AG94"/>
      <c r="AH94"/>
      <c r="AI94"/>
    </row>
    <row r="95" spans="1:38" s="2" customFormat="1" x14ac:dyDescent="0.25">
      <c r="A95" s="8"/>
      <c r="B95"/>
      <c r="C95" s="3"/>
      <c r="D95"/>
      <c r="E95" s="3"/>
      <c r="F95" s="3"/>
      <c r="G95" s="3"/>
      <c r="H95" s="3"/>
      <c r="I95" s="3"/>
      <c r="J95" s="3"/>
      <c r="K95"/>
      <c r="L95"/>
      <c r="M95"/>
      <c r="N95" s="3"/>
      <c r="O95" s="3"/>
      <c r="P95" s="3"/>
      <c r="Q95" s="3"/>
      <c r="R95" s="3"/>
      <c r="S95" s="3"/>
      <c r="T95" s="3"/>
      <c r="U95" s="3"/>
      <c r="V95" s="3"/>
      <c r="W95" s="3"/>
      <c r="X95" s="3"/>
      <c r="Y95" s="3"/>
      <c r="Z95" s="3"/>
      <c r="AA95" s="3"/>
      <c r="AB95" s="3"/>
      <c r="AC95" s="3"/>
      <c r="AD95" s="3"/>
      <c r="AE95" s="3"/>
      <c r="AF95" s="3"/>
      <c r="AG95" s="3"/>
      <c r="AH95" s="3"/>
      <c r="AI95" s="3"/>
    </row>
    <row r="96" spans="1:38" x14ac:dyDescent="0.25">
      <c r="A96" s="8"/>
      <c r="C96" s="3"/>
      <c r="E96" s="3"/>
      <c r="G96" s="3"/>
      <c r="H96" s="3"/>
      <c r="I96" s="3"/>
      <c r="J96" s="3"/>
      <c r="N96" s="3"/>
      <c r="O96" s="3"/>
      <c r="P96" s="3"/>
      <c r="Q96" s="3"/>
      <c r="R96" s="3"/>
      <c r="S96" s="3"/>
      <c r="T96" s="3"/>
      <c r="U96" s="3"/>
      <c r="V96" s="3"/>
      <c r="W96" s="3"/>
      <c r="X96" s="3"/>
      <c r="Y96" s="3"/>
      <c r="Z96" s="3"/>
      <c r="AA96" s="3"/>
      <c r="AB96" s="3"/>
      <c r="AC96" s="3"/>
      <c r="AD96" s="3"/>
      <c r="AE96" s="3"/>
      <c r="AF96" s="3"/>
      <c r="AG96" s="3"/>
      <c r="AH96" s="3"/>
      <c r="AI96" s="3"/>
    </row>
    <row r="97" spans="1:35" x14ac:dyDescent="0.25">
      <c r="A97" s="8"/>
    </row>
    <row r="98" spans="1:35" x14ac:dyDescent="0.25">
      <c r="A98" s="8"/>
      <c r="F98" s="2"/>
    </row>
    <row r="99" spans="1:35" s="2" customFormat="1" x14ac:dyDescent="0.25">
      <c r="A99" s="8"/>
      <c r="B99"/>
      <c r="C99"/>
      <c r="D99"/>
      <c r="E99"/>
      <c r="G99"/>
      <c r="H99"/>
      <c r="I99"/>
      <c r="J99"/>
      <c r="K99"/>
      <c r="L99"/>
      <c r="M99"/>
      <c r="N99"/>
      <c r="O99"/>
      <c r="P99"/>
      <c r="Q99"/>
      <c r="R99"/>
      <c r="S99"/>
      <c r="T99"/>
      <c r="U99"/>
      <c r="V99"/>
      <c r="W99"/>
      <c r="X99"/>
      <c r="Y99"/>
      <c r="Z99"/>
      <c r="AA99"/>
      <c r="AB99"/>
      <c r="AC99"/>
      <c r="AD99"/>
      <c r="AE99"/>
      <c r="AF99"/>
      <c r="AG99"/>
      <c r="AH99"/>
      <c r="AI99"/>
    </row>
    <row r="100" spans="1:35" s="2" customFormat="1" x14ac:dyDescent="0.25">
      <c r="A100" s="8"/>
      <c r="B100"/>
      <c r="C100"/>
      <c r="D100"/>
      <c r="E100"/>
      <c r="G100"/>
      <c r="H100"/>
      <c r="I100"/>
      <c r="J100"/>
      <c r="K100"/>
      <c r="L100"/>
      <c r="M100"/>
      <c r="N100"/>
      <c r="O100"/>
      <c r="P100"/>
      <c r="Q100"/>
      <c r="R100"/>
      <c r="S100"/>
      <c r="T100"/>
      <c r="U100"/>
      <c r="V100"/>
      <c r="W100"/>
      <c r="X100"/>
      <c r="Y100"/>
      <c r="Z100"/>
      <c r="AA100"/>
      <c r="AB100"/>
      <c r="AC100"/>
      <c r="AD100"/>
      <c r="AE100"/>
      <c r="AF100"/>
      <c r="AG100"/>
      <c r="AH100"/>
      <c r="AI100"/>
    </row>
    <row r="101" spans="1:35" s="5" customFormat="1" x14ac:dyDescent="0.25">
      <c r="A101" s="8"/>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row>
    <row r="102" spans="1:35" s="5" customFormat="1" x14ac:dyDescent="0.25">
      <c r="A102" s="8"/>
      <c r="B102"/>
      <c r="D102"/>
      <c r="K102"/>
      <c r="L102"/>
      <c r="M102"/>
    </row>
    <row r="103" spans="1:35" s="5" customFormat="1" x14ac:dyDescent="0.25">
      <c r="A103" s="8"/>
      <c r="B103" s="8"/>
      <c r="D103"/>
      <c r="K103"/>
      <c r="L103"/>
      <c r="M103"/>
    </row>
    <row r="104" spans="1:35" s="5" customFormat="1" x14ac:dyDescent="0.25">
      <c r="A104" s="8"/>
      <c r="B104" s="8"/>
      <c r="C104" s="3"/>
      <c r="D104"/>
      <c r="E104" s="3"/>
      <c r="F104" s="3"/>
      <c r="G104" s="3"/>
      <c r="H104" s="3"/>
      <c r="I104" s="3"/>
      <c r="J104" s="3"/>
      <c r="K104"/>
      <c r="L104"/>
      <c r="M104"/>
      <c r="N104" s="3"/>
      <c r="O104" s="3"/>
      <c r="P104" s="3"/>
      <c r="Q104" s="3"/>
      <c r="R104" s="3"/>
      <c r="S104" s="3"/>
      <c r="T104" s="3"/>
      <c r="U104" s="3"/>
      <c r="V104" s="3"/>
      <c r="W104" s="3"/>
      <c r="X104" s="3"/>
      <c r="Y104" s="3"/>
      <c r="Z104" s="3"/>
      <c r="AA104" s="3"/>
      <c r="AB104" s="3"/>
      <c r="AC104" s="3"/>
      <c r="AD104" s="3"/>
      <c r="AE104" s="3"/>
      <c r="AF104" s="3"/>
      <c r="AG104" s="3"/>
      <c r="AH104" s="3"/>
      <c r="AI104" s="3"/>
    </row>
    <row r="105" spans="1:35" s="5" customFormat="1" x14ac:dyDescent="0.25">
      <c r="A105" s="8"/>
      <c r="B105" s="8"/>
      <c r="C105" s="3"/>
      <c r="D105"/>
      <c r="E105" s="3"/>
      <c r="F105" s="3"/>
      <c r="G105" s="3"/>
      <c r="H105" s="3"/>
      <c r="I105" s="3"/>
      <c r="J105" s="3"/>
      <c r="K105"/>
      <c r="L105"/>
      <c r="M105"/>
      <c r="N105" s="3"/>
      <c r="O105" s="3"/>
      <c r="P105" s="3"/>
      <c r="Q105" s="3"/>
      <c r="R105" s="3"/>
      <c r="S105" s="3"/>
      <c r="T105" s="3"/>
      <c r="U105" s="3"/>
      <c r="V105" s="3"/>
      <c r="W105" s="3"/>
      <c r="X105" s="3"/>
      <c r="Y105" s="3"/>
      <c r="Z105" s="3"/>
      <c r="AA105" s="3"/>
      <c r="AB105" s="3"/>
      <c r="AC105" s="3"/>
      <c r="AD105" s="3"/>
      <c r="AE105" s="3"/>
      <c r="AF105" s="3"/>
      <c r="AG105" s="3"/>
      <c r="AH105" s="3"/>
      <c r="AI105" s="3"/>
    </row>
    <row r="106" spans="1:35" s="5" customFormat="1" x14ac:dyDescent="0.25">
      <c r="A106" s="8"/>
      <c r="B106" s="8"/>
      <c r="C106"/>
      <c r="D106"/>
      <c r="E106" s="6"/>
      <c r="F106"/>
      <c r="G106"/>
      <c r="H106"/>
      <c r="I106"/>
      <c r="J106"/>
      <c r="K106"/>
      <c r="L106"/>
      <c r="M106"/>
      <c r="N106"/>
      <c r="O106"/>
      <c r="P106"/>
      <c r="Q106"/>
      <c r="R106"/>
      <c r="S106"/>
      <c r="T106"/>
      <c r="U106"/>
      <c r="V106"/>
      <c r="W106"/>
      <c r="X106"/>
      <c r="Y106"/>
      <c r="Z106"/>
      <c r="AA106"/>
      <c r="AB106"/>
      <c r="AC106"/>
      <c r="AD106"/>
      <c r="AE106"/>
      <c r="AF106"/>
      <c r="AG106"/>
      <c r="AH106"/>
      <c r="AI106"/>
    </row>
    <row r="107" spans="1:35" x14ac:dyDescent="0.25">
      <c r="A107" s="8"/>
      <c r="B107" s="8"/>
      <c r="C107" s="5"/>
      <c r="E107" s="5"/>
      <c r="F107" s="5"/>
      <c r="H107" s="5"/>
      <c r="I107" s="5"/>
      <c r="J107" s="5"/>
    </row>
    <row r="108" spans="1:35" x14ac:dyDescent="0.25">
      <c r="A108" s="8"/>
      <c r="B108" s="8"/>
      <c r="C108" s="2"/>
      <c r="E108" s="2"/>
      <c r="F108" s="2"/>
      <c r="G108" s="2"/>
      <c r="H108" s="2"/>
      <c r="I108" s="2"/>
      <c r="J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25">
      <c r="A109" s="8"/>
      <c r="B109" s="8"/>
      <c r="C109" s="6"/>
      <c r="E109" s="6"/>
      <c r="G109" s="6"/>
      <c r="H109" s="6"/>
      <c r="I109" s="6"/>
      <c r="J109" s="6"/>
      <c r="N109" s="6"/>
      <c r="O109" s="6"/>
      <c r="P109" s="6"/>
      <c r="Q109" s="6"/>
      <c r="R109" s="6"/>
      <c r="S109" s="6"/>
      <c r="T109" s="6"/>
      <c r="U109" s="6"/>
      <c r="V109" s="6"/>
      <c r="W109" s="6"/>
      <c r="X109" s="6"/>
      <c r="Y109" s="6"/>
      <c r="Z109" s="6"/>
      <c r="AA109" s="6"/>
      <c r="AB109" s="6"/>
      <c r="AC109" s="6"/>
      <c r="AD109" s="6"/>
      <c r="AE109" s="6"/>
      <c r="AF109" s="6"/>
      <c r="AG109" s="6"/>
      <c r="AH109" s="6"/>
      <c r="AI109" s="6"/>
    </row>
    <row r="110" spans="1:35" x14ac:dyDescent="0.25">
      <c r="A110" s="8"/>
      <c r="B110" s="8"/>
      <c r="C110" s="5"/>
      <c r="E110" s="5"/>
      <c r="G110" s="5"/>
      <c r="H110" s="5"/>
      <c r="I110" s="5"/>
      <c r="J110" s="5"/>
      <c r="N110" s="5"/>
      <c r="O110" s="5"/>
      <c r="P110" s="5"/>
      <c r="Q110" s="5"/>
      <c r="R110" s="5"/>
      <c r="S110" s="5"/>
      <c r="T110" s="5"/>
      <c r="U110" s="5"/>
      <c r="V110" s="5"/>
      <c r="W110" s="5"/>
      <c r="X110" s="5"/>
      <c r="Y110" s="5"/>
      <c r="Z110" s="5"/>
      <c r="AA110" s="5"/>
      <c r="AB110" s="5"/>
      <c r="AC110" s="5"/>
      <c r="AD110" s="5"/>
      <c r="AE110" s="5"/>
      <c r="AF110" s="5"/>
      <c r="AG110" s="5"/>
      <c r="AH110" s="5"/>
      <c r="AI110" s="5"/>
    </row>
    <row r="111" spans="1:35" x14ac:dyDescent="0.25">
      <c r="A111" s="8"/>
      <c r="B111" s="8"/>
      <c r="C111" s="3"/>
      <c r="E111" s="4"/>
      <c r="G111" s="4"/>
      <c r="H111" s="3"/>
      <c r="I111" s="3"/>
      <c r="J111" s="3"/>
      <c r="N111" s="3"/>
      <c r="O111" s="3"/>
      <c r="P111" s="3"/>
      <c r="Q111" s="3"/>
      <c r="R111" s="3"/>
      <c r="S111" s="3"/>
      <c r="T111" s="3"/>
      <c r="U111" s="3"/>
      <c r="V111" s="3"/>
      <c r="W111" s="3"/>
      <c r="X111" s="3"/>
      <c r="Y111" s="3"/>
      <c r="Z111" s="3"/>
      <c r="AA111" s="3"/>
      <c r="AB111" s="3"/>
      <c r="AC111" s="2"/>
      <c r="AD111" s="2"/>
      <c r="AE111" s="2"/>
      <c r="AF111" s="2"/>
      <c r="AG111" s="2"/>
      <c r="AH111" s="2"/>
      <c r="AI111" s="2"/>
    </row>
  </sheetData>
  <autoFilter ref="A1:AJ55" xr:uid="{00000000-0001-0000-0000-000000000000}"/>
  <pageMargins left="0.7" right="0.7" top="0.75" bottom="0.75" header="0.511811023622047" footer="0.511811023622047"/>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11435</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sources</vt:lpstr>
      <vt:lpstr>unittypedata</vt:lpstr>
    </vt:vector>
  </TitlesOfParts>
  <Company>VTT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Ikäheimo Jussi</dc:creator>
  <dc:description/>
  <cp:lastModifiedBy>Rasku Topi</cp:lastModifiedBy>
  <cp:revision>92</cp:revision>
  <dcterms:created xsi:type="dcterms:W3CDTF">2022-03-22T09:20:16Z</dcterms:created>
  <dcterms:modified xsi:type="dcterms:W3CDTF">2025-09-12T11:22:19Z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0x0101002FD1B2F89F852E499A2B763E84397209</vt:lpwstr>
  </property>
</Properties>
</file>