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475" documentId="11_F7CCE3D5A3E1305D3110356F7B63CF753E36FFDD" xr6:coauthVersionLast="47" xr6:coauthVersionMax="47" xr10:uidLastSave="{AC26D5D5-8690-4D47-A48F-72C14C14C713}"/>
  <bookViews>
    <workbookView xWindow="1716" yWindow="144" windowWidth="21300" windowHeight="11064" xr2:uid="{00000000-000D-0000-FFFF-FFFF00000000}"/>
  </bookViews>
  <sheets>
    <sheet name="Production" sheetId="1" r:id="rId1"/>
    <sheet name="Estonia" sheetId="21" r:id="rId2"/>
    <sheet name="Switzerland" sheetId="28" r:id="rId3"/>
    <sheet name="United Kingdom" sheetId="29" r:id="rId4"/>
    <sheet name="Netherlands" sheetId="27" r:id="rId5"/>
    <sheet name="France" sheetId="26" r:id="rId6"/>
    <sheet name="Spain" sheetId="25" r:id="rId7"/>
    <sheet name="Belgium" sheetId="24" r:id="rId8"/>
    <sheet name="Austria" sheetId="19" r:id="rId9"/>
    <sheet name="Latvia" sheetId="7" r:id="rId10"/>
    <sheet name="Norway" sheetId="12" r:id="rId11"/>
    <sheet name="Lithuania" sheetId="17" r:id="rId12"/>
    <sheet name="Poland" sheetId="16" r:id="rId13"/>
    <sheet name="Germany" sheetId="15" r:id="rId14"/>
    <sheet name="Finland" sheetId="13" r:id="rId15"/>
    <sheet name="Sweden" sheetId="11" r:id="rId16"/>
    <sheet name="Denmark" sheetId="6" r:id="rId17"/>
    <sheet name="Pop" sheetId="9" r:id="rId18"/>
    <sheet name="HDD" sheetId="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2" i="1" l="1"/>
  <c r="R50" i="1"/>
  <c r="R51" i="1" s="1"/>
  <c r="H6" i="21"/>
  <c r="T5" i="21"/>
  <c r="E29" i="1"/>
  <c r="BA13" i="6"/>
  <c r="H9" i="21"/>
  <c r="N51" i="1"/>
  <c r="M51" i="1"/>
  <c r="L51" i="1"/>
  <c r="K51" i="1"/>
  <c r="J51" i="1"/>
  <c r="I51" i="1"/>
  <c r="H51" i="1"/>
  <c r="G51" i="1"/>
  <c r="F51" i="1"/>
  <c r="E51" i="1"/>
  <c r="N52" i="1"/>
  <c r="M52" i="1"/>
  <c r="L52" i="1"/>
  <c r="K52" i="1"/>
  <c r="J52" i="1"/>
  <c r="I52" i="1"/>
  <c r="H52" i="1"/>
  <c r="G52" i="1"/>
  <c r="F52" i="1"/>
  <c r="E52" i="1"/>
  <c r="Q51" i="1"/>
  <c r="Q52" i="1"/>
  <c r="Y70" i="13"/>
  <c r="X70" i="13"/>
  <c r="W70" i="13"/>
  <c r="V70" i="13"/>
  <c r="U70" i="13"/>
  <c r="T70" i="13"/>
  <c r="S70" i="13"/>
  <c r="R70" i="13"/>
  <c r="Q70" i="13"/>
  <c r="P70" i="13"/>
  <c r="O70" i="13"/>
  <c r="N70" i="13"/>
  <c r="M70" i="13"/>
  <c r="L70" i="13"/>
  <c r="K70" i="13"/>
  <c r="J70" i="13"/>
  <c r="AB70" i="13" l="1"/>
  <c r="AB61" i="13"/>
  <c r="M68" i="13"/>
  <c r="L68" i="13"/>
  <c r="K68" i="13"/>
  <c r="J68" i="13"/>
  <c r="M67" i="13"/>
  <c r="L67" i="13"/>
  <c r="K67" i="13"/>
  <c r="J67" i="13"/>
  <c r="M66" i="13"/>
  <c r="L66" i="13"/>
  <c r="K66" i="13"/>
  <c r="J66" i="13"/>
  <c r="Y68" i="13"/>
  <c r="X68" i="13"/>
  <c r="W68" i="13"/>
  <c r="V68" i="13"/>
  <c r="U68" i="13"/>
  <c r="T68" i="13"/>
  <c r="S68" i="13"/>
  <c r="R68" i="13"/>
  <c r="Q68" i="13"/>
  <c r="P68" i="13"/>
  <c r="O68" i="13"/>
  <c r="N68" i="13"/>
  <c r="Y67" i="13"/>
  <c r="X67" i="13"/>
  <c r="W67" i="13"/>
  <c r="V67" i="13"/>
  <c r="U67" i="13"/>
  <c r="T67" i="13"/>
  <c r="S67" i="13"/>
  <c r="R67" i="13"/>
  <c r="Q67" i="13"/>
  <c r="P67" i="13"/>
  <c r="O67" i="13"/>
  <c r="N67" i="13"/>
  <c r="Y66" i="13"/>
  <c r="X66" i="13"/>
  <c r="W66" i="13"/>
  <c r="V66" i="13"/>
  <c r="U66" i="13"/>
  <c r="T66" i="13"/>
  <c r="S66" i="13"/>
  <c r="R66" i="13"/>
  <c r="Q66" i="13"/>
  <c r="P66" i="13"/>
  <c r="O66" i="13"/>
  <c r="N66" i="13"/>
  <c r="P45" i="9" l="1" a="1"/>
  <c r="P45" i="9" s="1"/>
  <c r="T3" i="29" s="1"/>
  <c r="O45" i="9" a="1"/>
  <c r="O45" i="9" s="1"/>
  <c r="S3" i="29" s="1"/>
  <c r="S3" i="24"/>
  <c r="R23" i="29"/>
  <c r="R23" i="24"/>
  <c r="O4" i="21" a="1"/>
  <c r="O4" i="21" s="1"/>
  <c r="P4" i="21" s="1" a="1"/>
  <c r="P4" i="21" s="1"/>
  <c r="O23" i="29"/>
  <c r="N23" i="29"/>
  <c r="M23" i="29"/>
  <c r="L23" i="29"/>
  <c r="K23" i="29"/>
  <c r="J23" i="29"/>
  <c r="I23" i="29"/>
  <c r="H23" i="29"/>
  <c r="G23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Q3" i="29"/>
  <c r="P3" i="29"/>
  <c r="O3" i="29"/>
  <c r="N3" i="29"/>
  <c r="M3" i="29"/>
  <c r="L3" i="29"/>
  <c r="K3" i="29"/>
  <c r="J3" i="29"/>
  <c r="I3" i="29"/>
  <c r="H3" i="29"/>
  <c r="G3" i="29"/>
  <c r="T2" i="29"/>
  <c r="S2" i="29"/>
  <c r="Q2" i="29"/>
  <c r="P2" i="29"/>
  <c r="O2" i="29"/>
  <c r="N2" i="29"/>
  <c r="M2" i="29"/>
  <c r="L2" i="29"/>
  <c r="K2" i="29"/>
  <c r="J2" i="29"/>
  <c r="I2" i="29"/>
  <c r="H2" i="29"/>
  <c r="G2" i="29"/>
  <c r="F2" i="29"/>
  <c r="P23" i="28"/>
  <c r="O23" i="28"/>
  <c r="N23" i="28"/>
  <c r="M23" i="28"/>
  <c r="L23" i="28"/>
  <c r="K23" i="28"/>
  <c r="J23" i="28"/>
  <c r="I23" i="28"/>
  <c r="H23" i="28"/>
  <c r="G23" i="28"/>
  <c r="R23" i="28" s="1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T3" i="28"/>
  <c r="S3" i="28"/>
  <c r="Q3" i="28"/>
  <c r="P3" i="28"/>
  <c r="O3" i="28"/>
  <c r="N3" i="28"/>
  <c r="M3" i="28"/>
  <c r="L3" i="28"/>
  <c r="K3" i="28"/>
  <c r="J3" i="28"/>
  <c r="I3" i="28"/>
  <c r="H3" i="28"/>
  <c r="G3" i="28"/>
  <c r="T2" i="28"/>
  <c r="S2" i="28"/>
  <c r="Q2" i="28"/>
  <c r="P2" i="28"/>
  <c r="O2" i="28"/>
  <c r="N2" i="28"/>
  <c r="M2" i="28"/>
  <c r="L2" i="28"/>
  <c r="K2" i="28"/>
  <c r="J2" i="28"/>
  <c r="I2" i="28"/>
  <c r="H2" i="28"/>
  <c r="G2" i="28"/>
  <c r="F2" i="28"/>
  <c r="P23" i="27"/>
  <c r="O23" i="27"/>
  <c r="N23" i="27"/>
  <c r="M23" i="27"/>
  <c r="L23" i="27"/>
  <c r="K23" i="27"/>
  <c r="J23" i="27"/>
  <c r="I23" i="27"/>
  <c r="H23" i="27"/>
  <c r="G23" i="27"/>
  <c r="Q4" i="27"/>
  <c r="P4" i="27"/>
  <c r="O4" i="27"/>
  <c r="N4" i="27"/>
  <c r="M4" i="27"/>
  <c r="L4" i="27"/>
  <c r="K4" i="27"/>
  <c r="J4" i="27"/>
  <c r="I4" i="27"/>
  <c r="H4" i="27"/>
  <c r="G4" i="27"/>
  <c r="F4" i="27"/>
  <c r="E4" i="27"/>
  <c r="T3" i="27"/>
  <c r="S3" i="27"/>
  <c r="Q3" i="27"/>
  <c r="P3" i="27"/>
  <c r="O3" i="27"/>
  <c r="N3" i="27"/>
  <c r="M3" i="27"/>
  <c r="L3" i="27"/>
  <c r="K3" i="27"/>
  <c r="J3" i="27"/>
  <c r="I3" i="27"/>
  <c r="H3" i="27"/>
  <c r="G3" i="27"/>
  <c r="T2" i="27"/>
  <c r="S2" i="27"/>
  <c r="Q2" i="27"/>
  <c r="P2" i="27"/>
  <c r="O2" i="27"/>
  <c r="N2" i="27"/>
  <c r="M2" i="27"/>
  <c r="L2" i="27"/>
  <c r="K2" i="27"/>
  <c r="J2" i="27"/>
  <c r="I2" i="27"/>
  <c r="H2" i="27"/>
  <c r="G2" i="27"/>
  <c r="F2" i="27"/>
  <c r="P23" i="26"/>
  <c r="O23" i="26"/>
  <c r="N23" i="26"/>
  <c r="M23" i="26"/>
  <c r="L23" i="26"/>
  <c r="K23" i="26"/>
  <c r="J23" i="26"/>
  <c r="I23" i="26"/>
  <c r="H23" i="26"/>
  <c r="G23" i="26"/>
  <c r="R23" i="26" s="1"/>
  <c r="T3" i="26"/>
  <c r="S3" i="26"/>
  <c r="Q3" i="26"/>
  <c r="P3" i="26"/>
  <c r="O3" i="26"/>
  <c r="N3" i="26"/>
  <c r="M3" i="26"/>
  <c r="L3" i="26"/>
  <c r="K3" i="26"/>
  <c r="J3" i="26"/>
  <c r="I3" i="26"/>
  <c r="H3" i="26"/>
  <c r="G3" i="26"/>
  <c r="T2" i="26"/>
  <c r="S2" i="26"/>
  <c r="Q2" i="26"/>
  <c r="P2" i="26"/>
  <c r="O2" i="26"/>
  <c r="N2" i="26"/>
  <c r="M2" i="26"/>
  <c r="L2" i="26"/>
  <c r="K2" i="26"/>
  <c r="J2" i="26"/>
  <c r="I2" i="26"/>
  <c r="H2" i="26"/>
  <c r="G2" i="26"/>
  <c r="F2" i="26"/>
  <c r="P23" i="25"/>
  <c r="O23" i="25"/>
  <c r="N23" i="25"/>
  <c r="M23" i="25"/>
  <c r="L23" i="25"/>
  <c r="K23" i="25"/>
  <c r="J23" i="25"/>
  <c r="I23" i="25"/>
  <c r="R23" i="25" s="1"/>
  <c r="H23" i="25"/>
  <c r="G23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T3" i="25"/>
  <c r="S3" i="25"/>
  <c r="Q3" i="25"/>
  <c r="P3" i="25"/>
  <c r="O3" i="25"/>
  <c r="N3" i="25"/>
  <c r="M3" i="25"/>
  <c r="L3" i="25"/>
  <c r="K3" i="25"/>
  <c r="J3" i="25"/>
  <c r="I3" i="25"/>
  <c r="H3" i="25"/>
  <c r="G3" i="25"/>
  <c r="T2" i="25"/>
  <c r="S2" i="25"/>
  <c r="Q2" i="25"/>
  <c r="P2" i="25"/>
  <c r="O2" i="25"/>
  <c r="N2" i="25"/>
  <c r="M2" i="25"/>
  <c r="L2" i="25"/>
  <c r="K2" i="25"/>
  <c r="J2" i="25"/>
  <c r="I2" i="25"/>
  <c r="H2" i="25"/>
  <c r="G2" i="25"/>
  <c r="F2" i="25"/>
  <c r="P23" i="24"/>
  <c r="O23" i="24"/>
  <c r="N23" i="24"/>
  <c r="M23" i="24"/>
  <c r="Q4" i="24"/>
  <c r="P4" i="24"/>
  <c r="P5" i="24" s="1"/>
  <c r="O4" i="24"/>
  <c r="N4" i="24"/>
  <c r="M4" i="24"/>
  <c r="L4" i="24"/>
  <c r="K4" i="24"/>
  <c r="J4" i="24"/>
  <c r="I4" i="24"/>
  <c r="H4" i="24"/>
  <c r="G4" i="24"/>
  <c r="F4" i="24"/>
  <c r="E4" i="24"/>
  <c r="T3" i="24"/>
  <c r="Q3" i="24"/>
  <c r="P3" i="24"/>
  <c r="O3" i="24"/>
  <c r="N3" i="24"/>
  <c r="M3" i="24"/>
  <c r="L3" i="24"/>
  <c r="K3" i="24"/>
  <c r="J3" i="24"/>
  <c r="I3" i="24"/>
  <c r="H3" i="24"/>
  <c r="G3" i="24"/>
  <c r="T2" i="24"/>
  <c r="S2" i="24"/>
  <c r="Q2" i="24"/>
  <c r="P2" i="24"/>
  <c r="O2" i="24"/>
  <c r="N2" i="24"/>
  <c r="M2" i="24"/>
  <c r="L2" i="24"/>
  <c r="K2" i="24"/>
  <c r="J2" i="24"/>
  <c r="I2" i="24"/>
  <c r="H2" i="24"/>
  <c r="G2" i="24"/>
  <c r="F2" i="24"/>
  <c r="Q23" i="21"/>
  <c r="P23" i="21"/>
  <c r="O23" i="21"/>
  <c r="N23" i="21"/>
  <c r="M23" i="21"/>
  <c r="L23" i="21"/>
  <c r="K23" i="21"/>
  <c r="J23" i="21"/>
  <c r="I23" i="21"/>
  <c r="H23" i="21"/>
  <c r="U3" i="21"/>
  <c r="T3" i="21"/>
  <c r="R3" i="21"/>
  <c r="Q3" i="21"/>
  <c r="P3" i="21"/>
  <c r="O3" i="21"/>
  <c r="N3" i="21"/>
  <c r="M3" i="21"/>
  <c r="L3" i="21"/>
  <c r="K3" i="21"/>
  <c r="J3" i="21"/>
  <c r="I3" i="21"/>
  <c r="H3" i="21"/>
  <c r="U2" i="21"/>
  <c r="T2" i="21"/>
  <c r="R2" i="21"/>
  <c r="Q2" i="21"/>
  <c r="P2" i="21"/>
  <c r="O2" i="21"/>
  <c r="N2" i="21"/>
  <c r="M2" i="21"/>
  <c r="L2" i="21"/>
  <c r="K2" i="21"/>
  <c r="J2" i="21"/>
  <c r="I2" i="21"/>
  <c r="H2" i="21"/>
  <c r="G2" i="21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P5" i="28" l="1"/>
  <c r="P5" i="26"/>
  <c r="H5" i="26" s="1"/>
  <c r="P5" i="25"/>
  <c r="M5" i="24"/>
  <c r="O5" i="24"/>
  <c r="P5" i="29"/>
  <c r="N5" i="29" s="1"/>
  <c r="N10" i="29" s="1"/>
  <c r="R23" i="27"/>
  <c r="P5" i="27" s="1"/>
  <c r="G5" i="27" s="1"/>
  <c r="G6" i="27" s="1"/>
  <c r="Q4" i="21" a="1"/>
  <c r="Q4" i="21" s="1"/>
  <c r="Q5" i="21" s="1"/>
  <c r="U6" i="29" a="1"/>
  <c r="K5" i="28"/>
  <c r="K10" i="28" s="1"/>
  <c r="J5" i="28"/>
  <c r="I5" i="28"/>
  <c r="I10" i="28" s="1"/>
  <c r="P6" i="28"/>
  <c r="H5" i="28"/>
  <c r="O5" i="28"/>
  <c r="O10" i="28" s="1"/>
  <c r="G5" i="28"/>
  <c r="G6" i="28" s="1"/>
  <c r="P10" i="28"/>
  <c r="N5" i="28"/>
  <c r="L5" i="28"/>
  <c r="L10" i="28" s="1"/>
  <c r="M5" i="28"/>
  <c r="M10" i="28" s="1"/>
  <c r="K5" i="25"/>
  <c r="J5" i="25"/>
  <c r="G5" i="25"/>
  <c r="G6" i="25" s="1"/>
  <c r="N5" i="25"/>
  <c r="N10" i="25" s="1"/>
  <c r="M5" i="25"/>
  <c r="M10" i="25" s="1"/>
  <c r="I5" i="25"/>
  <c r="H5" i="25"/>
  <c r="H10" i="25" s="1"/>
  <c r="O5" i="25"/>
  <c r="O10" i="25" s="1"/>
  <c r="P10" i="25"/>
  <c r="L5" i="25"/>
  <c r="P6" i="25"/>
  <c r="O10" i="24"/>
  <c r="P10" i="24"/>
  <c r="N5" i="24"/>
  <c r="N10" i="24" s="1"/>
  <c r="P6" i="24"/>
  <c r="S23" i="21"/>
  <c r="N5" i="21" s="1"/>
  <c r="P23" i="19"/>
  <c r="O23" i="19"/>
  <c r="N23" i="19"/>
  <c r="M23" i="19"/>
  <c r="L23" i="19"/>
  <c r="K23" i="19"/>
  <c r="J23" i="19"/>
  <c r="I23" i="19"/>
  <c r="R23" i="19" s="1"/>
  <c r="H23" i="19"/>
  <c r="G23" i="19"/>
  <c r="T3" i="19"/>
  <c r="S3" i="19"/>
  <c r="Q3" i="19"/>
  <c r="P3" i="19"/>
  <c r="O3" i="19"/>
  <c r="N3" i="19"/>
  <c r="M3" i="19"/>
  <c r="L3" i="19"/>
  <c r="K3" i="19"/>
  <c r="J3" i="19"/>
  <c r="I3" i="19"/>
  <c r="H3" i="19"/>
  <c r="G3" i="19"/>
  <c r="T2" i="19"/>
  <c r="S2" i="19"/>
  <c r="Q2" i="19"/>
  <c r="P2" i="19"/>
  <c r="O2" i="19"/>
  <c r="N2" i="19"/>
  <c r="M2" i="19"/>
  <c r="L2" i="19"/>
  <c r="K2" i="19"/>
  <c r="J2" i="19"/>
  <c r="I2" i="19"/>
  <c r="H2" i="19"/>
  <c r="G2" i="19"/>
  <c r="F2" i="19"/>
  <c r="P4" i="17"/>
  <c r="O4" i="17"/>
  <c r="M4" i="17"/>
  <c r="K4" i="17"/>
  <c r="J4" i="17"/>
  <c r="I4" i="17"/>
  <c r="H4" i="17"/>
  <c r="N4" i="17" s="1"/>
  <c r="G4" i="17" s="1"/>
  <c r="L4" i="17"/>
  <c r="O5" i="26" l="1"/>
  <c r="O10" i="26" s="1"/>
  <c r="P6" i="26"/>
  <c r="M5" i="26"/>
  <c r="M10" i="26" s="1"/>
  <c r="L5" i="26"/>
  <c r="L10" i="26" s="1"/>
  <c r="N5" i="26"/>
  <c r="N10" i="26" s="1"/>
  <c r="I5" i="26"/>
  <c r="I10" i="26" s="1"/>
  <c r="J5" i="26"/>
  <c r="J10" i="26" s="1"/>
  <c r="K5" i="26"/>
  <c r="K10" i="26" s="1"/>
  <c r="P10" i="26"/>
  <c r="G5" i="26"/>
  <c r="G6" i="26" s="1"/>
  <c r="I6" i="28"/>
  <c r="O6" i="28"/>
  <c r="M6" i="25"/>
  <c r="H5" i="24"/>
  <c r="G5" i="24"/>
  <c r="K5" i="24"/>
  <c r="K10" i="24" s="1"/>
  <c r="Q5" i="24"/>
  <c r="L5" i="24"/>
  <c r="L10" i="24" s="1"/>
  <c r="J5" i="24"/>
  <c r="I5" i="24"/>
  <c r="I10" i="24" s="1"/>
  <c r="G5" i="29"/>
  <c r="O5" i="29"/>
  <c r="I5" i="29"/>
  <c r="I10" i="29" s="1"/>
  <c r="P10" i="29"/>
  <c r="P6" i="29"/>
  <c r="K5" i="29"/>
  <c r="K10" i="29" s="1"/>
  <c r="H5" i="29"/>
  <c r="H6" i="29" s="1"/>
  <c r="L5" i="29"/>
  <c r="L10" i="29" s="1"/>
  <c r="J5" i="29"/>
  <c r="J10" i="29" s="1"/>
  <c r="M5" i="29"/>
  <c r="M10" i="29" s="1"/>
  <c r="L5" i="27"/>
  <c r="L10" i="27" s="1"/>
  <c r="N5" i="27"/>
  <c r="N10" i="27" s="1"/>
  <c r="O5" i="27"/>
  <c r="O10" i="27" s="1"/>
  <c r="H5" i="27"/>
  <c r="P6" i="27"/>
  <c r="M5" i="27"/>
  <c r="M10" i="27" s="1"/>
  <c r="I5" i="27"/>
  <c r="I10" i="27" s="1"/>
  <c r="J5" i="27"/>
  <c r="J10" i="27" s="1"/>
  <c r="K5" i="27"/>
  <c r="K10" i="27" s="1"/>
  <c r="P10" i="27"/>
  <c r="O6" i="27"/>
  <c r="O6" i="26"/>
  <c r="N6" i="25"/>
  <c r="L6" i="24"/>
  <c r="O6" i="24"/>
  <c r="M5" i="21"/>
  <c r="L5" i="21"/>
  <c r="K5" i="21"/>
  <c r="K6" i="21" s="1"/>
  <c r="J5" i="21"/>
  <c r="I5" i="21"/>
  <c r="H5" i="21"/>
  <c r="H10" i="21" s="1"/>
  <c r="R4" i="21" a="1"/>
  <c r="R4" i="21" s="1"/>
  <c r="O6" i="29"/>
  <c r="O10" i="29"/>
  <c r="M6" i="29"/>
  <c r="J6" i="29"/>
  <c r="N6" i="29"/>
  <c r="U6" i="29"/>
  <c r="W6" i="29"/>
  <c r="V6" i="29"/>
  <c r="G6" i="29"/>
  <c r="Q5" i="29"/>
  <c r="G10" i="29"/>
  <c r="I6" i="29"/>
  <c r="H6" i="28"/>
  <c r="H10" i="28"/>
  <c r="M6" i="28"/>
  <c r="J10" i="28"/>
  <c r="J6" i="28"/>
  <c r="N6" i="28"/>
  <c r="N10" i="28"/>
  <c r="K6" i="28"/>
  <c r="L6" i="28"/>
  <c r="Q5" i="28"/>
  <c r="G10" i="28"/>
  <c r="H6" i="27"/>
  <c r="H10" i="27"/>
  <c r="L6" i="27"/>
  <c r="Q5" i="27"/>
  <c r="G10" i="27"/>
  <c r="N6" i="27"/>
  <c r="H10" i="26"/>
  <c r="H6" i="26"/>
  <c r="J6" i="26"/>
  <c r="N6" i="26"/>
  <c r="K6" i="26"/>
  <c r="I6" i="26"/>
  <c r="Q5" i="26"/>
  <c r="G10" i="26"/>
  <c r="M6" i="26"/>
  <c r="O6" i="25"/>
  <c r="I10" i="25"/>
  <c r="I6" i="25"/>
  <c r="H6" i="25"/>
  <c r="G10" i="25"/>
  <c r="Q5" i="25"/>
  <c r="L10" i="25"/>
  <c r="L6" i="25"/>
  <c r="J10" i="25"/>
  <c r="J6" i="25"/>
  <c r="K6" i="25"/>
  <c r="K10" i="25"/>
  <c r="J10" i="24"/>
  <c r="J6" i="24"/>
  <c r="K6" i="24"/>
  <c r="G10" i="24"/>
  <c r="H10" i="24"/>
  <c r="H6" i="24"/>
  <c r="N6" i="24"/>
  <c r="M10" i="24"/>
  <c r="M6" i="24"/>
  <c r="G6" i="24"/>
  <c r="J10" i="21"/>
  <c r="Q10" i="21"/>
  <c r="I10" i="21"/>
  <c r="N10" i="21"/>
  <c r="O5" i="21"/>
  <c r="O10" i="21" s="1"/>
  <c r="Q6" i="21"/>
  <c r="P5" i="21"/>
  <c r="P6" i="21" s="1"/>
  <c r="N6" i="21"/>
  <c r="I6" i="21"/>
  <c r="J6" i="21"/>
  <c r="L10" i="21"/>
  <c r="L6" i="21"/>
  <c r="M10" i="21"/>
  <c r="M6" i="21"/>
  <c r="P5" i="19"/>
  <c r="O5" i="19" s="1"/>
  <c r="K5" i="19"/>
  <c r="K10" i="19" s="1"/>
  <c r="J5" i="19"/>
  <c r="F4" i="17"/>
  <c r="O25" i="17"/>
  <c r="N25" i="17"/>
  <c r="M25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P2" i="17"/>
  <c r="O2" i="17"/>
  <c r="N2" i="17"/>
  <c r="M2" i="17"/>
  <c r="L2" i="17"/>
  <c r="K2" i="17"/>
  <c r="J2" i="17"/>
  <c r="I2" i="17"/>
  <c r="H2" i="17"/>
  <c r="G2" i="17"/>
  <c r="F2" i="17"/>
  <c r="R3" i="7"/>
  <c r="L6" i="26" l="1"/>
  <c r="K6" i="29"/>
  <c r="I6" i="24"/>
  <c r="H10" i="29"/>
  <c r="L6" i="29"/>
  <c r="M6" i="27"/>
  <c r="I6" i="27"/>
  <c r="J6" i="27"/>
  <c r="K6" i="27"/>
  <c r="K10" i="21"/>
  <c r="R5" i="21"/>
  <c r="R10" i="21" s="1"/>
  <c r="V10" i="21" s="1"/>
  <c r="P10" i="21"/>
  <c r="Q10" i="29"/>
  <c r="Q6" i="29"/>
  <c r="L7" i="29"/>
  <c r="L8" i="29" s="1"/>
  <c r="L9" i="29" s="1"/>
  <c r="I7" i="29"/>
  <c r="I8" i="29" s="1"/>
  <c r="I9" i="29" s="1"/>
  <c r="G7" i="29"/>
  <c r="G8" i="29" s="1"/>
  <c r="Q7" i="29"/>
  <c r="Q8" i="29" s="1"/>
  <c r="Q9" i="29" s="1"/>
  <c r="O7" i="29"/>
  <c r="O8" i="29" s="1"/>
  <c r="O9" i="29" s="1"/>
  <c r="J7" i="29"/>
  <c r="J8" i="29" s="1"/>
  <c r="J9" i="29" s="1"/>
  <c r="P7" i="29"/>
  <c r="P8" i="29" s="1"/>
  <c r="P9" i="29" s="1"/>
  <c r="N7" i="29"/>
  <c r="N8" i="29" s="1"/>
  <c r="N9" i="29" s="1"/>
  <c r="K7" i="29"/>
  <c r="K8" i="29" s="1"/>
  <c r="K9" i="29" s="1"/>
  <c r="H7" i="29"/>
  <c r="H8" i="29" s="1"/>
  <c r="H9" i="29" s="1"/>
  <c r="M7" i="29"/>
  <c r="M8" i="29" s="1"/>
  <c r="M9" i="29" s="1"/>
  <c r="U10" i="29"/>
  <c r="U10" i="28"/>
  <c r="Q10" i="28"/>
  <c r="Q6" i="28"/>
  <c r="U6" i="28" s="1" a="1"/>
  <c r="Q6" i="27"/>
  <c r="U6" i="27" s="1" a="1"/>
  <c r="Q10" i="27"/>
  <c r="U10" i="27" s="1"/>
  <c r="Q10" i="26"/>
  <c r="U10" i="26" s="1"/>
  <c r="Q6" i="26"/>
  <c r="U6" i="26" s="1" a="1"/>
  <c r="Q10" i="25"/>
  <c r="Q6" i="25"/>
  <c r="U10" i="25"/>
  <c r="U6" i="25" a="1"/>
  <c r="Q10" i="24"/>
  <c r="U10" i="24" s="1"/>
  <c r="Q6" i="24"/>
  <c r="U6" i="24" a="1"/>
  <c r="V6" i="21" a="1"/>
  <c r="O6" i="21"/>
  <c r="K6" i="19"/>
  <c r="P6" i="19"/>
  <c r="M5" i="19"/>
  <c r="M10" i="19" s="1"/>
  <c r="N5" i="19"/>
  <c r="N10" i="19" s="1"/>
  <c r="H5" i="19"/>
  <c r="Q5" i="19" s="1"/>
  <c r="L5" i="19"/>
  <c r="L10" i="19" s="1"/>
  <c r="I5" i="19"/>
  <c r="I10" i="19" s="1"/>
  <c r="P10" i="19"/>
  <c r="G5" i="19"/>
  <c r="G10" i="19" s="1"/>
  <c r="O6" i="19"/>
  <c r="O10" i="19"/>
  <c r="J10" i="19"/>
  <c r="J6" i="19"/>
  <c r="M6" i="19"/>
  <c r="Q25" i="17"/>
  <c r="V6" i="21" l="1"/>
  <c r="X6" i="21"/>
  <c r="W6" i="21"/>
  <c r="R6" i="21"/>
  <c r="G9" i="29"/>
  <c r="T8" i="29"/>
  <c r="S8" i="29"/>
  <c r="S5" i="29" s="1"/>
  <c r="W6" i="28"/>
  <c r="V6" i="28"/>
  <c r="U6" i="28"/>
  <c r="W6" i="27"/>
  <c r="V6" i="27"/>
  <c r="U6" i="27"/>
  <c r="W6" i="26"/>
  <c r="V6" i="26"/>
  <c r="U6" i="26"/>
  <c r="U6" i="25"/>
  <c r="W6" i="25"/>
  <c r="V6" i="25"/>
  <c r="W6" i="24"/>
  <c r="V6" i="24"/>
  <c r="U6" i="24"/>
  <c r="N6" i="19"/>
  <c r="I6" i="19"/>
  <c r="L6" i="19"/>
  <c r="H6" i="19"/>
  <c r="H10" i="19"/>
  <c r="G6" i="19"/>
  <c r="Q10" i="19"/>
  <c r="Q6" i="19"/>
  <c r="U6" i="19" s="1" a="1"/>
  <c r="P5" i="17"/>
  <c r="O5" i="17"/>
  <c r="N10" i="17" s="1"/>
  <c r="O6" i="17"/>
  <c r="O10" i="17"/>
  <c r="T27" i="16"/>
  <c r="U27" i="16"/>
  <c r="V27" i="16"/>
  <c r="W27" i="16"/>
  <c r="X27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AC3" i="16"/>
  <c r="AB3" i="16"/>
  <c r="Z3" i="16"/>
  <c r="Y3" i="16"/>
  <c r="X3" i="16"/>
  <c r="W3" i="16"/>
  <c r="V3" i="16"/>
  <c r="U3" i="16"/>
  <c r="T3" i="16"/>
  <c r="S3" i="16"/>
  <c r="R3" i="16"/>
  <c r="Q3" i="16"/>
  <c r="P3" i="16"/>
  <c r="O3" i="16"/>
  <c r="Y2" i="16"/>
  <c r="X2" i="16"/>
  <c r="W2" i="16"/>
  <c r="V2" i="16"/>
  <c r="U2" i="16"/>
  <c r="T2" i="16"/>
  <c r="S2" i="16"/>
  <c r="R2" i="16"/>
  <c r="Q2" i="16"/>
  <c r="P2" i="16"/>
  <c r="O2" i="16"/>
  <c r="Y4" i="15"/>
  <c r="M7" i="21" l="1"/>
  <c r="M8" i="21" s="1"/>
  <c r="M9" i="21" s="1"/>
  <c r="I7" i="28"/>
  <c r="I8" i="28" s="1"/>
  <c r="I9" i="28" s="1"/>
  <c r="Q7" i="28"/>
  <c r="Q8" i="28" s="1"/>
  <c r="Q9" i="28" s="1"/>
  <c r="H7" i="28"/>
  <c r="H8" i="28" s="1"/>
  <c r="H9" i="28" s="1"/>
  <c r="M7" i="28"/>
  <c r="M8" i="28" s="1"/>
  <c r="M9" i="28" s="1"/>
  <c r="G7" i="28"/>
  <c r="G8" i="28" s="1"/>
  <c r="P7" i="28"/>
  <c r="P8" i="28" s="1"/>
  <c r="P9" i="28" s="1"/>
  <c r="O7" i="28"/>
  <c r="O8" i="28" s="1"/>
  <c r="O9" i="28" s="1"/>
  <c r="J7" i="28"/>
  <c r="J8" i="28" s="1"/>
  <c r="J9" i="28" s="1"/>
  <c r="K7" i="28"/>
  <c r="K8" i="28" s="1"/>
  <c r="K9" i="28" s="1"/>
  <c r="L7" i="28"/>
  <c r="L8" i="28" s="1"/>
  <c r="L9" i="28" s="1"/>
  <c r="N7" i="28"/>
  <c r="N8" i="28" s="1"/>
  <c r="N9" i="28" s="1"/>
  <c r="Q7" i="27"/>
  <c r="Q8" i="27" s="1"/>
  <c r="Q9" i="27" s="1"/>
  <c r="I7" i="27"/>
  <c r="I8" i="27" s="1"/>
  <c r="I9" i="27" s="1"/>
  <c r="J7" i="27"/>
  <c r="J8" i="27" s="1"/>
  <c r="J9" i="27" s="1"/>
  <c r="P7" i="27"/>
  <c r="P8" i="27" s="1"/>
  <c r="P9" i="27" s="1"/>
  <c r="H7" i="27"/>
  <c r="H8" i="27" s="1"/>
  <c r="H9" i="27" s="1"/>
  <c r="M7" i="27"/>
  <c r="M8" i="27" s="1"/>
  <c r="M9" i="27" s="1"/>
  <c r="O7" i="27"/>
  <c r="O8" i="27" s="1"/>
  <c r="O9" i="27" s="1"/>
  <c r="G7" i="27"/>
  <c r="G8" i="27" s="1"/>
  <c r="N7" i="27"/>
  <c r="N8" i="27" s="1"/>
  <c r="N9" i="27" s="1"/>
  <c r="L7" i="27"/>
  <c r="L8" i="27" s="1"/>
  <c r="L9" i="27" s="1"/>
  <c r="K7" i="27"/>
  <c r="K8" i="27" s="1"/>
  <c r="K9" i="27" s="1"/>
  <c r="Q7" i="26"/>
  <c r="Q8" i="26" s="1"/>
  <c r="Q9" i="26" s="1"/>
  <c r="I7" i="26"/>
  <c r="I8" i="26" s="1"/>
  <c r="I9" i="26" s="1"/>
  <c r="P7" i="26"/>
  <c r="P8" i="26" s="1"/>
  <c r="P9" i="26" s="1"/>
  <c r="G7" i="26"/>
  <c r="G8" i="26" s="1"/>
  <c r="M7" i="26"/>
  <c r="M8" i="26" s="1"/>
  <c r="M9" i="26" s="1"/>
  <c r="O7" i="26"/>
  <c r="O8" i="26" s="1"/>
  <c r="O9" i="26" s="1"/>
  <c r="L7" i="26"/>
  <c r="L8" i="26" s="1"/>
  <c r="L9" i="26" s="1"/>
  <c r="H7" i="26"/>
  <c r="H8" i="26" s="1"/>
  <c r="H9" i="26" s="1"/>
  <c r="J7" i="26"/>
  <c r="J8" i="26" s="1"/>
  <c r="J9" i="26" s="1"/>
  <c r="K7" i="26"/>
  <c r="K8" i="26" s="1"/>
  <c r="K9" i="26" s="1"/>
  <c r="N7" i="26"/>
  <c r="N8" i="26" s="1"/>
  <c r="N9" i="26" s="1"/>
  <c r="J7" i="25"/>
  <c r="J8" i="25" s="1"/>
  <c r="J9" i="25" s="1"/>
  <c r="Q7" i="25"/>
  <c r="Q8" i="25" s="1"/>
  <c r="Q9" i="25" s="1"/>
  <c r="I7" i="25"/>
  <c r="I8" i="25" s="1"/>
  <c r="I9" i="25" s="1"/>
  <c r="L7" i="25"/>
  <c r="L8" i="25" s="1"/>
  <c r="L9" i="25" s="1"/>
  <c r="K7" i="25"/>
  <c r="K8" i="25" s="1"/>
  <c r="K9" i="25" s="1"/>
  <c r="O7" i="25"/>
  <c r="O8" i="25" s="1"/>
  <c r="O9" i="25" s="1"/>
  <c r="M7" i="25"/>
  <c r="M8" i="25" s="1"/>
  <c r="M9" i="25" s="1"/>
  <c r="H7" i="25"/>
  <c r="H8" i="25" s="1"/>
  <c r="H9" i="25" s="1"/>
  <c r="G7" i="25"/>
  <c r="G8" i="25" s="1"/>
  <c r="N7" i="25"/>
  <c r="N8" i="25" s="1"/>
  <c r="N9" i="25" s="1"/>
  <c r="P7" i="25"/>
  <c r="P8" i="25" s="1"/>
  <c r="P9" i="25" s="1"/>
  <c r="Q7" i="24"/>
  <c r="Q8" i="24" s="1"/>
  <c r="Q9" i="24" s="1"/>
  <c r="L7" i="24"/>
  <c r="L8" i="24" s="1"/>
  <c r="L9" i="24" s="1"/>
  <c r="N7" i="24"/>
  <c r="N8" i="24" s="1"/>
  <c r="N9" i="24" s="1"/>
  <c r="H7" i="24"/>
  <c r="H8" i="24" s="1"/>
  <c r="H9" i="24" s="1"/>
  <c r="M7" i="24"/>
  <c r="M8" i="24" s="1"/>
  <c r="M9" i="24" s="1"/>
  <c r="G7" i="24"/>
  <c r="G8" i="24" s="1"/>
  <c r="J7" i="24"/>
  <c r="J8" i="24" s="1"/>
  <c r="J9" i="24" s="1"/>
  <c r="O7" i="24"/>
  <c r="O8" i="24" s="1"/>
  <c r="O9" i="24" s="1"/>
  <c r="K7" i="24"/>
  <c r="K8" i="24" s="1"/>
  <c r="K9" i="24" s="1"/>
  <c r="P7" i="24"/>
  <c r="P8" i="24" s="1"/>
  <c r="P9" i="24" s="1"/>
  <c r="I7" i="24"/>
  <c r="I8" i="24" s="1"/>
  <c r="I9" i="24" s="1"/>
  <c r="L7" i="21"/>
  <c r="L8" i="21" s="1"/>
  <c r="L9" i="21" s="1"/>
  <c r="N7" i="21"/>
  <c r="N8" i="21" s="1"/>
  <c r="N9" i="21" s="1"/>
  <c r="P7" i="21"/>
  <c r="P8" i="21" s="1"/>
  <c r="P9" i="21" s="1"/>
  <c r="U10" i="19"/>
  <c r="W6" i="19"/>
  <c r="V6" i="19"/>
  <c r="U6" i="19"/>
  <c r="M5" i="17"/>
  <c r="L10" i="17" s="1"/>
  <c r="N5" i="17"/>
  <c r="M6" i="17" s="1"/>
  <c r="Z27" i="16"/>
  <c r="P6" i="17"/>
  <c r="N6" i="17"/>
  <c r="X5" i="16"/>
  <c r="E4" i="15"/>
  <c r="O7" i="21" l="1"/>
  <c r="O8" i="21" s="1"/>
  <c r="O9" i="21" s="1"/>
  <c r="R7" i="21"/>
  <c r="R8" i="21" s="1"/>
  <c r="R9" i="21" s="1"/>
  <c r="I7" i="21"/>
  <c r="I8" i="21" s="1"/>
  <c r="I9" i="21" s="1"/>
  <c r="J7" i="21"/>
  <c r="J8" i="21" s="1"/>
  <c r="J9" i="21" s="1"/>
  <c r="Q7" i="21"/>
  <c r="Q8" i="21" s="1"/>
  <c r="Q9" i="21" s="1"/>
  <c r="K7" i="21"/>
  <c r="K8" i="21" s="1"/>
  <c r="K9" i="21" s="1"/>
  <c r="H7" i="21"/>
  <c r="H8" i="21" s="1"/>
  <c r="G9" i="28"/>
  <c r="T8" i="28"/>
  <c r="S8" i="28"/>
  <c r="S5" i="28" s="1"/>
  <c r="G9" i="27"/>
  <c r="T8" i="27"/>
  <c r="S8" i="27"/>
  <c r="S5" i="27" s="1"/>
  <c r="G9" i="26"/>
  <c r="T8" i="26"/>
  <c r="S8" i="26"/>
  <c r="S5" i="26" s="1"/>
  <c r="S8" i="25"/>
  <c r="S5" i="25" s="1"/>
  <c r="G9" i="25"/>
  <c r="T8" i="25"/>
  <c r="G9" i="24"/>
  <c r="T8" i="24"/>
  <c r="S8" i="24"/>
  <c r="S5" i="24" s="1"/>
  <c r="M10" i="17"/>
  <c r="P7" i="19"/>
  <c r="P8" i="19" s="1"/>
  <c r="P9" i="19" s="1"/>
  <c r="M7" i="19"/>
  <c r="M8" i="19" s="1"/>
  <c r="M9" i="19" s="1"/>
  <c r="I7" i="19"/>
  <c r="I8" i="19" s="1"/>
  <c r="I9" i="19" s="1"/>
  <c r="N7" i="19"/>
  <c r="N8" i="19" s="1"/>
  <c r="N9" i="19" s="1"/>
  <c r="Q7" i="19"/>
  <c r="Q8" i="19" s="1"/>
  <c r="Q9" i="19" s="1"/>
  <c r="G7" i="19"/>
  <c r="G8" i="19" s="1"/>
  <c r="J7" i="19"/>
  <c r="J8" i="19" s="1"/>
  <c r="J9" i="19" s="1"/>
  <c r="O7" i="19"/>
  <c r="O8" i="19" s="1"/>
  <c r="O9" i="19" s="1"/>
  <c r="K7" i="19"/>
  <c r="K8" i="19" s="1"/>
  <c r="K9" i="19" s="1"/>
  <c r="L7" i="19"/>
  <c r="L8" i="19" s="1"/>
  <c r="L9" i="19" s="1"/>
  <c r="H7" i="19"/>
  <c r="H8" i="19" s="1"/>
  <c r="H9" i="19" s="1"/>
  <c r="J5" i="17"/>
  <c r="K5" i="17"/>
  <c r="I5" i="17"/>
  <c r="I6" i="17" s="1"/>
  <c r="H5" i="17"/>
  <c r="H6" i="17" s="1"/>
  <c r="G5" i="17"/>
  <c r="G6" i="17" s="1"/>
  <c r="F5" i="17"/>
  <c r="F10" i="17" s="1"/>
  <c r="L5" i="17"/>
  <c r="L6" i="17"/>
  <c r="P10" i="17"/>
  <c r="X6" i="16"/>
  <c r="T5" i="16"/>
  <c r="V5" i="16"/>
  <c r="V10" i="16" s="1"/>
  <c r="X10" i="16"/>
  <c r="W5" i="16"/>
  <c r="W10" i="16" s="1"/>
  <c r="T10" i="16"/>
  <c r="U5" i="16"/>
  <c r="U6" i="16" s="1"/>
  <c r="V6" i="16"/>
  <c r="S26" i="15"/>
  <c r="R26" i="15"/>
  <c r="Q26" i="15"/>
  <c r="P26" i="15"/>
  <c r="O26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T8" i="21" l="1"/>
  <c r="U8" i="21"/>
  <c r="R68" i="1" s="1"/>
  <c r="T8" i="19"/>
  <c r="R65" i="1" s="1"/>
  <c r="G9" i="19"/>
  <c r="S8" i="19"/>
  <c r="H10" i="17"/>
  <c r="G10" i="17"/>
  <c r="F6" i="17"/>
  <c r="U6" i="17" s="1" a="1"/>
  <c r="K6" i="17"/>
  <c r="K10" i="17"/>
  <c r="I10" i="17"/>
  <c r="J10" i="17"/>
  <c r="J6" i="17"/>
  <c r="U10" i="16"/>
  <c r="O5" i="16"/>
  <c r="O10" i="16" s="1"/>
  <c r="Y5" i="16"/>
  <c r="Y10" i="16" s="1"/>
  <c r="Q5" i="16"/>
  <c r="Q6" i="16" s="1"/>
  <c r="R5" i="16"/>
  <c r="R6" i="16" s="1"/>
  <c r="W6" i="16"/>
  <c r="T6" i="16"/>
  <c r="P5" i="16"/>
  <c r="P6" i="16" s="1"/>
  <c r="S5" i="16"/>
  <c r="S10" i="16" s="1"/>
  <c r="X26" i="15"/>
  <c r="W26" i="15"/>
  <c r="V26" i="15"/>
  <c r="U26" i="15"/>
  <c r="T26" i="15"/>
  <c r="AC3" i="15"/>
  <c r="AB3" i="15"/>
  <c r="Z3" i="15"/>
  <c r="Y3" i="15"/>
  <c r="X3" i="15"/>
  <c r="W3" i="15"/>
  <c r="V3" i="15"/>
  <c r="U3" i="15"/>
  <c r="T3" i="15"/>
  <c r="S3" i="15"/>
  <c r="R3" i="15"/>
  <c r="Q3" i="15"/>
  <c r="P3" i="15"/>
  <c r="O3" i="15"/>
  <c r="Y2" i="15"/>
  <c r="X2" i="15"/>
  <c r="W2" i="15"/>
  <c r="V2" i="15"/>
  <c r="U2" i="15"/>
  <c r="T2" i="15"/>
  <c r="S2" i="15"/>
  <c r="R2" i="15"/>
  <c r="Q2" i="15"/>
  <c r="P2" i="15"/>
  <c r="O2" i="15"/>
  <c r="Q70" i="1" l="1"/>
  <c r="Q68" i="1"/>
  <c r="Q69" i="1" s="1"/>
  <c r="Q65" i="1"/>
  <c r="E65" i="1" s="1"/>
  <c r="S5" i="19"/>
  <c r="Q67" i="1" s="1"/>
  <c r="V10" i="17"/>
  <c r="V6" i="17"/>
  <c r="U6" i="17"/>
  <c r="W6" i="17"/>
  <c r="Y6" i="16"/>
  <c r="Z26" i="15"/>
  <c r="X5" i="15" s="1"/>
  <c r="O5" i="15" s="1"/>
  <c r="O6" i="16"/>
  <c r="R10" i="16"/>
  <c r="AF10" i="16" s="1"/>
  <c r="P10" i="16"/>
  <c r="S6" i="16"/>
  <c r="Q10" i="16"/>
  <c r="K7" i="17" l="1"/>
  <c r="K8" i="17" s="1"/>
  <c r="K9" i="17" s="1"/>
  <c r="R70" i="1"/>
  <c r="R69" i="1" s="1"/>
  <c r="L70" i="1"/>
  <c r="K70" i="1"/>
  <c r="J70" i="1"/>
  <c r="I70" i="1"/>
  <c r="H70" i="1"/>
  <c r="G70" i="1"/>
  <c r="N70" i="1"/>
  <c r="F70" i="1"/>
  <c r="E70" i="1"/>
  <c r="M70" i="1"/>
  <c r="P7" i="17"/>
  <c r="P8" i="17" s="1"/>
  <c r="P9" i="17" s="1"/>
  <c r="M68" i="1"/>
  <c r="K68" i="1"/>
  <c r="I68" i="1"/>
  <c r="J68" i="1"/>
  <c r="G68" i="1"/>
  <c r="L68" i="1"/>
  <c r="L69" i="1" s="1"/>
  <c r="E68" i="1"/>
  <c r="F68" i="1"/>
  <c r="H68" i="1"/>
  <c r="N68" i="1"/>
  <c r="I67" i="1"/>
  <c r="N67" i="1"/>
  <c r="F67" i="1"/>
  <c r="M67" i="1"/>
  <c r="L67" i="1"/>
  <c r="G67" i="1"/>
  <c r="K67" i="1"/>
  <c r="H67" i="1"/>
  <c r="J67" i="1"/>
  <c r="E67" i="1"/>
  <c r="R67" i="1"/>
  <c r="R66" i="1" s="1"/>
  <c r="Q66" i="1"/>
  <c r="H65" i="1"/>
  <c r="M65" i="1"/>
  <c r="L65" i="1"/>
  <c r="G65" i="1"/>
  <c r="K65" i="1"/>
  <c r="F65" i="1"/>
  <c r="I65" i="1"/>
  <c r="N65" i="1"/>
  <c r="J65" i="1"/>
  <c r="F7" i="17"/>
  <c r="W5" i="15"/>
  <c r="X6" i="15"/>
  <c r="V5" i="15"/>
  <c r="U5" i="15"/>
  <c r="U10" i="15" s="1"/>
  <c r="T5" i="15"/>
  <c r="P5" i="15"/>
  <c r="R5" i="15"/>
  <c r="X10" i="15"/>
  <c r="S5" i="15"/>
  <c r="Y5" i="15" s="1"/>
  <c r="Q5" i="15"/>
  <c r="M7" i="17"/>
  <c r="M8" i="17" s="1"/>
  <c r="M9" i="17" s="1"/>
  <c r="O7" i="17"/>
  <c r="O8" i="17" s="1"/>
  <c r="O9" i="17" s="1"/>
  <c r="J7" i="17"/>
  <c r="J8" i="17" s="1"/>
  <c r="J9" i="17" s="1"/>
  <c r="N7" i="17"/>
  <c r="N8" i="17" s="1"/>
  <c r="N9" i="17" s="1"/>
  <c r="I7" i="17"/>
  <c r="I8" i="17" s="1"/>
  <c r="I9" i="17" s="1"/>
  <c r="G7" i="17"/>
  <c r="G8" i="17" s="1"/>
  <c r="G9" i="17" s="1"/>
  <c r="H7" i="17"/>
  <c r="H8" i="17" s="1"/>
  <c r="L7" i="17"/>
  <c r="L8" i="17" s="1"/>
  <c r="L9" i="17" s="1"/>
  <c r="AE6" i="16" a="1"/>
  <c r="W10" i="15"/>
  <c r="W6" i="15"/>
  <c r="T6" i="15"/>
  <c r="T10" i="15"/>
  <c r="V10" i="15"/>
  <c r="V6" i="15"/>
  <c r="Y58" i="13"/>
  <c r="Y49" i="13"/>
  <c r="Y40" i="13"/>
  <c r="Y31" i="13"/>
  <c r="Y22" i="13"/>
  <c r="Y13" i="13"/>
  <c r="N69" i="1" l="1"/>
  <c r="F69" i="1"/>
  <c r="N66" i="1"/>
  <c r="J66" i="1"/>
  <c r="K69" i="1"/>
  <c r="H69" i="1"/>
  <c r="I66" i="1"/>
  <c r="I69" i="1"/>
  <c r="M69" i="1"/>
  <c r="E69" i="1"/>
  <c r="G69" i="1"/>
  <c r="J69" i="1"/>
  <c r="M66" i="1"/>
  <c r="G66" i="1"/>
  <c r="L66" i="1"/>
  <c r="F66" i="1"/>
  <c r="F8" i="17"/>
  <c r="F9" i="17" s="1"/>
  <c r="H66" i="1"/>
  <c r="H9" i="17"/>
  <c r="R8" i="17"/>
  <c r="Q62" i="1" s="1"/>
  <c r="S8" i="17"/>
  <c r="R62" i="1" s="1"/>
  <c r="K66" i="1"/>
  <c r="U6" i="15"/>
  <c r="AF6" i="16"/>
  <c r="AE6" i="16"/>
  <c r="AG6" i="16"/>
  <c r="S6" i="15"/>
  <c r="S10" i="15"/>
  <c r="O10" i="15"/>
  <c r="O6" i="15"/>
  <c r="P10" i="15"/>
  <c r="P6" i="15"/>
  <c r="Y6" i="15"/>
  <c r="Y10" i="15"/>
  <c r="Q6" i="15"/>
  <c r="Q10" i="15"/>
  <c r="R6" i="15"/>
  <c r="R10" i="15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Y57" i="13"/>
  <c r="X57" i="13"/>
  <c r="W57" i="13"/>
  <c r="V57" i="13"/>
  <c r="U57" i="13"/>
  <c r="T57" i="13"/>
  <c r="S57" i="13"/>
  <c r="R57" i="13"/>
  <c r="Q57" i="13"/>
  <c r="P57" i="13"/>
  <c r="O57" i="13"/>
  <c r="N57" i="13"/>
  <c r="M57" i="13"/>
  <c r="L57" i="13"/>
  <c r="K57" i="13"/>
  <c r="J58" i="13"/>
  <c r="J57" i="13"/>
  <c r="Y50" i="13"/>
  <c r="X50" i="13"/>
  <c r="W50" i="13"/>
  <c r="V50" i="13"/>
  <c r="U50" i="13"/>
  <c r="T50" i="13"/>
  <c r="S50" i="13"/>
  <c r="R50" i="13"/>
  <c r="Q50" i="13"/>
  <c r="P50" i="13"/>
  <c r="O50" i="13"/>
  <c r="N50" i="13"/>
  <c r="M50" i="13"/>
  <c r="L50" i="13"/>
  <c r="K50" i="13"/>
  <c r="X49" i="13"/>
  <c r="W49" i="13"/>
  <c r="V49" i="13"/>
  <c r="U49" i="13"/>
  <c r="T49" i="13"/>
  <c r="S49" i="13"/>
  <c r="R49" i="13"/>
  <c r="Q49" i="13"/>
  <c r="P49" i="13"/>
  <c r="O49" i="13"/>
  <c r="N49" i="13"/>
  <c r="M49" i="13"/>
  <c r="L49" i="13"/>
  <c r="K49" i="13"/>
  <c r="Y48" i="13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K48" i="13"/>
  <c r="J50" i="13"/>
  <c r="J49" i="13"/>
  <c r="J48" i="13"/>
  <c r="Y41" i="13"/>
  <c r="X41" i="13"/>
  <c r="W41" i="13"/>
  <c r="V41" i="13"/>
  <c r="U41" i="13"/>
  <c r="T41" i="13"/>
  <c r="S41" i="13"/>
  <c r="R41" i="13"/>
  <c r="Q41" i="13"/>
  <c r="P41" i="13"/>
  <c r="O41" i="13"/>
  <c r="N41" i="13"/>
  <c r="M41" i="13"/>
  <c r="L41" i="13"/>
  <c r="K41" i="13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K40" i="13"/>
  <c r="Y39" i="13"/>
  <c r="X39" i="13"/>
  <c r="W39" i="13"/>
  <c r="V39" i="13"/>
  <c r="U39" i="13"/>
  <c r="T39" i="13"/>
  <c r="S39" i="13"/>
  <c r="R39" i="13"/>
  <c r="Q39" i="13"/>
  <c r="P39" i="13"/>
  <c r="O39" i="13"/>
  <c r="N39" i="13"/>
  <c r="M39" i="13"/>
  <c r="L39" i="13"/>
  <c r="K39" i="13"/>
  <c r="J41" i="13"/>
  <c r="J40" i="13"/>
  <c r="J39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31" i="13"/>
  <c r="J30" i="13"/>
  <c r="Y14" i="13"/>
  <c r="J23" i="13"/>
  <c r="J22" i="13"/>
  <c r="J21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Y103" i="13"/>
  <c r="Y59" i="13" s="1"/>
  <c r="X103" i="13"/>
  <c r="X59" i="13" s="1"/>
  <c r="W103" i="13"/>
  <c r="W59" i="13" s="1"/>
  <c r="V103" i="13"/>
  <c r="V59" i="13" s="1"/>
  <c r="U103" i="13"/>
  <c r="U59" i="13" s="1"/>
  <c r="T103" i="13"/>
  <c r="T59" i="13" s="1"/>
  <c r="S103" i="13"/>
  <c r="S59" i="13" s="1"/>
  <c r="R103" i="13"/>
  <c r="R59" i="13" s="1"/>
  <c r="Q103" i="13"/>
  <c r="Q59" i="13" s="1"/>
  <c r="P103" i="13"/>
  <c r="P59" i="13" s="1"/>
  <c r="O103" i="13"/>
  <c r="O59" i="13" s="1"/>
  <c r="N103" i="13"/>
  <c r="N59" i="13" s="1"/>
  <c r="M103" i="13"/>
  <c r="M59" i="13" s="1"/>
  <c r="L103" i="13"/>
  <c r="L59" i="13" s="1"/>
  <c r="K103" i="13"/>
  <c r="K59" i="13" s="1"/>
  <c r="J103" i="13"/>
  <c r="J59" i="13" s="1"/>
  <c r="Y98" i="13"/>
  <c r="Y32" i="13" s="1"/>
  <c r="X98" i="13"/>
  <c r="X32" i="13" s="1"/>
  <c r="W98" i="13"/>
  <c r="W32" i="13" s="1"/>
  <c r="V98" i="13"/>
  <c r="V32" i="13" s="1"/>
  <c r="U98" i="13"/>
  <c r="U32" i="13" s="1"/>
  <c r="T98" i="13"/>
  <c r="T32" i="13" s="1"/>
  <c r="S98" i="13"/>
  <c r="S32" i="13" s="1"/>
  <c r="R98" i="13"/>
  <c r="R32" i="13" s="1"/>
  <c r="Q98" i="13"/>
  <c r="Q32" i="13" s="1"/>
  <c r="P98" i="13"/>
  <c r="P32" i="13" s="1"/>
  <c r="O98" i="13"/>
  <c r="O32" i="13" s="1"/>
  <c r="N98" i="13"/>
  <c r="N32" i="13" s="1"/>
  <c r="M98" i="13"/>
  <c r="M32" i="13" s="1"/>
  <c r="L98" i="13"/>
  <c r="L32" i="13" s="1"/>
  <c r="K98" i="13"/>
  <c r="K32" i="13" s="1"/>
  <c r="J98" i="13"/>
  <c r="J32" i="13" s="1"/>
  <c r="T7" i="16" l="1"/>
  <c r="T8" i="16" s="1"/>
  <c r="T9" i="16" s="1"/>
  <c r="U7" i="16"/>
  <c r="U8" i="16" s="1"/>
  <c r="U9" i="16" s="1"/>
  <c r="E66" i="1"/>
  <c r="Q7" i="16"/>
  <c r="Q8" i="16" s="1"/>
  <c r="Q9" i="16" s="1"/>
  <c r="V7" i="16"/>
  <c r="V8" i="16" s="1"/>
  <c r="V9" i="16" s="1"/>
  <c r="R7" i="16"/>
  <c r="R8" i="16" s="1"/>
  <c r="R9" i="16" s="1"/>
  <c r="Y7" i="16"/>
  <c r="Y8" i="16" s="1"/>
  <c r="Y9" i="16" s="1"/>
  <c r="R5" i="17"/>
  <c r="Q64" i="1" s="1"/>
  <c r="W7" i="16"/>
  <c r="W8" i="16" s="1"/>
  <c r="W9" i="16" s="1"/>
  <c r="S7" i="16"/>
  <c r="S8" i="16" s="1"/>
  <c r="S9" i="16" s="1"/>
  <c r="O7" i="16"/>
  <c r="O8" i="16" s="1"/>
  <c r="O9" i="16" s="1"/>
  <c r="P7" i="16"/>
  <c r="P8" i="16" s="1"/>
  <c r="P9" i="16" s="1"/>
  <c r="X7" i="16"/>
  <c r="X8" i="16" s="1"/>
  <c r="X9" i="16" s="1"/>
  <c r="AE6" i="15" a="1"/>
  <c r="AF6" i="15" s="1"/>
  <c r="AF10" i="15"/>
  <c r="O30" i="7"/>
  <c r="N30" i="7"/>
  <c r="M30" i="7"/>
  <c r="L30" i="7"/>
  <c r="K30" i="7"/>
  <c r="J30" i="7"/>
  <c r="I30" i="7"/>
  <c r="H30" i="7"/>
  <c r="G30" i="7"/>
  <c r="F30" i="7"/>
  <c r="R64" i="1" l="1"/>
  <c r="R63" i="1" s="1"/>
  <c r="L64" i="1"/>
  <c r="H64" i="1"/>
  <c r="E64" i="1"/>
  <c r="M64" i="1"/>
  <c r="K64" i="1"/>
  <c r="F64" i="1"/>
  <c r="G64" i="1"/>
  <c r="N64" i="1"/>
  <c r="J64" i="1"/>
  <c r="I64" i="1"/>
  <c r="AB8" i="16"/>
  <c r="Q56" i="1" s="1"/>
  <c r="G56" i="1" s="1"/>
  <c r="AC8" i="16"/>
  <c r="R56" i="1" s="1"/>
  <c r="Q63" i="1"/>
  <c r="Q30" i="7"/>
  <c r="AG6" i="15"/>
  <c r="AE6" i="15"/>
  <c r="P4" i="7"/>
  <c r="O4" i="7"/>
  <c r="N4" i="7"/>
  <c r="M4" i="7"/>
  <c r="L4" i="7"/>
  <c r="K4" i="7"/>
  <c r="J4" i="7"/>
  <c r="I4" i="7"/>
  <c r="H4" i="7"/>
  <c r="G4" i="7"/>
  <c r="F4" i="7"/>
  <c r="E4" i="7"/>
  <c r="AB5" i="16" l="1"/>
  <c r="Q58" i="1" s="1"/>
  <c r="Q57" i="1" s="1"/>
  <c r="M56" i="1"/>
  <c r="N56" i="1"/>
  <c r="F56" i="1"/>
  <c r="E56" i="1"/>
  <c r="K56" i="1"/>
  <c r="I56" i="1"/>
  <c r="J56" i="1"/>
  <c r="L56" i="1"/>
  <c r="H56" i="1"/>
  <c r="O7" i="15"/>
  <c r="O8" i="15" s="1"/>
  <c r="O9" i="15" s="1"/>
  <c r="U7" i="15"/>
  <c r="U8" i="15" s="1"/>
  <c r="U9" i="15" s="1"/>
  <c r="T7" i="15"/>
  <c r="T8" i="15" s="1"/>
  <c r="T9" i="15" s="1"/>
  <c r="S7" i="15"/>
  <c r="S8" i="15" s="1"/>
  <c r="S9" i="15" s="1"/>
  <c r="R7" i="15"/>
  <c r="R8" i="15" s="1"/>
  <c r="R9" i="15" s="1"/>
  <c r="Y7" i="15"/>
  <c r="Y8" i="15" s="1"/>
  <c r="Y9" i="15" s="1"/>
  <c r="Q7" i="15"/>
  <c r="Q8" i="15" s="1"/>
  <c r="X7" i="15"/>
  <c r="X8" i="15" s="1"/>
  <c r="X9" i="15" s="1"/>
  <c r="P7" i="15"/>
  <c r="P8" i="15" s="1"/>
  <c r="P9" i="15" s="1"/>
  <c r="W7" i="15"/>
  <c r="W8" i="15" s="1"/>
  <c r="W9" i="15" s="1"/>
  <c r="V7" i="15"/>
  <c r="V8" i="15" s="1"/>
  <c r="V9" i="15" s="1"/>
  <c r="O5" i="7"/>
  <c r="L58" i="1" l="1"/>
  <c r="K58" i="1"/>
  <c r="E58" i="1"/>
  <c r="G58" i="1"/>
  <c r="G57" i="1" s="1"/>
  <c r="N58" i="1"/>
  <c r="N57" i="1" s="1"/>
  <c r="H58" i="1"/>
  <c r="H57" i="1" s="1"/>
  <c r="M58" i="1"/>
  <c r="M57" i="1" s="1"/>
  <c r="R58" i="1"/>
  <c r="R57" i="1" s="1"/>
  <c r="J58" i="1"/>
  <c r="J57" i="1" s="1"/>
  <c r="I58" i="1"/>
  <c r="I57" i="1" s="1"/>
  <c r="F58" i="1"/>
  <c r="F57" i="1"/>
  <c r="K57" i="1"/>
  <c r="O10" i="7"/>
  <c r="F5" i="7"/>
  <c r="F10" i="7" s="1"/>
  <c r="E57" i="1"/>
  <c r="L57" i="1"/>
  <c r="Q9" i="15"/>
  <c r="AC8" i="15"/>
  <c r="R53" i="1" s="1"/>
  <c r="AB8" i="15"/>
  <c r="H5" i="7"/>
  <c r="H10" i="7" s="1"/>
  <c r="N5" i="7"/>
  <c r="N10" i="7" s="1"/>
  <c r="M5" i="7"/>
  <c r="M10" i="7" s="1"/>
  <c r="K5" i="7"/>
  <c r="K10" i="7" s="1"/>
  <c r="J5" i="7"/>
  <c r="J10" i="7" s="1"/>
  <c r="I5" i="7"/>
  <c r="I10" i="7" s="1"/>
  <c r="G5" i="7"/>
  <c r="G10" i="7" s="1"/>
  <c r="L5" i="7"/>
  <c r="L10" i="7" s="1"/>
  <c r="O6" i="7"/>
  <c r="P5" i="7" l="1"/>
  <c r="P10" i="7" s="1"/>
  <c r="T10" i="7" s="1"/>
  <c r="Q53" i="1"/>
  <c r="G53" i="1" s="1"/>
  <c r="AB5" i="15"/>
  <c r="Q55" i="1" s="1"/>
  <c r="K6" i="7"/>
  <c r="I6" i="7"/>
  <c r="M6" i="7"/>
  <c r="F6" i="7"/>
  <c r="N6" i="7"/>
  <c r="G6" i="7"/>
  <c r="J6" i="7"/>
  <c r="L6" i="7"/>
  <c r="H6" i="7"/>
  <c r="P6" i="7" l="1"/>
  <c r="K55" i="1"/>
  <c r="J55" i="1"/>
  <c r="I55" i="1"/>
  <c r="H55" i="1"/>
  <c r="G55" i="1"/>
  <c r="G54" i="1" s="1"/>
  <c r="M55" i="1"/>
  <c r="L55" i="1"/>
  <c r="N55" i="1"/>
  <c r="F55" i="1"/>
  <c r="E55" i="1"/>
  <c r="R55" i="1"/>
  <c r="R54" i="1" s="1"/>
  <c r="Q54" i="1"/>
  <c r="H53" i="1"/>
  <c r="N53" i="1"/>
  <c r="F53" i="1"/>
  <c r="F54" i="1" s="1"/>
  <c r="I53" i="1"/>
  <c r="J53" i="1"/>
  <c r="L53" i="1"/>
  <c r="K53" i="1"/>
  <c r="K54" i="1" s="1"/>
  <c r="M53" i="1"/>
  <c r="E53" i="1"/>
  <c r="AC87" i="13"/>
  <c r="AB87" i="13"/>
  <c r="AA87" i="13"/>
  <c r="Z87" i="13"/>
  <c r="Y87" i="13"/>
  <c r="AC3" i="13"/>
  <c r="AB3" i="13"/>
  <c r="Z3" i="13"/>
  <c r="Y3" i="13"/>
  <c r="X3" i="13"/>
  <c r="W3" i="13"/>
  <c r="V3" i="13"/>
  <c r="U3" i="13"/>
  <c r="T3" i="13"/>
  <c r="S3" i="13"/>
  <c r="R3" i="13"/>
  <c r="Q3" i="13"/>
  <c r="P3" i="13"/>
  <c r="O3" i="13"/>
  <c r="Y2" i="13"/>
  <c r="X2" i="13"/>
  <c r="W2" i="13"/>
  <c r="V2" i="13"/>
  <c r="U2" i="13"/>
  <c r="T2" i="13"/>
  <c r="S2" i="13"/>
  <c r="R2" i="13"/>
  <c r="Q2" i="13"/>
  <c r="P2" i="13"/>
  <c r="O2" i="13"/>
  <c r="H54" i="1" l="1"/>
  <c r="J54" i="1"/>
  <c r="N54" i="1"/>
  <c r="M54" i="1"/>
  <c r="L54" i="1"/>
  <c r="E54" i="1"/>
  <c r="I54" i="1"/>
  <c r="AE87" i="13"/>
  <c r="X5" i="13" s="1"/>
  <c r="X6" i="13" s="1"/>
  <c r="BF57" i="12"/>
  <c r="BK57" i="12"/>
  <c r="BK12" i="12" s="1"/>
  <c r="BJ57" i="12"/>
  <c r="BJ12" i="12" s="1"/>
  <c r="BK62" i="12"/>
  <c r="BK67" i="12" s="1"/>
  <c r="BJ62" i="12"/>
  <c r="BJ67" i="12" s="1"/>
  <c r="BK60" i="12"/>
  <c r="BJ60" i="12"/>
  <c r="BC69" i="12"/>
  <c r="AX69" i="12"/>
  <c r="BB20" i="12"/>
  <c r="BA20" i="12"/>
  <c r="AZ20" i="12"/>
  <c r="AW20" i="12"/>
  <c r="BD16" i="12"/>
  <c r="BC16" i="12"/>
  <c r="AZ16" i="12"/>
  <c r="AW16" i="12"/>
  <c r="BE12" i="12"/>
  <c r="BD12" i="12"/>
  <c r="BE62" i="12"/>
  <c r="BF62" i="12"/>
  <c r="BF60" i="12"/>
  <c r="BE60" i="12"/>
  <c r="BD67" i="12"/>
  <c r="BD20" i="12" s="1"/>
  <c r="BC67" i="12"/>
  <c r="BC20" i="12" s="1"/>
  <c r="BB67" i="12"/>
  <c r="BB69" i="12" s="1"/>
  <c r="BA67" i="12"/>
  <c r="BA69" i="12" s="1"/>
  <c r="AZ67" i="12"/>
  <c r="AZ69" i="12" s="1"/>
  <c r="AY67" i="12"/>
  <c r="AY69" i="12" s="1"/>
  <c r="AX67" i="12"/>
  <c r="AX20" i="12" s="1"/>
  <c r="AW67" i="12"/>
  <c r="AV67" i="12"/>
  <c r="AU67" i="12"/>
  <c r="AT67" i="12"/>
  <c r="BD61" i="12"/>
  <c r="BC61" i="12"/>
  <c r="BB61" i="12"/>
  <c r="BB16" i="12" s="1"/>
  <c r="BA61" i="12"/>
  <c r="BA16" i="12" s="1"/>
  <c r="AZ61" i="12"/>
  <c r="AY61" i="12"/>
  <c r="AY16" i="12" s="1"/>
  <c r="AX61" i="12"/>
  <c r="AX16" i="12" s="1"/>
  <c r="AW61" i="12"/>
  <c r="AV61" i="12"/>
  <c r="AU61" i="12"/>
  <c r="AT61" i="12"/>
  <c r="BD59" i="12"/>
  <c r="BC59" i="12"/>
  <c r="BB59" i="12"/>
  <c r="BA59" i="12"/>
  <c r="AZ59" i="12"/>
  <c r="AY59" i="12"/>
  <c r="AX59" i="12"/>
  <c r="AW59" i="12"/>
  <c r="AV59" i="12"/>
  <c r="AU59" i="12"/>
  <c r="AT59" i="12"/>
  <c r="BE57" i="12"/>
  <c r="BD57" i="12"/>
  <c r="BC57" i="12"/>
  <c r="BC12" i="12" s="1"/>
  <c r="BB57" i="12"/>
  <c r="BB12" i="12" s="1"/>
  <c r="BA57" i="12"/>
  <c r="BA12" i="12" s="1"/>
  <c r="AZ57" i="12"/>
  <c r="AZ12" i="12" s="1"/>
  <c r="AY57" i="12"/>
  <c r="AY12" i="12" s="1"/>
  <c r="AX57" i="12"/>
  <c r="AX12" i="12" s="1"/>
  <c r="AW57" i="12"/>
  <c r="AW12" i="12" s="1"/>
  <c r="AV57" i="12"/>
  <c r="AU57" i="12"/>
  <c r="AT57" i="12"/>
  <c r="BC73" i="12"/>
  <c r="BC74" i="12"/>
  <c r="BK3" i="12"/>
  <c r="BJ3" i="12"/>
  <c r="BB39" i="12"/>
  <c r="BM39" i="12" s="1"/>
  <c r="BC39" i="12"/>
  <c r="BD39" i="12"/>
  <c r="BE39" i="12"/>
  <c r="BF39" i="12"/>
  <c r="BG39" i="12"/>
  <c r="BB4" i="12"/>
  <c r="BA4" i="12"/>
  <c r="AZ4" i="12"/>
  <c r="BB101" i="12"/>
  <c r="BA101" i="12"/>
  <c r="AZ101" i="12"/>
  <c r="BC101" i="12" s="1"/>
  <c r="BC100" i="12"/>
  <c r="BF4" i="12" s="1"/>
  <c r="BC99" i="12"/>
  <c r="BE4" i="12" s="1"/>
  <c r="BC98" i="12"/>
  <c r="BD4" i="12" s="1"/>
  <c r="BC97" i="12"/>
  <c r="BC4" i="12" s="1"/>
  <c r="BC96" i="12"/>
  <c r="BC95" i="12"/>
  <c r="BC94" i="12"/>
  <c r="BC93" i="12"/>
  <c r="AY4" i="12" s="1"/>
  <c r="BC92" i="12"/>
  <c r="AX4" i="12" s="1"/>
  <c r="BC91" i="12"/>
  <c r="AW4" i="12" s="1"/>
  <c r="BC90" i="12"/>
  <c r="BC89" i="12"/>
  <c r="BC88" i="12"/>
  <c r="BC87" i="12"/>
  <c r="BC86" i="12"/>
  <c r="BC85" i="12"/>
  <c r="BC84" i="12"/>
  <c r="BC83" i="12"/>
  <c r="BC82" i="12"/>
  <c r="BC81" i="12"/>
  <c r="BC80" i="12"/>
  <c r="BC79" i="12"/>
  <c r="BC78" i="12"/>
  <c r="BC77" i="12"/>
  <c r="BC76" i="12"/>
  <c r="BC75" i="12"/>
  <c r="BK39" i="12"/>
  <c r="BJ39" i="12"/>
  <c r="BI39" i="12"/>
  <c r="BH39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BG2" i="12"/>
  <c r="BF2" i="12"/>
  <c r="BE2" i="12"/>
  <c r="BD2" i="12"/>
  <c r="BC2" i="12"/>
  <c r="BB2" i="12"/>
  <c r="BA2" i="12"/>
  <c r="AZ2" i="12"/>
  <c r="AY2" i="12"/>
  <c r="AX2" i="12"/>
  <c r="AW2" i="12"/>
  <c r="BJ20" i="12" l="1"/>
  <c r="BK20" i="12"/>
  <c r="BD69" i="12"/>
  <c r="AY20" i="12"/>
  <c r="U5" i="13"/>
  <c r="V5" i="13"/>
  <c r="V6" i="13" s="1"/>
  <c r="T5" i="13"/>
  <c r="T6" i="13" s="1"/>
  <c r="W5" i="13"/>
  <c r="W6" i="13" s="1"/>
  <c r="X10" i="13"/>
  <c r="BF12" i="12"/>
  <c r="BK61" i="12"/>
  <c r="BK16" i="12" s="1"/>
  <c r="BJ61" i="12"/>
  <c r="BJ16" i="12" s="1"/>
  <c r="BE61" i="12"/>
  <c r="BE16" i="12" s="1"/>
  <c r="BF67" i="12"/>
  <c r="BF20" i="12" s="1"/>
  <c r="BF61" i="12"/>
  <c r="BF16" i="12" s="1"/>
  <c r="BE67" i="12"/>
  <c r="BF5" i="12"/>
  <c r="BB5" i="12" l="1"/>
  <c r="BA5" i="12"/>
  <c r="AW5" i="12"/>
  <c r="AZ5" i="12"/>
  <c r="AX5" i="12"/>
  <c r="AY5" i="12"/>
  <c r="BF69" i="12"/>
  <c r="BE69" i="12"/>
  <c r="BE20" i="12"/>
  <c r="BK69" i="12"/>
  <c r="BJ69" i="12"/>
  <c r="W10" i="13"/>
  <c r="R5" i="13"/>
  <c r="R6" i="13" s="1"/>
  <c r="Q5" i="13"/>
  <c r="Q6" i="13" s="1"/>
  <c r="Y5" i="13"/>
  <c r="Y10" i="13" s="1"/>
  <c r="V10" i="13"/>
  <c r="S5" i="13"/>
  <c r="S6" i="13" s="1"/>
  <c r="T10" i="13"/>
  <c r="P5" i="13"/>
  <c r="P10" i="13" s="1"/>
  <c r="U10" i="13"/>
  <c r="U6" i="13"/>
  <c r="O5" i="13"/>
  <c r="O10" i="13" s="1"/>
  <c r="BF10" i="12"/>
  <c r="BF6" i="12"/>
  <c r="BC5" i="12"/>
  <c r="BC6" i="12" s="1"/>
  <c r="BE5" i="12"/>
  <c r="BE6" i="12" s="1"/>
  <c r="BD5" i="12"/>
  <c r="BB10" i="12"/>
  <c r="BB6" i="12"/>
  <c r="R10" i="13" l="1"/>
  <c r="Y6" i="13"/>
  <c r="Q10" i="13"/>
  <c r="S10" i="13"/>
  <c r="P6" i="13"/>
  <c r="O6" i="13"/>
  <c r="AX10" i="12"/>
  <c r="BA10" i="12"/>
  <c r="AY6" i="12"/>
  <c r="AW10" i="12"/>
  <c r="BE10" i="12"/>
  <c r="BD6" i="12"/>
  <c r="BD10" i="12"/>
  <c r="AZ6" i="12"/>
  <c r="BC10" i="12"/>
  <c r="AX6" i="12"/>
  <c r="BO73" i="11"/>
  <c r="BK24" i="11" s="1"/>
  <c r="BN73" i="11"/>
  <c r="BJ24" i="11" s="1"/>
  <c r="BO68" i="11"/>
  <c r="BK20" i="11" s="1"/>
  <c r="BN68" i="11"/>
  <c r="BJ20" i="11" s="1"/>
  <c r="BO55" i="11"/>
  <c r="BK16" i="11" s="1"/>
  <c r="BN55" i="11"/>
  <c r="BJ16" i="11" s="1"/>
  <c r="BO50" i="11"/>
  <c r="BK12" i="11" s="1"/>
  <c r="BN50" i="11"/>
  <c r="BJ12" i="11" s="1"/>
  <c r="BG4" i="11"/>
  <c r="BF4" i="11"/>
  <c r="BE4" i="11"/>
  <c r="BD4" i="1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BG24" i="11"/>
  <c r="BF24" i="11"/>
  <c r="BE24" i="11"/>
  <c r="BD24" i="11"/>
  <c r="BC24" i="11"/>
  <c r="BB24" i="11"/>
  <c r="BA24" i="11"/>
  <c r="AZ24" i="11"/>
  <c r="AY24" i="11"/>
  <c r="AX24" i="11"/>
  <c r="AW24" i="11"/>
  <c r="BG20" i="11"/>
  <c r="BF20" i="11"/>
  <c r="BE20" i="11"/>
  <c r="BD20" i="11"/>
  <c r="BC20" i="11"/>
  <c r="BB20" i="11"/>
  <c r="BA20" i="11"/>
  <c r="AZ20" i="11"/>
  <c r="AY20" i="11"/>
  <c r="AX20" i="11"/>
  <c r="BG16" i="11"/>
  <c r="BF16" i="11"/>
  <c r="BE16" i="11"/>
  <c r="BD16" i="11"/>
  <c r="BC16" i="11"/>
  <c r="BB16" i="11"/>
  <c r="BA16" i="11"/>
  <c r="AZ16" i="11"/>
  <c r="AY16" i="11"/>
  <c r="AX16" i="11"/>
  <c r="BG12" i="11"/>
  <c r="BF12" i="11"/>
  <c r="BE12" i="11"/>
  <c r="BD12" i="11"/>
  <c r="BC12" i="11"/>
  <c r="BB12" i="11"/>
  <c r="BA12" i="11"/>
  <c r="AZ12" i="11"/>
  <c r="AY12" i="11"/>
  <c r="AX12" i="11"/>
  <c r="AZ73" i="11"/>
  <c r="AZ68" i="11"/>
  <c r="AW20" i="11" s="1"/>
  <c r="AZ55" i="11"/>
  <c r="AW16" i="11" s="1"/>
  <c r="AZ50" i="11"/>
  <c r="AW12" i="11" s="1"/>
  <c r="AZ74" i="11" l="1"/>
  <c r="BN74" i="11"/>
  <c r="BO74" i="11"/>
  <c r="AF10" i="13"/>
  <c r="AE6" i="13" a="1"/>
  <c r="AG6" i="13" s="1"/>
  <c r="BA6" i="12"/>
  <c r="AY10" i="12"/>
  <c r="AW6" i="12"/>
  <c r="AZ10" i="12"/>
  <c r="BK44" i="11"/>
  <c r="BJ44" i="11"/>
  <c r="BI44" i="11"/>
  <c r="BH44" i="11"/>
  <c r="BG44" i="11"/>
  <c r="BI8" i="11"/>
  <c r="BH8" i="11"/>
  <c r="BK3" i="11"/>
  <c r="BJ3" i="11"/>
  <c r="BH3" i="11"/>
  <c r="BG3" i="11"/>
  <c r="BF3" i="11"/>
  <c r="BE3" i="11"/>
  <c r="BD3" i="11"/>
  <c r="BC3" i="11"/>
  <c r="BB3" i="11"/>
  <c r="BA3" i="11"/>
  <c r="AZ3" i="11"/>
  <c r="AY3" i="11"/>
  <c r="AX3" i="11"/>
  <c r="AW3" i="11"/>
  <c r="BG2" i="11"/>
  <c r="BF2" i="11"/>
  <c r="BE2" i="11"/>
  <c r="BD2" i="11"/>
  <c r="BC2" i="11"/>
  <c r="BB2" i="11"/>
  <c r="BA2" i="11"/>
  <c r="AZ2" i="11"/>
  <c r="AY2" i="11"/>
  <c r="AX2" i="11"/>
  <c r="AW2" i="11"/>
  <c r="BN10" i="12" l="1"/>
  <c r="AE6" i="13"/>
  <c r="AF6" i="13"/>
  <c r="BM6" i="12" a="1"/>
  <c r="BM44" i="11"/>
  <c r="BF5" i="11" s="1"/>
  <c r="BF10" i="11" s="1"/>
  <c r="Y7" i="13" l="1"/>
  <c r="Y8" i="13" s="1"/>
  <c r="Y9" i="13" s="1"/>
  <c r="Q7" i="13"/>
  <c r="Q8" i="13" s="1"/>
  <c r="Q9" i="13" s="1"/>
  <c r="S7" i="13"/>
  <c r="S8" i="13" s="1"/>
  <c r="S9" i="13" s="1"/>
  <c r="X7" i="13"/>
  <c r="X8" i="13" s="1"/>
  <c r="X9" i="13" s="1"/>
  <c r="O7" i="13"/>
  <c r="O8" i="13" s="1"/>
  <c r="O9" i="13" s="1"/>
  <c r="W7" i="13"/>
  <c r="W8" i="13" s="1"/>
  <c r="W9" i="13" s="1"/>
  <c r="T7" i="13"/>
  <c r="T8" i="13" s="1"/>
  <c r="T9" i="13" s="1"/>
  <c r="P7" i="13"/>
  <c r="P8" i="13" s="1"/>
  <c r="P9" i="13" s="1"/>
  <c r="U7" i="13"/>
  <c r="U8" i="13" s="1"/>
  <c r="U9" i="13" s="1"/>
  <c r="V7" i="13"/>
  <c r="V8" i="13" s="1"/>
  <c r="V9" i="13" s="1"/>
  <c r="R7" i="13"/>
  <c r="R8" i="13" s="1"/>
  <c r="R9" i="13" s="1"/>
  <c r="BO6" i="12"/>
  <c r="BM6" i="12"/>
  <c r="BN6" i="12"/>
  <c r="BB5" i="11"/>
  <c r="BB6" i="11" s="1"/>
  <c r="BC5" i="11"/>
  <c r="BE5" i="11"/>
  <c r="BD5" i="11"/>
  <c r="AY5" i="11" s="1"/>
  <c r="BB10" i="11"/>
  <c r="BF6" i="11"/>
  <c r="BE10" i="11"/>
  <c r="BG5" i="11"/>
  <c r="BE6" i="11"/>
  <c r="BA5" i="11"/>
  <c r="AY2" i="6"/>
  <c r="AX5" i="11" l="1"/>
  <c r="AX6" i="11" s="1"/>
  <c r="AZ7" i="12"/>
  <c r="AZ8" i="12" s="1"/>
  <c r="AZ9" i="12" s="1"/>
  <c r="AB8" i="13"/>
  <c r="H29" i="1" s="1"/>
  <c r="AC8" i="13"/>
  <c r="R29" i="1" s="1"/>
  <c r="BA7" i="12"/>
  <c r="BA8" i="12" s="1"/>
  <c r="BA9" i="12" s="1"/>
  <c r="BE7" i="12"/>
  <c r="BE8" i="12" s="1"/>
  <c r="BE9" i="12" s="1"/>
  <c r="BB7" i="12"/>
  <c r="BB8" i="12" s="1"/>
  <c r="BB9" i="12" s="1"/>
  <c r="AX7" i="12"/>
  <c r="AX8" i="12" s="1"/>
  <c r="AX9" i="12" s="1"/>
  <c r="BC7" i="12"/>
  <c r="BC8" i="12" s="1"/>
  <c r="BC9" i="12" s="1"/>
  <c r="BF7" i="12"/>
  <c r="BF8" i="12" s="1"/>
  <c r="BF9" i="12" s="1"/>
  <c r="BD7" i="12"/>
  <c r="BD8" i="12" s="1"/>
  <c r="BD9" i="12" s="1"/>
  <c r="AY7" i="12"/>
  <c r="AY8" i="12" s="1"/>
  <c r="AY9" i="12" s="1"/>
  <c r="AW7" i="12"/>
  <c r="AW8" i="12" s="1"/>
  <c r="BD10" i="11"/>
  <c r="BD6" i="11"/>
  <c r="BC6" i="11"/>
  <c r="AW5" i="11"/>
  <c r="AZ5" i="11"/>
  <c r="BC10" i="11"/>
  <c r="AY6" i="11"/>
  <c r="AY10" i="11"/>
  <c r="BG10" i="11"/>
  <c r="BG6" i="11"/>
  <c r="BA6" i="11"/>
  <c r="BA10" i="11"/>
  <c r="AX10" i="11"/>
  <c r="I29" i="1" l="1"/>
  <c r="K29" i="1"/>
  <c r="G29" i="1"/>
  <c r="L29" i="1"/>
  <c r="M29" i="1"/>
  <c r="N29" i="1"/>
  <c r="J29" i="1"/>
  <c r="AB5" i="13"/>
  <c r="Q29" i="1"/>
  <c r="F29" i="1"/>
  <c r="AW9" i="12"/>
  <c r="BJ8" i="12"/>
  <c r="AW17" i="12" s="1"/>
  <c r="E23" i="1" s="1"/>
  <c r="BK8" i="12"/>
  <c r="BK13" i="12" s="1"/>
  <c r="R20" i="1" s="1"/>
  <c r="AZ6" i="11"/>
  <c r="AZ10" i="11"/>
  <c r="BN10" i="11" s="1"/>
  <c r="AW6" i="11"/>
  <c r="AW10" i="11"/>
  <c r="AW2" i="6"/>
  <c r="AO33" i="5"/>
  <c r="BJ2" i="11" s="1"/>
  <c r="AC61" i="13" l="1"/>
  <c r="AC70" i="13"/>
  <c r="AB52" i="13"/>
  <c r="K52" i="13" s="1"/>
  <c r="K51" i="13" s="1"/>
  <c r="AC52" i="13"/>
  <c r="AC43" i="13"/>
  <c r="Q31" i="1"/>
  <c r="Q30" i="1" s="1"/>
  <c r="AB43" i="13"/>
  <c r="W43" i="13" s="1"/>
  <c r="W42" i="13" s="1"/>
  <c r="BK17" i="12"/>
  <c r="R23" i="1" s="1"/>
  <c r="BK21" i="12"/>
  <c r="R26" i="1" s="1"/>
  <c r="AB16" i="13"/>
  <c r="AB34" i="13"/>
  <c r="AB25" i="13"/>
  <c r="AZ17" i="12"/>
  <c r="H23" i="1" s="1"/>
  <c r="BC13" i="12"/>
  <c r="K20" i="1" s="1"/>
  <c r="BA17" i="12"/>
  <c r="I23" i="1" s="1"/>
  <c r="BD17" i="12"/>
  <c r="L23" i="1" s="1"/>
  <c r="AY13" i="12"/>
  <c r="G20" i="1" s="1"/>
  <c r="BE13" i="12"/>
  <c r="M20" i="1" s="1"/>
  <c r="AX21" i="12"/>
  <c r="F26" i="1" s="1"/>
  <c r="AZ21" i="12"/>
  <c r="H26" i="1" s="1"/>
  <c r="AY17" i="12"/>
  <c r="G23" i="1" s="1"/>
  <c r="BB13" i="12"/>
  <c r="J20" i="1" s="1"/>
  <c r="AW21" i="12"/>
  <c r="E26" i="1" s="1"/>
  <c r="AY21" i="12"/>
  <c r="G26" i="1" s="1"/>
  <c r="BD21" i="12"/>
  <c r="L26" i="1" s="1"/>
  <c r="AX17" i="12"/>
  <c r="F23" i="1" s="1"/>
  <c r="BC21" i="12"/>
  <c r="K26" i="1" s="1"/>
  <c r="AW13" i="12"/>
  <c r="E20" i="1" s="1"/>
  <c r="AX13" i="12"/>
  <c r="F20" i="1" s="1"/>
  <c r="BE21" i="12"/>
  <c r="M26" i="1" s="1"/>
  <c r="BJ5" i="12"/>
  <c r="BJ23" i="12" s="1"/>
  <c r="Q28" i="1" s="1"/>
  <c r="BJ17" i="12"/>
  <c r="Q23" i="1" s="1"/>
  <c r="BJ13" i="12"/>
  <c r="Q20" i="1" s="1"/>
  <c r="BJ21" i="12"/>
  <c r="Q26" i="1" s="1"/>
  <c r="BC17" i="12"/>
  <c r="K23" i="1" s="1"/>
  <c r="BD13" i="12"/>
  <c r="L20" i="1" s="1"/>
  <c r="BF17" i="12"/>
  <c r="N23" i="1" s="1"/>
  <c r="BF21" i="12"/>
  <c r="N26" i="1" s="1"/>
  <c r="BB17" i="12"/>
  <c r="J23" i="1" s="1"/>
  <c r="BB21" i="12"/>
  <c r="J26" i="1" s="1"/>
  <c r="BA21" i="12"/>
  <c r="I26" i="1" s="1"/>
  <c r="BF13" i="12"/>
  <c r="N20" i="1" s="1"/>
  <c r="AZ13" i="12"/>
  <c r="H20" i="1" s="1"/>
  <c r="BA13" i="12"/>
  <c r="I20" i="1" s="1"/>
  <c r="BE17" i="12"/>
  <c r="M23" i="1" s="1"/>
  <c r="BM6" i="11" a="1"/>
  <c r="BN6" i="11" s="1"/>
  <c r="BK34" i="6"/>
  <c r="BJ34" i="6"/>
  <c r="BI34" i="6"/>
  <c r="BH34" i="6"/>
  <c r="BG34" i="6"/>
  <c r="BI8" i="6"/>
  <c r="BH8" i="6"/>
  <c r="V61" i="13" l="1"/>
  <c r="R69" i="13"/>
  <c r="J69" i="13"/>
  <c r="Y69" i="13"/>
  <c r="Q69" i="13"/>
  <c r="X69" i="13"/>
  <c r="P69" i="13"/>
  <c r="W69" i="13"/>
  <c r="O69" i="13"/>
  <c r="V69" i="13"/>
  <c r="N69" i="13"/>
  <c r="U69" i="13"/>
  <c r="M69" i="13"/>
  <c r="T69" i="13"/>
  <c r="L69" i="13"/>
  <c r="S69" i="13"/>
  <c r="K69" i="13"/>
  <c r="U43" i="13"/>
  <c r="Q52" i="13"/>
  <c r="Q51" i="13" s="1"/>
  <c r="R61" i="13"/>
  <c r="W61" i="13"/>
  <c r="W60" i="13" s="1"/>
  <c r="T52" i="13"/>
  <c r="T51" i="13" s="1"/>
  <c r="R52" i="13"/>
  <c r="R51" i="13" s="1"/>
  <c r="J52" i="13"/>
  <c r="J51" i="13" s="1"/>
  <c r="U52" i="13"/>
  <c r="U51" i="13" s="1"/>
  <c r="S52" i="13"/>
  <c r="S51" i="13" s="1"/>
  <c r="V43" i="13"/>
  <c r="O52" i="13"/>
  <c r="O51" i="13" s="1"/>
  <c r="M43" i="13"/>
  <c r="M42" i="13" s="1"/>
  <c r="W52" i="13"/>
  <c r="W51" i="13" s="1"/>
  <c r="L52" i="13"/>
  <c r="L51" i="13" s="1"/>
  <c r="Y52" i="13"/>
  <c r="Y51" i="13" s="1"/>
  <c r="O61" i="13"/>
  <c r="X52" i="13"/>
  <c r="X51" i="13" s="1"/>
  <c r="M52" i="13"/>
  <c r="M51" i="13" s="1"/>
  <c r="Q46" i="1"/>
  <c r="K46" i="1" s="1"/>
  <c r="V52" i="13"/>
  <c r="V51" i="13" s="1"/>
  <c r="N52" i="13"/>
  <c r="N51" i="13" s="1"/>
  <c r="P61" i="13"/>
  <c r="P52" i="13"/>
  <c r="P51" i="13" s="1"/>
  <c r="Q61" i="13"/>
  <c r="U61" i="13"/>
  <c r="S61" i="13"/>
  <c r="X61" i="13"/>
  <c r="X60" i="13" s="1"/>
  <c r="T61" i="13"/>
  <c r="O43" i="13"/>
  <c r="Q37" i="1"/>
  <c r="Y25" i="13"/>
  <c r="Y24" i="13" s="1"/>
  <c r="Q43" i="1"/>
  <c r="Y43" i="13"/>
  <c r="Y42" i="13" s="1"/>
  <c r="Q40" i="1"/>
  <c r="Y34" i="13"/>
  <c r="Y33" i="13" s="1"/>
  <c r="Q43" i="13"/>
  <c r="Q34" i="1"/>
  <c r="Y16" i="13"/>
  <c r="Y15" i="13" s="1"/>
  <c r="P43" i="13"/>
  <c r="H31" i="1"/>
  <c r="J31" i="1"/>
  <c r="R31" i="1"/>
  <c r="G31" i="1"/>
  <c r="N31" i="1"/>
  <c r="F31" i="1"/>
  <c r="M31" i="1"/>
  <c r="E31" i="1"/>
  <c r="L31" i="1"/>
  <c r="K31" i="1"/>
  <c r="I31" i="1"/>
  <c r="R43" i="13"/>
  <c r="J43" i="13"/>
  <c r="J42" i="13" s="1"/>
  <c r="Q49" i="1"/>
  <c r="Y61" i="13"/>
  <c r="Y60" i="13" s="1"/>
  <c r="M61" i="13"/>
  <c r="M60" i="13" s="1"/>
  <c r="K61" i="13"/>
  <c r="K60" i="13" s="1"/>
  <c r="J61" i="13"/>
  <c r="J60" i="13" s="1"/>
  <c r="N61" i="13"/>
  <c r="N60" i="13" s="1"/>
  <c r="L61" i="13"/>
  <c r="L60" i="13" s="1"/>
  <c r="M46" i="1"/>
  <c r="S43" i="13"/>
  <c r="K43" i="13"/>
  <c r="K42" i="13" s="1"/>
  <c r="N43" i="13"/>
  <c r="N42" i="13" s="1"/>
  <c r="X43" i="13"/>
  <c r="X42" i="13" s="1"/>
  <c r="T43" i="13"/>
  <c r="L43" i="13"/>
  <c r="L42" i="13" s="1"/>
  <c r="T34" i="13"/>
  <c r="T33" i="13" s="1"/>
  <c r="M34" i="13"/>
  <c r="M33" i="13" s="1"/>
  <c r="L34" i="13"/>
  <c r="L33" i="13" s="1"/>
  <c r="K34" i="13"/>
  <c r="K33" i="13" s="1"/>
  <c r="J34" i="13"/>
  <c r="J33" i="13" s="1"/>
  <c r="N34" i="13"/>
  <c r="N33" i="13" s="1"/>
  <c r="U25" i="13"/>
  <c r="U24" i="13" s="1"/>
  <c r="N25" i="13"/>
  <c r="N24" i="13" s="1"/>
  <c r="M25" i="13"/>
  <c r="M24" i="13" s="1"/>
  <c r="L25" i="13"/>
  <c r="L24" i="13" s="1"/>
  <c r="J25" i="13"/>
  <c r="J24" i="13" s="1"/>
  <c r="K25" i="13"/>
  <c r="K24" i="13" s="1"/>
  <c r="J16" i="13"/>
  <c r="N16" i="13"/>
  <c r="M16" i="13"/>
  <c r="L16" i="13"/>
  <c r="U16" i="13"/>
  <c r="U15" i="13" s="1"/>
  <c r="K16" i="13"/>
  <c r="W16" i="13"/>
  <c r="W15" i="13" s="1"/>
  <c r="O16" i="13"/>
  <c r="O15" i="13" s="1"/>
  <c r="BJ15" i="12"/>
  <c r="Q22" i="1" s="1"/>
  <c r="W25" i="13"/>
  <c r="W24" i="13" s="1"/>
  <c r="P16" i="13"/>
  <c r="P15" i="13" s="1"/>
  <c r="X16" i="13"/>
  <c r="X15" i="13" s="1"/>
  <c r="R16" i="13"/>
  <c r="R15" i="13" s="1"/>
  <c r="Q16" i="13"/>
  <c r="Q15" i="13" s="1"/>
  <c r="S16" i="13"/>
  <c r="S15" i="13" s="1"/>
  <c r="T16" i="13"/>
  <c r="T15" i="13" s="1"/>
  <c r="V16" i="13"/>
  <c r="V15" i="13" s="1"/>
  <c r="AC16" i="13"/>
  <c r="O25" i="13"/>
  <c r="P25" i="13"/>
  <c r="X25" i="13"/>
  <c r="X24" i="13" s="1"/>
  <c r="P34" i="13"/>
  <c r="P33" i="13" s="1"/>
  <c r="W34" i="13"/>
  <c r="W33" i="13" s="1"/>
  <c r="R25" i="13"/>
  <c r="R24" i="13" s="1"/>
  <c r="Q25" i="13"/>
  <c r="Q24" i="13" s="1"/>
  <c r="V25" i="13"/>
  <c r="S25" i="13"/>
  <c r="S24" i="13" s="1"/>
  <c r="AC25" i="13"/>
  <c r="T25" i="13"/>
  <c r="T24" i="13" s="1"/>
  <c r="X34" i="13"/>
  <c r="X33" i="13" s="1"/>
  <c r="Q34" i="13"/>
  <c r="Q33" i="13" s="1"/>
  <c r="R34" i="13"/>
  <c r="S34" i="13"/>
  <c r="V34" i="13"/>
  <c r="V33" i="13" s="1"/>
  <c r="U34" i="13"/>
  <c r="AC34" i="13"/>
  <c r="O34" i="13"/>
  <c r="O33" i="13" s="1"/>
  <c r="V60" i="13"/>
  <c r="BJ19" i="12"/>
  <c r="AW19" i="12" s="1"/>
  <c r="BB23" i="12"/>
  <c r="BK23" i="12"/>
  <c r="BA23" i="12"/>
  <c r="AZ23" i="12"/>
  <c r="AY23" i="12"/>
  <c r="BF23" i="12"/>
  <c r="AX23" i="12"/>
  <c r="BE23" i="12"/>
  <c r="AW23" i="12"/>
  <c r="BD23" i="12"/>
  <c r="BC23" i="12"/>
  <c r="BJ22" i="12"/>
  <c r="Q27" i="1" s="1"/>
  <c r="BM6" i="11"/>
  <c r="BO6" i="11"/>
  <c r="P3" i="7"/>
  <c r="O3" i="7"/>
  <c r="N3" i="7"/>
  <c r="M3" i="7"/>
  <c r="L3" i="7"/>
  <c r="K3" i="7"/>
  <c r="J3" i="7"/>
  <c r="I3" i="7"/>
  <c r="H3" i="7"/>
  <c r="G3" i="7"/>
  <c r="F3" i="7"/>
  <c r="S3" i="7"/>
  <c r="AE69" i="13" l="1" a="1"/>
  <c r="H46" i="1"/>
  <c r="R46" i="1"/>
  <c r="F46" i="1"/>
  <c r="N46" i="1"/>
  <c r="E46" i="1"/>
  <c r="L46" i="1"/>
  <c r="I46" i="1"/>
  <c r="J46" i="1"/>
  <c r="G46" i="1"/>
  <c r="AE51" i="13" a="1"/>
  <c r="AF51" i="13" s="1"/>
  <c r="I30" i="1"/>
  <c r="G30" i="1"/>
  <c r="R30" i="1"/>
  <c r="H40" i="1"/>
  <c r="R40" i="1"/>
  <c r="G40" i="1"/>
  <c r="N40" i="1"/>
  <c r="F40" i="1"/>
  <c r="M40" i="1"/>
  <c r="L40" i="1"/>
  <c r="K40" i="1"/>
  <c r="J40" i="1"/>
  <c r="I40" i="1"/>
  <c r="E40" i="1"/>
  <c r="J30" i="1"/>
  <c r="L30" i="1"/>
  <c r="H30" i="1"/>
  <c r="K43" i="1"/>
  <c r="F43" i="1"/>
  <c r="J43" i="1"/>
  <c r="E43" i="1"/>
  <c r="N43" i="1"/>
  <c r="I43" i="1"/>
  <c r="M43" i="1"/>
  <c r="H43" i="1"/>
  <c r="R43" i="1"/>
  <c r="G43" i="1"/>
  <c r="L43" i="1"/>
  <c r="BC15" i="12"/>
  <c r="BC14" i="12" s="1"/>
  <c r="K21" i="1" s="1"/>
  <c r="BE15" i="12"/>
  <c r="BE14" i="12" s="1"/>
  <c r="M21" i="1" s="1"/>
  <c r="E30" i="1"/>
  <c r="K30" i="1"/>
  <c r="BA15" i="12"/>
  <c r="I22" i="1" s="1"/>
  <c r="L49" i="1"/>
  <c r="K49" i="1"/>
  <c r="R49" i="1"/>
  <c r="J49" i="1"/>
  <c r="N49" i="1"/>
  <c r="I49" i="1"/>
  <c r="H49" i="1"/>
  <c r="E49" i="1"/>
  <c r="M49" i="1"/>
  <c r="G49" i="1"/>
  <c r="F49" i="1"/>
  <c r="M30" i="1"/>
  <c r="M37" i="1"/>
  <c r="R37" i="1"/>
  <c r="L37" i="1"/>
  <c r="E37" i="1"/>
  <c r="K37" i="1"/>
  <c r="J37" i="1"/>
  <c r="I37" i="1"/>
  <c r="N37" i="1"/>
  <c r="F37" i="1"/>
  <c r="H37" i="1"/>
  <c r="G37" i="1"/>
  <c r="N30" i="1"/>
  <c r="F30" i="1"/>
  <c r="K34" i="1"/>
  <c r="J34" i="1"/>
  <c r="F34" i="1"/>
  <c r="I34" i="1"/>
  <c r="E34" i="1"/>
  <c r="H34" i="1"/>
  <c r="N34" i="1"/>
  <c r="R34" i="1"/>
  <c r="G34" i="1"/>
  <c r="M34" i="1"/>
  <c r="L34" i="1"/>
  <c r="K15" i="13"/>
  <c r="N15" i="13"/>
  <c r="L15" i="13"/>
  <c r="J15" i="13"/>
  <c r="M15" i="13"/>
  <c r="U33" i="13"/>
  <c r="R33" i="13"/>
  <c r="S33" i="13"/>
  <c r="P24" i="13"/>
  <c r="V24" i="13"/>
  <c r="O24" i="13"/>
  <c r="O60" i="13"/>
  <c r="AX15" i="12"/>
  <c r="AX14" i="12" s="1"/>
  <c r="F21" i="1" s="1"/>
  <c r="BF15" i="12"/>
  <c r="N22" i="1" s="1"/>
  <c r="AY15" i="12"/>
  <c r="G22" i="1" s="1"/>
  <c r="BJ14" i="12"/>
  <c r="Q21" i="1" s="1"/>
  <c r="AZ15" i="12"/>
  <c r="AZ14" i="12" s="1"/>
  <c r="H21" i="1" s="1"/>
  <c r="BD15" i="12"/>
  <c r="BD14" i="12" s="1"/>
  <c r="L21" i="1" s="1"/>
  <c r="BK15" i="12"/>
  <c r="BK14" i="12" s="1"/>
  <c r="R21" i="1" s="1"/>
  <c r="AW15" i="12"/>
  <c r="E22" i="1" s="1"/>
  <c r="BB15" i="12"/>
  <c r="BB14" i="12" s="1"/>
  <c r="J21" i="1" s="1"/>
  <c r="AW18" i="12"/>
  <c r="E24" i="1" s="1"/>
  <c r="E25" i="1"/>
  <c r="AZ22" i="12"/>
  <c r="H27" i="1" s="1"/>
  <c r="H28" i="1"/>
  <c r="BC22" i="12"/>
  <c r="K27" i="1" s="1"/>
  <c r="K28" i="1"/>
  <c r="BA22" i="12"/>
  <c r="I27" i="1" s="1"/>
  <c r="I28" i="1"/>
  <c r="BD22" i="12"/>
  <c r="L27" i="1" s="1"/>
  <c r="L28" i="1"/>
  <c r="BK22" i="12"/>
  <c r="R27" i="1" s="1"/>
  <c r="R28" i="1"/>
  <c r="AW22" i="12"/>
  <c r="E27" i="1" s="1"/>
  <c r="E28" i="1"/>
  <c r="BB22" i="12"/>
  <c r="J27" i="1" s="1"/>
  <c r="J28" i="1"/>
  <c r="BE22" i="12"/>
  <c r="M27" i="1" s="1"/>
  <c r="M28" i="1"/>
  <c r="AX22" i="12"/>
  <c r="F27" i="1" s="1"/>
  <c r="F28" i="1"/>
  <c r="BD19" i="12"/>
  <c r="Q25" i="1"/>
  <c r="BJ18" i="12"/>
  <c r="Q24" i="1" s="1"/>
  <c r="BF22" i="12"/>
  <c r="N27" i="1" s="1"/>
  <c r="N28" i="1"/>
  <c r="AZ19" i="12"/>
  <c r="AY22" i="12"/>
  <c r="G27" i="1" s="1"/>
  <c r="G28" i="1"/>
  <c r="U60" i="13"/>
  <c r="P60" i="13"/>
  <c r="S60" i="13"/>
  <c r="Q42" i="13"/>
  <c r="T42" i="13"/>
  <c r="V42" i="13"/>
  <c r="U42" i="13"/>
  <c r="AY19" i="12"/>
  <c r="BE19" i="12"/>
  <c r="BK19" i="12"/>
  <c r="BB19" i="12"/>
  <c r="AX19" i="12"/>
  <c r="BA19" i="12"/>
  <c r="BF19" i="12"/>
  <c r="BC19" i="12"/>
  <c r="AZ7" i="11"/>
  <c r="AZ8" i="11" s="1"/>
  <c r="AZ9" i="11" s="1"/>
  <c r="BB7" i="11"/>
  <c r="BB8" i="11" s="1"/>
  <c r="BB9" i="11" s="1"/>
  <c r="AX7" i="11"/>
  <c r="AX8" i="11" s="1"/>
  <c r="AX9" i="11" s="1"/>
  <c r="BJ7" i="11"/>
  <c r="BG7" i="11"/>
  <c r="BG8" i="11" s="1"/>
  <c r="BG9" i="11" s="1"/>
  <c r="BD7" i="11"/>
  <c r="BD8" i="11" s="1"/>
  <c r="BD9" i="11" s="1"/>
  <c r="AY7" i="11"/>
  <c r="AY8" i="11" s="1"/>
  <c r="BF7" i="11"/>
  <c r="BF8" i="11" s="1"/>
  <c r="BF9" i="11" s="1"/>
  <c r="BE7" i="11"/>
  <c r="BE8" i="11" s="1"/>
  <c r="BE9" i="11" s="1"/>
  <c r="BC7" i="11"/>
  <c r="BC8" i="11" s="1"/>
  <c r="BC9" i="11" s="1"/>
  <c r="BA7" i="11"/>
  <c r="BA8" i="11" s="1"/>
  <c r="BA9" i="11" s="1"/>
  <c r="AW7" i="11"/>
  <c r="AW8" i="11" s="1"/>
  <c r="AW9" i="11" s="1"/>
  <c r="BK3" i="6"/>
  <c r="BJ3" i="6"/>
  <c r="BG3" i="6"/>
  <c r="BF3" i="6"/>
  <c r="BE3" i="6"/>
  <c r="BD3" i="6"/>
  <c r="BC3" i="6"/>
  <c r="BB3" i="6"/>
  <c r="BA3" i="6"/>
  <c r="AZ3" i="6"/>
  <c r="AY3" i="6"/>
  <c r="AX3" i="6"/>
  <c r="AW3" i="6"/>
  <c r="BH3" i="6"/>
  <c r="AE69" i="13" l="1"/>
  <c r="AG69" i="13"/>
  <c r="AF69" i="13"/>
  <c r="BF14" i="12"/>
  <c r="N21" i="1" s="1"/>
  <c r="BA14" i="12"/>
  <c r="I21" i="1" s="1"/>
  <c r="M22" i="1"/>
  <c r="R22" i="1"/>
  <c r="F22" i="1"/>
  <c r="L22" i="1"/>
  <c r="AE24" i="13" a="1"/>
  <c r="AG24" i="13" s="1"/>
  <c r="AE51" i="13"/>
  <c r="AE15" i="13" a="1"/>
  <c r="AE15" i="13" s="1"/>
  <c r="AG51" i="13"/>
  <c r="J22" i="1"/>
  <c r="AE33" i="13" a="1"/>
  <c r="AE33" i="13" s="1"/>
  <c r="K22" i="1"/>
  <c r="AW14" i="12"/>
  <c r="E21" i="1" s="1"/>
  <c r="AY14" i="12"/>
  <c r="G21" i="1" s="1"/>
  <c r="R60" i="13"/>
  <c r="T60" i="13"/>
  <c r="Q60" i="13"/>
  <c r="H22" i="1"/>
  <c r="BK18" i="12"/>
  <c r="R24" i="1" s="1"/>
  <c r="R25" i="1"/>
  <c r="AZ18" i="12"/>
  <c r="H24" i="1" s="1"/>
  <c r="H25" i="1"/>
  <c r="BE18" i="12"/>
  <c r="M24" i="1" s="1"/>
  <c r="M25" i="1"/>
  <c r="BD18" i="12"/>
  <c r="L24" i="1" s="1"/>
  <c r="L25" i="1"/>
  <c r="AY18" i="12"/>
  <c r="G24" i="1" s="1"/>
  <c r="G25" i="1"/>
  <c r="BC18" i="12"/>
  <c r="K24" i="1" s="1"/>
  <c r="K25" i="1"/>
  <c r="BF18" i="12"/>
  <c r="N24" i="1" s="1"/>
  <c r="N25" i="1"/>
  <c r="BA18" i="12"/>
  <c r="I24" i="1" s="1"/>
  <c r="I25" i="1"/>
  <c r="AX18" i="12"/>
  <c r="F24" i="1" s="1"/>
  <c r="F25" i="1"/>
  <c r="BB18" i="12"/>
  <c r="J24" i="1" s="1"/>
  <c r="J25" i="1"/>
  <c r="O42" i="13"/>
  <c r="R42" i="13"/>
  <c r="P42" i="13"/>
  <c r="S42" i="13"/>
  <c r="AY9" i="11"/>
  <c r="BJ8" i="11"/>
  <c r="BK8" i="11"/>
  <c r="AZ2" i="6"/>
  <c r="U71" i="13" l="1"/>
  <c r="U72" i="13" s="1"/>
  <c r="U73" i="13" s="1"/>
  <c r="K50" i="1" s="1"/>
  <c r="AB71" i="13"/>
  <c r="AB72" i="13" s="1"/>
  <c r="Q50" i="1" s="1"/>
  <c r="V71" i="13"/>
  <c r="V72" i="13" s="1"/>
  <c r="V73" i="13" s="1"/>
  <c r="L50" i="1" s="1"/>
  <c r="P71" i="13"/>
  <c r="P72" i="13" s="1"/>
  <c r="P73" i="13" s="1"/>
  <c r="F50" i="1" s="1"/>
  <c r="O71" i="13"/>
  <c r="O72" i="13" s="1"/>
  <c r="O73" i="13" s="1"/>
  <c r="E50" i="1" s="1"/>
  <c r="M71" i="13"/>
  <c r="M72" i="13" s="1"/>
  <c r="M73" i="13" s="1"/>
  <c r="R71" i="13"/>
  <c r="R72" i="13" s="1"/>
  <c r="R73" i="13" s="1"/>
  <c r="H50" i="1" s="1"/>
  <c r="N71" i="13"/>
  <c r="N72" i="13" s="1"/>
  <c r="N73" i="13" s="1"/>
  <c r="Q71" i="13"/>
  <c r="Q72" i="13" s="1"/>
  <c r="Q73" i="13" s="1"/>
  <c r="G50" i="1" s="1"/>
  <c r="T71" i="13"/>
  <c r="T72" i="13" s="1"/>
  <c r="T73" i="13" s="1"/>
  <c r="J50" i="1" s="1"/>
  <c r="J71" i="13"/>
  <c r="J72" i="13" s="1"/>
  <c r="J73" i="13" s="1"/>
  <c r="Y71" i="13"/>
  <c r="Y72" i="13" s="1"/>
  <c r="Y73" i="13" s="1"/>
  <c r="S71" i="13"/>
  <c r="S72" i="13" s="1"/>
  <c r="S73" i="13" s="1"/>
  <c r="I50" i="1" s="1"/>
  <c r="L71" i="13"/>
  <c r="L72" i="13" s="1"/>
  <c r="L73" i="13" s="1"/>
  <c r="K71" i="13"/>
  <c r="K72" i="13" s="1"/>
  <c r="K73" i="13" s="1"/>
  <c r="AC71" i="13"/>
  <c r="AC72" i="13" s="1"/>
  <c r="W71" i="13"/>
  <c r="W72" i="13" s="1"/>
  <c r="W73" i="13" s="1"/>
  <c r="M50" i="1" s="1"/>
  <c r="X71" i="13"/>
  <c r="X72" i="13" s="1"/>
  <c r="X73" i="13" s="1"/>
  <c r="N50" i="1" s="1"/>
  <c r="Y53" i="13"/>
  <c r="Y54" i="13" s="1"/>
  <c r="Y55" i="13" s="1"/>
  <c r="P53" i="13"/>
  <c r="P54" i="13" s="1"/>
  <c r="P55" i="13" s="1"/>
  <c r="J53" i="13"/>
  <c r="J54" i="13" s="1"/>
  <c r="J55" i="13" s="1"/>
  <c r="N53" i="13"/>
  <c r="N54" i="13" s="1"/>
  <c r="N55" i="13" s="1"/>
  <c r="M53" i="13"/>
  <c r="M54" i="13" s="1"/>
  <c r="M55" i="13" s="1"/>
  <c r="AB53" i="13"/>
  <c r="AB54" i="13" s="1"/>
  <c r="Q44" i="1" s="1"/>
  <c r="Q45" i="1" s="1"/>
  <c r="AF24" i="13"/>
  <c r="AE24" i="13"/>
  <c r="X53" i="13"/>
  <c r="X54" i="13" s="1"/>
  <c r="X55" i="13" s="1"/>
  <c r="O53" i="13"/>
  <c r="O54" i="13" s="1"/>
  <c r="O55" i="13" s="1"/>
  <c r="K53" i="13"/>
  <c r="K54" i="13" s="1"/>
  <c r="K55" i="13" s="1"/>
  <c r="L53" i="13"/>
  <c r="L54" i="13" s="1"/>
  <c r="L55" i="13" s="1"/>
  <c r="U53" i="13"/>
  <c r="U54" i="13" s="1"/>
  <c r="U55" i="13" s="1"/>
  <c r="AF33" i="13"/>
  <c r="AG15" i="13"/>
  <c r="AG33" i="13"/>
  <c r="AF15" i="13"/>
  <c r="AE60" i="13" a="1"/>
  <c r="AE60" i="13" s="1"/>
  <c r="V53" i="13"/>
  <c r="V54" i="13" s="1"/>
  <c r="V55" i="13" s="1"/>
  <c r="AE42" i="13" a="1"/>
  <c r="R53" i="13"/>
  <c r="R54" i="13" s="1"/>
  <c r="R55" i="13" s="1"/>
  <c r="W53" i="13"/>
  <c r="W54" i="13" s="1"/>
  <c r="W55" i="13" s="1"/>
  <c r="AC53" i="13"/>
  <c r="AC54" i="13" s="1"/>
  <c r="R44" i="1" s="1"/>
  <c r="R45" i="1" s="1"/>
  <c r="S53" i="13"/>
  <c r="S54" i="13" s="1"/>
  <c r="S55" i="13" s="1"/>
  <c r="T53" i="13"/>
  <c r="T54" i="13" s="1"/>
  <c r="T55" i="13" s="1"/>
  <c r="Q53" i="13"/>
  <c r="Q54" i="13" s="1"/>
  <c r="Q55" i="13" s="1"/>
  <c r="BK25" i="11"/>
  <c r="R17" i="1" s="1"/>
  <c r="BK21" i="11"/>
  <c r="R14" i="1" s="1"/>
  <c r="BE13" i="11"/>
  <c r="M8" i="1" s="1"/>
  <c r="BJ17" i="11"/>
  <c r="Q11" i="1" s="1"/>
  <c r="BJ13" i="11"/>
  <c r="Q8" i="1" s="1"/>
  <c r="BJ25" i="11"/>
  <c r="Q17" i="1" s="1"/>
  <c r="BJ21" i="11"/>
  <c r="Q14" i="1" s="1"/>
  <c r="BE25" i="11"/>
  <c r="M17" i="1" s="1"/>
  <c r="BK13" i="11"/>
  <c r="R8" i="1" s="1"/>
  <c r="BK17" i="11"/>
  <c r="R11" i="1" s="1"/>
  <c r="BG21" i="11"/>
  <c r="AY17" i="11"/>
  <c r="G11" i="1" s="1"/>
  <c r="AY25" i="11"/>
  <c r="G17" i="1" s="1"/>
  <c r="AY13" i="11"/>
  <c r="G8" i="1" s="1"/>
  <c r="AY21" i="11"/>
  <c r="G14" i="1" s="1"/>
  <c r="BE21" i="11"/>
  <c r="M14" i="1" s="1"/>
  <c r="BD13" i="11"/>
  <c r="L8" i="1" s="1"/>
  <c r="AX21" i="11"/>
  <c r="F14" i="1" s="1"/>
  <c r="AX25" i="11"/>
  <c r="F17" i="1" s="1"/>
  <c r="BG25" i="11"/>
  <c r="BD25" i="11"/>
  <c r="L17" i="1" s="1"/>
  <c r="BD17" i="11"/>
  <c r="L11" i="1" s="1"/>
  <c r="AZ21" i="11"/>
  <c r="H14" i="1" s="1"/>
  <c r="AX13" i="11"/>
  <c r="F8" i="1" s="1"/>
  <c r="BF25" i="11"/>
  <c r="N17" i="1" s="1"/>
  <c r="BA13" i="11"/>
  <c r="I8" i="1" s="1"/>
  <c r="AZ25" i="11"/>
  <c r="H17" i="1" s="1"/>
  <c r="AX17" i="11"/>
  <c r="F11" i="1" s="1"/>
  <c r="BB17" i="11"/>
  <c r="J11" i="1" s="1"/>
  <c r="AW17" i="11"/>
  <c r="E11" i="1" s="1"/>
  <c r="BB25" i="11"/>
  <c r="J17" i="1" s="1"/>
  <c r="AZ13" i="11"/>
  <c r="H8" i="1" s="1"/>
  <c r="BA17" i="11"/>
  <c r="I11" i="1" s="1"/>
  <c r="BG13" i="11"/>
  <c r="BJ5" i="11"/>
  <c r="AW13" i="11"/>
  <c r="E8" i="1" s="1"/>
  <c r="BC17" i="11"/>
  <c r="K11" i="1" s="1"/>
  <c r="BF17" i="11"/>
  <c r="N11" i="1" s="1"/>
  <c r="BC21" i="11"/>
  <c r="K14" i="1" s="1"/>
  <c r="BC25" i="11"/>
  <c r="K17" i="1" s="1"/>
  <c r="BB13" i="11"/>
  <c r="J8" i="1" s="1"/>
  <c r="AW21" i="11"/>
  <c r="E14" i="1" s="1"/>
  <c r="BB21" i="11"/>
  <c r="J14" i="1" s="1"/>
  <c r="BA21" i="11"/>
  <c r="I14" i="1" s="1"/>
  <c r="BC13" i="11"/>
  <c r="K8" i="1" s="1"/>
  <c r="BA25" i="11"/>
  <c r="I17" i="1" s="1"/>
  <c r="BD21" i="11"/>
  <c r="L14" i="1" s="1"/>
  <c r="AZ17" i="11"/>
  <c r="H11" i="1" s="1"/>
  <c r="AW25" i="11"/>
  <c r="E17" i="1" s="1"/>
  <c r="BG17" i="11"/>
  <c r="BE17" i="11"/>
  <c r="M11" i="1" s="1"/>
  <c r="BF21" i="11"/>
  <c r="N14" i="1" s="1"/>
  <c r="BF13" i="11"/>
  <c r="N8" i="1" s="1"/>
  <c r="AX2" i="6"/>
  <c r="M44" i="1" l="1"/>
  <c r="M45" i="1" s="1"/>
  <c r="J26" i="13"/>
  <c r="J27" i="13" s="1"/>
  <c r="J28" i="13" s="1"/>
  <c r="Y17" i="13"/>
  <c r="Y18" i="13" s="1"/>
  <c r="Y19" i="13" s="1"/>
  <c r="Y26" i="13"/>
  <c r="Y27" i="13" s="1"/>
  <c r="Y28" i="13" s="1"/>
  <c r="L26" i="13"/>
  <c r="L27" i="13" s="1"/>
  <c r="L28" i="13" s="1"/>
  <c r="L35" i="13"/>
  <c r="L36" i="13" s="1"/>
  <c r="L37" i="13" s="1"/>
  <c r="K26" i="13"/>
  <c r="K27" i="13" s="1"/>
  <c r="K28" i="13" s="1"/>
  <c r="M26" i="13"/>
  <c r="M27" i="13" s="1"/>
  <c r="M28" i="13" s="1"/>
  <c r="E44" i="1"/>
  <c r="E45" i="1" s="1"/>
  <c r="M35" i="13"/>
  <c r="M36" i="13" s="1"/>
  <c r="M37" i="13" s="1"/>
  <c r="J35" i="13"/>
  <c r="J36" i="13" s="1"/>
  <c r="J37" i="13" s="1"/>
  <c r="W35" i="13"/>
  <c r="W36" i="13" s="1"/>
  <c r="W37" i="13" s="1"/>
  <c r="K44" i="1"/>
  <c r="K45" i="1" s="1"/>
  <c r="H44" i="1"/>
  <c r="H45" i="1" s="1"/>
  <c r="L44" i="1"/>
  <c r="L45" i="1" s="1"/>
  <c r="N44" i="1"/>
  <c r="N45" i="1" s="1"/>
  <c r="G44" i="1"/>
  <c r="G45" i="1" s="1"/>
  <c r="J44" i="1"/>
  <c r="J45" i="1" s="1"/>
  <c r="F44" i="1"/>
  <c r="F45" i="1" s="1"/>
  <c r="I44" i="1"/>
  <c r="I45" i="1" s="1"/>
  <c r="Y35" i="13"/>
  <c r="Y36" i="13" s="1"/>
  <c r="Y37" i="13" s="1"/>
  <c r="X17" i="13"/>
  <c r="X18" i="13" s="1"/>
  <c r="X19" i="13" s="1"/>
  <c r="K35" i="13"/>
  <c r="K36" i="13" s="1"/>
  <c r="K37" i="13" s="1"/>
  <c r="AF60" i="13"/>
  <c r="AG60" i="13"/>
  <c r="N35" i="13"/>
  <c r="N36" i="13" s="1"/>
  <c r="N37" i="13" s="1"/>
  <c r="AG42" i="13"/>
  <c r="AF42" i="13"/>
  <c r="AE42" i="13"/>
  <c r="N26" i="13"/>
  <c r="N27" i="13" s="1"/>
  <c r="N28" i="13" s="1"/>
  <c r="O35" i="13"/>
  <c r="O36" i="13" s="1"/>
  <c r="O37" i="13" s="1"/>
  <c r="AB35" i="13"/>
  <c r="AB36" i="13" s="1"/>
  <c r="Q38" i="1" s="1"/>
  <c r="Q39" i="1" s="1"/>
  <c r="P35" i="13"/>
  <c r="P36" i="13" s="1"/>
  <c r="P37" i="13" s="1"/>
  <c r="AC35" i="13"/>
  <c r="AC36" i="13" s="1"/>
  <c r="R38" i="1" s="1"/>
  <c r="R39" i="1" s="1"/>
  <c r="N17" i="13"/>
  <c r="N18" i="13" s="1"/>
  <c r="N19" i="13" s="1"/>
  <c r="X35" i="13"/>
  <c r="X36" i="13" s="1"/>
  <c r="X37" i="13" s="1"/>
  <c r="Q35" i="13"/>
  <c r="Q36" i="13" s="1"/>
  <c r="Q37" i="13" s="1"/>
  <c r="S35" i="13"/>
  <c r="S36" i="13" s="1"/>
  <c r="S37" i="13" s="1"/>
  <c r="R35" i="13"/>
  <c r="R36" i="13" s="1"/>
  <c r="R37" i="13" s="1"/>
  <c r="T35" i="13"/>
  <c r="T36" i="13" s="1"/>
  <c r="T37" i="13" s="1"/>
  <c r="J38" i="1" s="1"/>
  <c r="J39" i="1" s="1"/>
  <c r="V35" i="13"/>
  <c r="V36" i="13" s="1"/>
  <c r="V37" i="13" s="1"/>
  <c r="U35" i="13"/>
  <c r="U36" i="13" s="1"/>
  <c r="U37" i="13" s="1"/>
  <c r="P17" i="13"/>
  <c r="P18" i="13" s="1"/>
  <c r="P19" i="13" s="1"/>
  <c r="J17" i="13"/>
  <c r="J18" i="13" s="1"/>
  <c r="J19" i="13" s="1"/>
  <c r="T17" i="13"/>
  <c r="T18" i="13" s="1"/>
  <c r="T19" i="13" s="1"/>
  <c r="R17" i="13"/>
  <c r="R18" i="13" s="1"/>
  <c r="R19" i="13" s="1"/>
  <c r="L17" i="13"/>
  <c r="L18" i="13" s="1"/>
  <c r="L19" i="13" s="1"/>
  <c r="O17" i="13"/>
  <c r="O18" i="13" s="1"/>
  <c r="O19" i="13" s="1"/>
  <c r="M17" i="13"/>
  <c r="M18" i="13" s="1"/>
  <c r="M19" i="13" s="1"/>
  <c r="W17" i="13"/>
  <c r="W18" i="13" s="1"/>
  <c r="W19" i="13" s="1"/>
  <c r="S17" i="13"/>
  <c r="S18" i="13" s="1"/>
  <c r="S19" i="13" s="1"/>
  <c r="Q17" i="13"/>
  <c r="Q18" i="13" s="1"/>
  <c r="Q19" i="13" s="1"/>
  <c r="U17" i="13"/>
  <c r="U18" i="13" s="1"/>
  <c r="U19" i="13" s="1"/>
  <c r="AB17" i="13"/>
  <c r="AB18" i="13" s="1"/>
  <c r="Q32" i="1" s="1"/>
  <c r="K17" i="13"/>
  <c r="K18" i="13" s="1"/>
  <c r="K19" i="13" s="1"/>
  <c r="AC17" i="13"/>
  <c r="AC18" i="13" s="1"/>
  <c r="R32" i="1" s="1"/>
  <c r="V17" i="13"/>
  <c r="V18" i="13" s="1"/>
  <c r="V19" i="13" s="1"/>
  <c r="O26" i="13"/>
  <c r="O27" i="13" s="1"/>
  <c r="O28" i="13" s="1"/>
  <c r="P26" i="13"/>
  <c r="P27" i="13" s="1"/>
  <c r="P28" i="13" s="1"/>
  <c r="S26" i="13"/>
  <c r="S27" i="13" s="1"/>
  <c r="S28" i="13" s="1"/>
  <c r="T26" i="13"/>
  <c r="T27" i="13" s="1"/>
  <c r="T28" i="13" s="1"/>
  <c r="V26" i="13"/>
  <c r="V27" i="13" s="1"/>
  <c r="V28" i="13" s="1"/>
  <c r="W26" i="13"/>
  <c r="W27" i="13" s="1"/>
  <c r="W28" i="13" s="1"/>
  <c r="U26" i="13"/>
  <c r="U27" i="13" s="1"/>
  <c r="U28" i="13" s="1"/>
  <c r="Q26" i="13"/>
  <c r="Q27" i="13" s="1"/>
  <c r="Q28" i="13" s="1"/>
  <c r="X26" i="13"/>
  <c r="X27" i="13" s="1"/>
  <c r="X28" i="13" s="1"/>
  <c r="R26" i="13"/>
  <c r="R27" i="13" s="1"/>
  <c r="R28" i="13" s="1"/>
  <c r="AB26" i="13"/>
  <c r="AB27" i="13" s="1"/>
  <c r="Q35" i="1" s="1"/>
  <c r="Q36" i="1" s="1"/>
  <c r="AC26" i="13"/>
  <c r="AC27" i="13" s="1"/>
  <c r="R35" i="1" s="1"/>
  <c r="R36" i="1" s="1"/>
  <c r="BJ27" i="11"/>
  <c r="Q19" i="1" s="1"/>
  <c r="BJ23" i="11"/>
  <c r="BJ15" i="11"/>
  <c r="Q10" i="1" s="1"/>
  <c r="BJ19" i="11"/>
  <c r="Q13" i="1" s="1"/>
  <c r="P2" i="7"/>
  <c r="O2" i="7"/>
  <c r="N2" i="7"/>
  <c r="M2" i="7"/>
  <c r="L2" i="7"/>
  <c r="K2" i="7"/>
  <c r="J2" i="7"/>
  <c r="I2" i="7"/>
  <c r="H2" i="7"/>
  <c r="G2" i="7"/>
  <c r="F2" i="7"/>
  <c r="E2" i="7"/>
  <c r="L62" i="13" l="1"/>
  <c r="L63" i="13" s="1"/>
  <c r="L64" i="13" s="1"/>
  <c r="J62" i="13"/>
  <c r="J63" i="13" s="1"/>
  <c r="J64" i="13" s="1"/>
  <c r="K62" i="13"/>
  <c r="K63" i="13" s="1"/>
  <c r="K64" i="13" s="1"/>
  <c r="K44" i="13"/>
  <c r="K45" i="13" s="1"/>
  <c r="K46" i="13" s="1"/>
  <c r="K38" i="1"/>
  <c r="K39" i="1" s="1"/>
  <c r="L38" i="1"/>
  <c r="L39" i="1" s="1"/>
  <c r="F38" i="1"/>
  <c r="F39" i="1" s="1"/>
  <c r="J35" i="1"/>
  <c r="J36" i="1" s="1"/>
  <c r="K32" i="1"/>
  <c r="K33" i="1" s="1"/>
  <c r="J32" i="1"/>
  <c r="G38" i="1"/>
  <c r="G39" i="1" s="1"/>
  <c r="G32" i="1"/>
  <c r="G33" i="1" s="1"/>
  <c r="N38" i="1"/>
  <c r="N39" i="1" s="1"/>
  <c r="M44" i="13"/>
  <c r="M45" i="13" s="1"/>
  <c r="M46" i="13" s="1"/>
  <c r="L44" i="13"/>
  <c r="L45" i="13" s="1"/>
  <c r="L46" i="13" s="1"/>
  <c r="Y62" i="13"/>
  <c r="Y63" i="13" s="1"/>
  <c r="Y64" i="13" s="1"/>
  <c r="I38" i="1"/>
  <c r="I39" i="1" s="1"/>
  <c r="M62" i="13"/>
  <c r="M63" i="13" s="1"/>
  <c r="M64" i="13" s="1"/>
  <c r="N62" i="13"/>
  <c r="N63" i="13" s="1"/>
  <c r="N64" i="13" s="1"/>
  <c r="L35" i="1"/>
  <c r="L36" i="1" s="1"/>
  <c r="Q33" i="1"/>
  <c r="H32" i="1"/>
  <c r="I35" i="1"/>
  <c r="I36" i="1" s="1"/>
  <c r="H35" i="1"/>
  <c r="H36" i="1" s="1"/>
  <c r="F35" i="1"/>
  <c r="F36" i="1" s="1"/>
  <c r="I32" i="1"/>
  <c r="F32" i="1"/>
  <c r="N32" i="1"/>
  <c r="N35" i="1"/>
  <c r="N36" i="1" s="1"/>
  <c r="E35" i="1"/>
  <c r="E36" i="1" s="1"/>
  <c r="M32" i="1"/>
  <c r="G35" i="1"/>
  <c r="G36" i="1" s="1"/>
  <c r="L32" i="1"/>
  <c r="Y44" i="13"/>
  <c r="Y45" i="13" s="1"/>
  <c r="Y46" i="13" s="1"/>
  <c r="K35" i="1"/>
  <c r="K36" i="1" s="1"/>
  <c r="R33" i="1"/>
  <c r="E32" i="1"/>
  <c r="N44" i="13"/>
  <c r="N45" i="13" s="1"/>
  <c r="N46" i="13" s="1"/>
  <c r="M35" i="1"/>
  <c r="M36" i="1" s="1"/>
  <c r="H38" i="1"/>
  <c r="H39" i="1" s="1"/>
  <c r="E38" i="1"/>
  <c r="E39" i="1" s="1"/>
  <c r="J44" i="13"/>
  <c r="J45" i="13" s="1"/>
  <c r="J46" i="13" s="1"/>
  <c r="M38" i="1"/>
  <c r="M39" i="1" s="1"/>
  <c r="T6" i="7" a="1"/>
  <c r="AC62" i="13"/>
  <c r="AC63" i="13" s="1"/>
  <c r="R47" i="1" s="1"/>
  <c r="R48" i="1" s="1"/>
  <c r="O62" i="13"/>
  <c r="O63" i="13" s="1"/>
  <c r="O64" i="13" s="1"/>
  <c r="S62" i="13"/>
  <c r="S63" i="13" s="1"/>
  <c r="S64" i="13" s="1"/>
  <c r="V62" i="13"/>
  <c r="V63" i="13" s="1"/>
  <c r="V64" i="13" s="1"/>
  <c r="U62" i="13"/>
  <c r="U63" i="13" s="1"/>
  <c r="U64" i="13" s="1"/>
  <c r="AB62" i="13"/>
  <c r="AB63" i="13" s="1"/>
  <c r="Q47" i="1" s="1"/>
  <c r="Q48" i="1" s="1"/>
  <c r="T62" i="13"/>
  <c r="T63" i="13" s="1"/>
  <c r="T64" i="13" s="1"/>
  <c r="R62" i="13"/>
  <c r="R63" i="13" s="1"/>
  <c r="R64" i="13" s="1"/>
  <c r="Q62" i="13"/>
  <c r="Q63" i="13" s="1"/>
  <c r="Q64" i="13" s="1"/>
  <c r="P62" i="13"/>
  <c r="P63" i="13" s="1"/>
  <c r="P64" i="13" s="1"/>
  <c r="W62" i="13"/>
  <c r="W63" i="13" s="1"/>
  <c r="W64" i="13" s="1"/>
  <c r="X62" i="13"/>
  <c r="X63" i="13" s="1"/>
  <c r="X64" i="13" s="1"/>
  <c r="X44" i="13"/>
  <c r="X45" i="13" s="1"/>
  <c r="X46" i="13" s="1"/>
  <c r="P44" i="13"/>
  <c r="P45" i="13" s="1"/>
  <c r="P46" i="13" s="1"/>
  <c r="W44" i="13"/>
  <c r="W45" i="13" s="1"/>
  <c r="W46" i="13" s="1"/>
  <c r="O44" i="13"/>
  <c r="O45" i="13" s="1"/>
  <c r="O46" i="13" s="1"/>
  <c r="V44" i="13"/>
  <c r="V45" i="13" s="1"/>
  <c r="V46" i="13" s="1"/>
  <c r="AC44" i="13"/>
  <c r="AC45" i="13" s="1"/>
  <c r="R41" i="1" s="1"/>
  <c r="R42" i="1" s="1"/>
  <c r="AB44" i="13"/>
  <c r="AB45" i="13" s="1"/>
  <c r="Q41" i="1" s="1"/>
  <c r="Q42" i="1" s="1"/>
  <c r="Q44" i="13"/>
  <c r="Q45" i="13" s="1"/>
  <c r="Q46" i="13" s="1"/>
  <c r="U44" i="13"/>
  <c r="U45" i="13" s="1"/>
  <c r="U46" i="13" s="1"/>
  <c r="T44" i="13"/>
  <c r="T45" i="13" s="1"/>
  <c r="T46" i="13" s="1"/>
  <c r="S44" i="13"/>
  <c r="S45" i="13" s="1"/>
  <c r="S46" i="13" s="1"/>
  <c r="R44" i="13"/>
  <c r="R45" i="13" s="1"/>
  <c r="R46" i="13" s="1"/>
  <c r="BJ22" i="11"/>
  <c r="Q15" i="1" s="1"/>
  <c r="Q16" i="1"/>
  <c r="BF27" i="11"/>
  <c r="BE27" i="11"/>
  <c r="BG27" i="11"/>
  <c r="BD27" i="11" s="1"/>
  <c r="L19" i="1" s="1"/>
  <c r="BK27" i="11"/>
  <c r="R19" i="1" s="1"/>
  <c r="BJ26" i="11"/>
  <c r="Q18" i="1" s="1"/>
  <c r="BC23" i="11"/>
  <c r="K16" i="1" s="1"/>
  <c r="BB23" i="11"/>
  <c r="J16" i="1" s="1"/>
  <c r="BA23" i="11"/>
  <c r="I16" i="1" s="1"/>
  <c r="AZ23" i="11"/>
  <c r="H16" i="1" s="1"/>
  <c r="AX23" i="11"/>
  <c r="F16" i="1" s="1"/>
  <c r="BE23" i="11"/>
  <c r="M16" i="1" s="1"/>
  <c r="BG23" i="11"/>
  <c r="BG22" i="11" s="1"/>
  <c r="AY23" i="11"/>
  <c r="G16" i="1" s="1"/>
  <c r="BK23" i="11"/>
  <c r="R16" i="1" s="1"/>
  <c r="BF23" i="11"/>
  <c r="N16" i="1" s="1"/>
  <c r="BD23" i="11"/>
  <c r="L16" i="1" s="1"/>
  <c r="AW23" i="11"/>
  <c r="E16" i="1" s="1"/>
  <c r="BK19" i="11"/>
  <c r="R13" i="1" s="1"/>
  <c r="BB19" i="11"/>
  <c r="J13" i="1" s="1"/>
  <c r="BF19" i="11"/>
  <c r="N13" i="1" s="1"/>
  <c r="AZ19" i="11"/>
  <c r="H13" i="1" s="1"/>
  <c r="AX19" i="11"/>
  <c r="F13" i="1" s="1"/>
  <c r="BG19" i="11"/>
  <c r="BG18" i="11" s="1"/>
  <c r="BC19" i="11"/>
  <c r="K13" i="1" s="1"/>
  <c r="BE19" i="11"/>
  <c r="M13" i="1" s="1"/>
  <c r="AW19" i="11"/>
  <c r="E13" i="1" s="1"/>
  <c r="BA19" i="11"/>
  <c r="I13" i="1" s="1"/>
  <c r="BD19" i="11"/>
  <c r="L13" i="1" s="1"/>
  <c r="BJ18" i="11"/>
  <c r="Q12" i="1" s="1"/>
  <c r="AY19" i="11"/>
  <c r="G13" i="1" s="1"/>
  <c r="BE15" i="11"/>
  <c r="M10" i="1" s="1"/>
  <c r="AW15" i="11"/>
  <c r="E10" i="1" s="1"/>
  <c r="BG15" i="11"/>
  <c r="BG14" i="11" s="1"/>
  <c r="BD15" i="11"/>
  <c r="L10" i="1" s="1"/>
  <c r="AX15" i="11"/>
  <c r="F10" i="1" s="1"/>
  <c r="BA15" i="11"/>
  <c r="I10" i="1" s="1"/>
  <c r="AY15" i="11"/>
  <c r="G10" i="1" s="1"/>
  <c r="BC15" i="11"/>
  <c r="K10" i="1" s="1"/>
  <c r="BF15" i="11"/>
  <c r="N10" i="1" s="1"/>
  <c r="BK15" i="11"/>
  <c r="R10" i="1" s="1"/>
  <c r="BB15" i="11"/>
  <c r="J10" i="1" s="1"/>
  <c r="AZ15" i="11"/>
  <c r="H10" i="1" s="1"/>
  <c r="BJ14" i="11"/>
  <c r="Q9" i="1" s="1"/>
  <c r="BK2" i="6"/>
  <c r="BG2" i="6"/>
  <c r="BF2" i="6"/>
  <c r="BE2" i="6"/>
  <c r="BD2" i="6"/>
  <c r="BC2" i="6"/>
  <c r="BB2" i="6"/>
  <c r="BA2" i="6"/>
  <c r="AO6" i="5"/>
  <c r="AP6" i="5"/>
  <c r="AO7" i="5"/>
  <c r="AP7" i="5"/>
  <c r="AO8" i="5"/>
  <c r="AP8" i="5"/>
  <c r="AO9" i="5"/>
  <c r="AP9" i="5"/>
  <c r="AO10" i="5"/>
  <c r="AP10" i="5"/>
  <c r="AO11" i="5"/>
  <c r="BJ2" i="6" s="1"/>
  <c r="AP11" i="5"/>
  <c r="AO12" i="5"/>
  <c r="AP12" i="5"/>
  <c r="AO13" i="5"/>
  <c r="AP13" i="5"/>
  <c r="AO14" i="5"/>
  <c r="AB2" i="13" s="1"/>
  <c r="AB7" i="13" s="1"/>
  <c r="AP14" i="5"/>
  <c r="AC2" i="13" s="1"/>
  <c r="AC7" i="13" s="1"/>
  <c r="AO15" i="5"/>
  <c r="AP15" i="5"/>
  <c r="AO16" i="5"/>
  <c r="AB2" i="15" s="1"/>
  <c r="AB7" i="15" s="1"/>
  <c r="AP16" i="5"/>
  <c r="AC2" i="15" s="1"/>
  <c r="AC7" i="15" s="1"/>
  <c r="AO17" i="5"/>
  <c r="AP17" i="5"/>
  <c r="AO18" i="5"/>
  <c r="AP18" i="5"/>
  <c r="AO19" i="5"/>
  <c r="AP19" i="5"/>
  <c r="AO20" i="5"/>
  <c r="AP20" i="5"/>
  <c r="AO21" i="5"/>
  <c r="R2" i="7" s="1"/>
  <c r="AP21" i="5"/>
  <c r="S2" i="7" s="1"/>
  <c r="AO22" i="5"/>
  <c r="AP22" i="5"/>
  <c r="AO23" i="5"/>
  <c r="AP23" i="5"/>
  <c r="AO24" i="5"/>
  <c r="AP24" i="5"/>
  <c r="AO25" i="5"/>
  <c r="AP25" i="5"/>
  <c r="AO26" i="5"/>
  <c r="BJ2" i="12" s="1"/>
  <c r="BJ7" i="12" s="1"/>
  <c r="AP26" i="5"/>
  <c r="BK2" i="12" s="1"/>
  <c r="BK7" i="12" s="1"/>
  <c r="AO27" i="5"/>
  <c r="AP27" i="5"/>
  <c r="AO28" i="5"/>
  <c r="AP28" i="5"/>
  <c r="AO29" i="5"/>
  <c r="AP29" i="5"/>
  <c r="AO30" i="5"/>
  <c r="AP30" i="5"/>
  <c r="AO31" i="5"/>
  <c r="AP31" i="5"/>
  <c r="AO32" i="5"/>
  <c r="AP32" i="5"/>
  <c r="AP33" i="5"/>
  <c r="BK2" i="11" s="1"/>
  <c r="BK7" i="11" s="1"/>
  <c r="AP5" i="5"/>
  <c r="AO5" i="5"/>
  <c r="AL6" i="5"/>
  <c r="AM6" i="5"/>
  <c r="AL7" i="5"/>
  <c r="AM7" i="5"/>
  <c r="AL8" i="5"/>
  <c r="AM8" i="5"/>
  <c r="AL9" i="5"/>
  <c r="AM9" i="5"/>
  <c r="AL10" i="5"/>
  <c r="AM10" i="5"/>
  <c r="AL11" i="5"/>
  <c r="AM11" i="5"/>
  <c r="AL12" i="5"/>
  <c r="AM12" i="5"/>
  <c r="AL13" i="5"/>
  <c r="AM13" i="5"/>
  <c r="AL14" i="5"/>
  <c r="AM14" i="5"/>
  <c r="AL15" i="5"/>
  <c r="AM15" i="5"/>
  <c r="AL16" i="5"/>
  <c r="AM16" i="5"/>
  <c r="AL17" i="5"/>
  <c r="AM17" i="5"/>
  <c r="AL18" i="5"/>
  <c r="AM18" i="5"/>
  <c r="AL19" i="5"/>
  <c r="AM19" i="5"/>
  <c r="AL20" i="5"/>
  <c r="AM20" i="5"/>
  <c r="AL21" i="5"/>
  <c r="AM21" i="5"/>
  <c r="AL22" i="5"/>
  <c r="AM22" i="5"/>
  <c r="AL23" i="5"/>
  <c r="AM23" i="5"/>
  <c r="AL24" i="5"/>
  <c r="AM24" i="5"/>
  <c r="AL25" i="5"/>
  <c r="AM25" i="5"/>
  <c r="AL26" i="5"/>
  <c r="AM26" i="5"/>
  <c r="AL27" i="5"/>
  <c r="AM27" i="5"/>
  <c r="AL28" i="5"/>
  <c r="AM28" i="5"/>
  <c r="AL29" i="5"/>
  <c r="AM29" i="5"/>
  <c r="AL30" i="5"/>
  <c r="AM30" i="5"/>
  <c r="AL31" i="5"/>
  <c r="AM31" i="5"/>
  <c r="AL32" i="5"/>
  <c r="AM32" i="5"/>
  <c r="AL33" i="5"/>
  <c r="AM33" i="5"/>
  <c r="AL5" i="5"/>
  <c r="AM5" i="5"/>
  <c r="S2" i="17" l="1"/>
  <c r="S7" i="17" s="1"/>
  <c r="AC2" i="16"/>
  <c r="AC7" i="16" s="1"/>
  <c r="R2" i="17"/>
  <c r="R7" i="17" s="1"/>
  <c r="AB2" i="16"/>
  <c r="AB7" i="16" s="1"/>
  <c r="L41" i="1"/>
  <c r="L42" i="1" s="1"/>
  <c r="H47" i="1"/>
  <c r="H48" i="1" s="1"/>
  <c r="J33" i="1"/>
  <c r="G47" i="1"/>
  <c r="G48" i="1" s="1"/>
  <c r="M47" i="1"/>
  <c r="M48" i="1" s="1"/>
  <c r="I47" i="1"/>
  <c r="I48" i="1" s="1"/>
  <c r="N33" i="1"/>
  <c r="F47" i="1"/>
  <c r="F48" i="1" s="1"/>
  <c r="E47" i="1"/>
  <c r="E48" i="1" s="1"/>
  <c r="F33" i="1"/>
  <c r="H33" i="1"/>
  <c r="L33" i="1"/>
  <c r="E33" i="1"/>
  <c r="I33" i="1"/>
  <c r="H41" i="1"/>
  <c r="H42" i="1" s="1"/>
  <c r="E41" i="1"/>
  <c r="E42" i="1" s="1"/>
  <c r="I41" i="1"/>
  <c r="I42" i="1" s="1"/>
  <c r="M41" i="1"/>
  <c r="M42" i="1" s="1"/>
  <c r="J47" i="1"/>
  <c r="J48" i="1" s="1"/>
  <c r="J41" i="1"/>
  <c r="K41" i="1"/>
  <c r="N41" i="1"/>
  <c r="N42" i="1" s="1"/>
  <c r="K47" i="1"/>
  <c r="K48" i="1" s="1"/>
  <c r="F41" i="1"/>
  <c r="F42" i="1" s="1"/>
  <c r="M33" i="1"/>
  <c r="G41" i="1"/>
  <c r="N47" i="1"/>
  <c r="N48" i="1" s="1"/>
  <c r="L47" i="1"/>
  <c r="L48" i="1" s="1"/>
  <c r="U6" i="7"/>
  <c r="T6" i="7"/>
  <c r="V6" i="7"/>
  <c r="BD26" i="11"/>
  <c r="L18" i="1" s="1"/>
  <c r="BG26" i="11"/>
  <c r="BE26" i="11"/>
  <c r="M18" i="1" s="1"/>
  <c r="M19" i="1"/>
  <c r="BF26" i="11"/>
  <c r="N18" i="1" s="1"/>
  <c r="N19" i="1"/>
  <c r="BC22" i="11"/>
  <c r="K15" i="1" s="1"/>
  <c r="AX22" i="11"/>
  <c r="F15" i="1" s="1"/>
  <c r="BD22" i="11"/>
  <c r="L15" i="1" s="1"/>
  <c r="BA22" i="11"/>
  <c r="I15" i="1" s="1"/>
  <c r="BB22" i="11"/>
  <c r="J15" i="1" s="1"/>
  <c r="BF22" i="11"/>
  <c r="N15" i="1" s="1"/>
  <c r="BE22" i="11"/>
  <c r="M15" i="1" s="1"/>
  <c r="AZ22" i="11"/>
  <c r="H15" i="1" s="1"/>
  <c r="BK22" i="11"/>
  <c r="R15" i="1" s="1"/>
  <c r="AW22" i="11"/>
  <c r="E15" i="1" s="1"/>
  <c r="AY18" i="11"/>
  <c r="G12" i="1" s="1"/>
  <c r="BB18" i="11"/>
  <c r="J12" i="1" s="1"/>
  <c r="BA14" i="11"/>
  <c r="I9" i="1" s="1"/>
  <c r="AZ18" i="11"/>
  <c r="H12" i="1" s="1"/>
  <c r="BD18" i="11"/>
  <c r="L12" i="1" s="1"/>
  <c r="AX14" i="11"/>
  <c r="F9" i="1" s="1"/>
  <c r="BA27" i="11"/>
  <c r="I19" i="1" s="1"/>
  <c r="BD14" i="11"/>
  <c r="L9" i="1" s="1"/>
  <c r="BF18" i="11"/>
  <c r="N12" i="1" s="1"/>
  <c r="BA18" i="11"/>
  <c r="I12" i="1" s="1"/>
  <c r="BB27" i="11"/>
  <c r="J19" i="1" s="1"/>
  <c r="BC14" i="11"/>
  <c r="K9" i="1" s="1"/>
  <c r="AY14" i="11"/>
  <c r="G9" i="1" s="1"/>
  <c r="BB14" i="11"/>
  <c r="J9" i="1" s="1"/>
  <c r="BK26" i="11"/>
  <c r="R18" i="1" s="1"/>
  <c r="BK14" i="11"/>
  <c r="R9" i="1" s="1"/>
  <c r="AW14" i="11"/>
  <c r="E9" i="1" s="1"/>
  <c r="BE18" i="11"/>
  <c r="M12" i="1" s="1"/>
  <c r="BC27" i="11"/>
  <c r="K19" i="1" s="1"/>
  <c r="BK18" i="11"/>
  <c r="R12" i="1" s="1"/>
  <c r="BC18" i="11"/>
  <c r="K12" i="1" s="1"/>
  <c r="AZ14" i="11"/>
  <c r="H9" i="1" s="1"/>
  <c r="AY22" i="11"/>
  <c r="G15" i="1" s="1"/>
  <c r="BF14" i="11"/>
  <c r="N9" i="1" s="1"/>
  <c r="BE14" i="11"/>
  <c r="M9" i="1" s="1"/>
  <c r="AW18" i="11"/>
  <c r="E12" i="1" s="1"/>
  <c r="AX18" i="11"/>
  <c r="F12" i="1" s="1"/>
  <c r="BM34" i="6"/>
  <c r="BF5" i="6" s="1"/>
  <c r="G42" i="1" l="1"/>
  <c r="K42" i="1"/>
  <c r="J42" i="1"/>
  <c r="N7" i="7"/>
  <c r="N8" i="7" s="1"/>
  <c r="N9" i="7" s="1"/>
  <c r="L7" i="7"/>
  <c r="L8" i="7" s="1"/>
  <c r="L9" i="7" s="1"/>
  <c r="I7" i="7"/>
  <c r="I8" i="7" s="1"/>
  <c r="I9" i="7" s="1"/>
  <c r="G7" i="7"/>
  <c r="G8" i="7" s="1"/>
  <c r="M7" i="7"/>
  <c r="M8" i="7" s="1"/>
  <c r="M9" i="7" s="1"/>
  <c r="O7" i="7"/>
  <c r="O8" i="7" s="1"/>
  <c r="O9" i="7" s="1"/>
  <c r="K7" i="7"/>
  <c r="K8" i="7" s="1"/>
  <c r="K9" i="7" s="1"/>
  <c r="P7" i="7"/>
  <c r="J7" i="7"/>
  <c r="J8" i="7" s="1"/>
  <c r="J9" i="7" s="1"/>
  <c r="H7" i="7"/>
  <c r="H8" i="7" s="1"/>
  <c r="H9" i="7" s="1"/>
  <c r="F7" i="7"/>
  <c r="F8" i="7" s="1"/>
  <c r="AX27" i="11"/>
  <c r="F19" i="1" s="1"/>
  <c r="BA26" i="11"/>
  <c r="I18" i="1" s="1"/>
  <c r="AZ27" i="11"/>
  <c r="H19" i="1" s="1"/>
  <c r="BC26" i="11"/>
  <c r="K18" i="1" s="1"/>
  <c r="AY27" i="11"/>
  <c r="G19" i="1" s="1"/>
  <c r="BB26" i="11"/>
  <c r="J18" i="1" s="1"/>
  <c r="BF10" i="6"/>
  <c r="BC5" i="6"/>
  <c r="BD5" i="6"/>
  <c r="BB5" i="6"/>
  <c r="AW5" i="6" s="1"/>
  <c r="BE5" i="6"/>
  <c r="BF6" i="6"/>
  <c r="F9" i="7" l="1"/>
  <c r="P8" i="7"/>
  <c r="R8" i="7" s="1"/>
  <c r="G9" i="7"/>
  <c r="AY26" i="11"/>
  <c r="G18" i="1" s="1"/>
  <c r="AW27" i="11"/>
  <c r="E19" i="1" s="1"/>
  <c r="AZ26" i="11"/>
  <c r="H18" i="1" s="1"/>
  <c r="AX26" i="11"/>
  <c r="F18" i="1" s="1"/>
  <c r="AW10" i="6"/>
  <c r="AW6" i="6"/>
  <c r="BE10" i="6"/>
  <c r="BE6" i="6"/>
  <c r="BB10" i="6"/>
  <c r="AX5" i="6"/>
  <c r="BB6" i="6"/>
  <c r="AY5" i="6"/>
  <c r="BA5" i="6"/>
  <c r="BG5" i="6"/>
  <c r="AZ5" i="6"/>
  <c r="BD10" i="6"/>
  <c r="BD6" i="6"/>
  <c r="BC10" i="6"/>
  <c r="BC6" i="6"/>
  <c r="S8" i="7" l="1"/>
  <c r="R59" i="1" s="1"/>
  <c r="Q59" i="1"/>
  <c r="R5" i="7"/>
  <c r="Q61" i="1" s="1"/>
  <c r="P9" i="7"/>
  <c r="E59" i="1"/>
  <c r="AW26" i="11"/>
  <c r="E18" i="1" s="1"/>
  <c r="AX10" i="6"/>
  <c r="AX6" i="6"/>
  <c r="BG10" i="6"/>
  <c r="BG6" i="6"/>
  <c r="BA10" i="6"/>
  <c r="BA6" i="6"/>
  <c r="AY10" i="6"/>
  <c r="AY6" i="6"/>
  <c r="BM6" i="6" s="1" a="1"/>
  <c r="AZ10" i="6"/>
  <c r="AZ6" i="6"/>
  <c r="L62" i="1" l="1"/>
  <c r="L63" i="1" s="1"/>
  <c r="N62" i="1"/>
  <c r="N63" i="1" s="1"/>
  <c r="J62" i="1"/>
  <c r="J63" i="1" s="1"/>
  <c r="E62" i="1"/>
  <c r="E63" i="1" s="1"/>
  <c r="M62" i="1"/>
  <c r="M63" i="1" s="1"/>
  <c r="I62" i="1"/>
  <c r="I63" i="1" s="1"/>
  <c r="G62" i="1"/>
  <c r="G63" i="1" s="1"/>
  <c r="F62" i="1"/>
  <c r="F63" i="1" s="1"/>
  <c r="H62" i="1"/>
  <c r="H63" i="1" s="1"/>
  <c r="K62" i="1"/>
  <c r="K63" i="1" s="1"/>
  <c r="BN10" i="6"/>
  <c r="R61" i="1"/>
  <c r="R60" i="1" s="1"/>
  <c r="L61" i="1"/>
  <c r="G61" i="1"/>
  <c r="F61" i="1"/>
  <c r="N61" i="1"/>
  <c r="J61" i="1"/>
  <c r="H61" i="1"/>
  <c r="K61" i="1"/>
  <c r="E61" i="1"/>
  <c r="E60" i="1" s="1"/>
  <c r="M61" i="1"/>
  <c r="I61" i="1"/>
  <c r="N59" i="1"/>
  <c r="Q60" i="1"/>
  <c r="F59" i="1"/>
  <c r="L59" i="1"/>
  <c r="H59" i="1"/>
  <c r="M59" i="1"/>
  <c r="K59" i="1"/>
  <c r="J59" i="1"/>
  <c r="I59" i="1"/>
  <c r="I60" i="1" s="1"/>
  <c r="G59" i="1"/>
  <c r="G60" i="1" s="1"/>
  <c r="BM6" i="6"/>
  <c r="BO6" i="6"/>
  <c r="BN6" i="6"/>
  <c r="BJ7" i="6" l="1"/>
  <c r="L60" i="1"/>
  <c r="F60" i="1"/>
  <c r="N60" i="1"/>
  <c r="H60" i="1"/>
  <c r="BG7" i="6"/>
  <c r="BG8" i="6" s="1"/>
  <c r="BG9" i="6" s="1"/>
  <c r="J60" i="1"/>
  <c r="K60" i="1"/>
  <c r="M60" i="1"/>
  <c r="BK7" i="6"/>
  <c r="BD7" i="6"/>
  <c r="BD8" i="6" s="1"/>
  <c r="BD9" i="6" s="1"/>
  <c r="AW7" i="6"/>
  <c r="AW8" i="6" s="1"/>
  <c r="AZ7" i="6"/>
  <c r="AZ8" i="6" s="1"/>
  <c r="AZ9" i="6" s="1"/>
  <c r="AX7" i="6"/>
  <c r="BF7" i="6"/>
  <c r="BF8" i="6" s="1"/>
  <c r="BF9" i="6" s="1"/>
  <c r="BA7" i="6"/>
  <c r="BA8" i="6" s="1"/>
  <c r="BA9" i="6" s="1"/>
  <c r="BB7" i="6"/>
  <c r="BB8" i="6" s="1"/>
  <c r="BB9" i="6" s="1"/>
  <c r="BE7" i="6"/>
  <c r="BE8" i="6" s="1"/>
  <c r="BE9" i="6" s="1"/>
  <c r="AY7" i="6"/>
  <c r="AY8" i="6" s="1"/>
  <c r="BC7" i="6"/>
  <c r="BC8" i="6" s="1"/>
  <c r="BC9" i="6" s="1"/>
  <c r="AX8" i="6" l="1"/>
  <c r="AX9" i="6" s="1"/>
  <c r="AY9" i="6"/>
  <c r="BJ8" i="6" l="1"/>
  <c r="BJ5" i="6" s="1"/>
  <c r="BK8" i="6"/>
  <c r="BK17" i="6" s="1"/>
  <c r="AW9" i="6"/>
  <c r="BG17" i="6" l="1"/>
  <c r="BJ15" i="6"/>
  <c r="BE13" i="6"/>
  <c r="M2" i="1" s="1"/>
  <c r="BC17" i="6"/>
  <c r="K5" i="1" s="1"/>
  <c r="BJ13" i="6"/>
  <c r="Q2" i="1" s="1"/>
  <c r="AY13" i="6"/>
  <c r="G2" i="1" s="1"/>
  <c r="BD17" i="6"/>
  <c r="L5" i="1" s="1"/>
  <c r="BE17" i="6"/>
  <c r="M5" i="1" s="1"/>
  <c r="BD13" i="6"/>
  <c r="L2" i="1" s="1"/>
  <c r="AY17" i="6"/>
  <c r="G5" i="1" s="1"/>
  <c r="I2" i="1"/>
  <c r="BF13" i="6"/>
  <c r="N2" i="1" s="1"/>
  <c r="BF17" i="6"/>
  <c r="N5" i="1" s="1"/>
  <c r="BB17" i="6"/>
  <c r="J5" i="1" s="1"/>
  <c r="BK13" i="6"/>
  <c r="R2" i="1" s="1"/>
  <c r="BC13" i="6"/>
  <c r="K2" i="1" s="1"/>
  <c r="AW17" i="6"/>
  <c r="E5" i="1" s="1"/>
  <c r="AW13" i="6"/>
  <c r="E2" i="1" s="1"/>
  <c r="BJ17" i="6"/>
  <c r="Q5" i="1" s="1"/>
  <c r="AX17" i="6"/>
  <c r="F5" i="1" s="1"/>
  <c r="AZ13" i="6"/>
  <c r="H2" i="1" s="1"/>
  <c r="BB13" i="6"/>
  <c r="J2" i="1" s="1"/>
  <c r="AX13" i="6"/>
  <c r="F2" i="1" s="1"/>
  <c r="BA17" i="6"/>
  <c r="I5" i="1" s="1"/>
  <c r="AZ17" i="6"/>
  <c r="H5" i="1" s="1"/>
  <c r="BG13" i="6"/>
  <c r="R5" i="1"/>
  <c r="BJ19" i="6" l="1"/>
  <c r="BK15" i="6"/>
  <c r="R4" i="1" s="1"/>
  <c r="Q4" i="1"/>
  <c r="BJ14" i="6"/>
  <c r="Q3" i="1" s="1"/>
  <c r="BK19" i="6"/>
  <c r="AX19" i="6"/>
  <c r="Q7" i="1"/>
  <c r="AW19" i="6"/>
  <c r="BJ18" i="6"/>
  <c r="Q6" i="1" s="1"/>
  <c r="BK14" i="6"/>
  <c r="R3" i="1" s="1"/>
  <c r="AW15" i="6"/>
  <c r="AZ15" i="6"/>
  <c r="AY15" i="6"/>
  <c r="BF15" i="6"/>
  <c r="BE15" i="6"/>
  <c r="BD15" i="6"/>
  <c r="BC15" i="6"/>
  <c r="BG15" i="6"/>
  <c r="BG14" i="6" s="1"/>
  <c r="BB15" i="6"/>
  <c r="AX15" i="6"/>
  <c r="BA15" i="6"/>
  <c r="BG19" i="6"/>
  <c r="BG18" i="6" s="1"/>
  <c r="AY19" i="6"/>
  <c r="BF19" i="6"/>
  <c r="BE19" i="6"/>
  <c r="BC19" i="6"/>
  <c r="BB19" i="6"/>
  <c r="AZ19" i="6"/>
  <c r="BD19" i="6"/>
  <c r="BA19" i="6"/>
  <c r="BB18" i="6" l="1"/>
  <c r="J6" i="1" s="1"/>
  <c r="J7" i="1"/>
  <c r="BB14" i="6"/>
  <c r="J3" i="1" s="1"/>
  <c r="J4" i="1"/>
  <c r="BE18" i="6"/>
  <c r="M6" i="1" s="1"/>
  <c r="M7" i="1"/>
  <c r="BC14" i="6"/>
  <c r="K3" i="1" s="1"/>
  <c r="K4" i="1"/>
  <c r="BF18" i="6"/>
  <c r="N6" i="1" s="1"/>
  <c r="N7" i="1"/>
  <c r="AY18" i="6"/>
  <c r="G6" i="1" s="1"/>
  <c r="G7" i="1"/>
  <c r="AW14" i="6"/>
  <c r="E3" i="1" s="1"/>
  <c r="E4" i="1"/>
  <c r="BC18" i="6"/>
  <c r="K6" i="1" s="1"/>
  <c r="K7" i="1"/>
  <c r="BE14" i="6"/>
  <c r="M3" i="1" s="1"/>
  <c r="M4" i="1"/>
  <c r="AW18" i="6"/>
  <c r="E6" i="1" s="1"/>
  <c r="E7" i="1"/>
  <c r="BA18" i="6"/>
  <c r="I6" i="1" s="1"/>
  <c r="I7" i="1"/>
  <c r="BF14" i="6"/>
  <c r="N3" i="1" s="1"/>
  <c r="N4" i="1"/>
  <c r="F7" i="1"/>
  <c r="AX18" i="6"/>
  <c r="F6" i="1" s="1"/>
  <c r="BD14" i="6"/>
  <c r="L3" i="1" s="1"/>
  <c r="L4" i="1"/>
  <c r="BD18" i="6"/>
  <c r="L6" i="1" s="1"/>
  <c r="L7" i="1"/>
  <c r="BA14" i="6"/>
  <c r="I3" i="1" s="1"/>
  <c r="I4" i="1"/>
  <c r="AY14" i="6"/>
  <c r="G3" i="1" s="1"/>
  <c r="G4" i="1"/>
  <c r="AZ18" i="6"/>
  <c r="H6" i="1" s="1"/>
  <c r="H7" i="1"/>
  <c r="AX14" i="6"/>
  <c r="F3" i="1" s="1"/>
  <c r="F4" i="1"/>
  <c r="AZ14" i="6"/>
  <c r="H3" i="1" s="1"/>
  <c r="H4" i="1"/>
  <c r="R7" i="1"/>
  <c r="BK18" i="6"/>
  <c r="R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S58" authorId="0" shapeId="0" xr:uid="{00000000-0006-0000-02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S59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S63" authorId="0" shapeId="0" xr:uid="{00000000-0006-0000-02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  <comment ref="AS66" authorId="0" shapeId="0" xr:uid="{00000000-0006-0000-0200-000004000000}">
      <text>
        <r>
          <rPr>
            <sz val="9"/>
            <color rgb="FF000000"/>
            <rFont val="Tahoma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<sst xmlns="http://schemas.openxmlformats.org/spreadsheetml/2006/main" count="2216" uniqueCount="312">
  <si>
    <t>Latvia</t>
  </si>
  <si>
    <t>Sweden</t>
  </si>
  <si>
    <t xml:space="preserve">Services </t>
  </si>
  <si>
    <t>Households</t>
  </si>
  <si>
    <t xml:space="preserve">Industry, building and construction, etc. </t>
  </si>
  <si>
    <t>Sum</t>
  </si>
  <si>
    <t>Norway</t>
  </si>
  <si>
    <t>Finland</t>
  </si>
  <si>
    <t>Turku</t>
  </si>
  <si>
    <t>Tampere</t>
  </si>
  <si>
    <t>Oulu</t>
  </si>
  <si>
    <t>Helsinki</t>
  </si>
  <si>
    <t>Espoo</t>
  </si>
  <si>
    <t>Vantaa</t>
  </si>
  <si>
    <t>Poland</t>
  </si>
  <si>
    <t>GEO/TIME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</si>
  <si>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</si>
  <si>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</si>
  <si>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</si>
  <si>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</si>
  <si>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</si>
  <si>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</si>
  <si>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</si>
  <si>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</si>
  <si>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</si>
  <si>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</si>
  <si>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</si>
  <si>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</si>
  <si>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</si>
  <si>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</si>
  <si>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</si>
  <si>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</si>
  <si>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</si>
  <si>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</si>
  <si>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European Union - 27 countries (from 2020)</t>
  </si>
  <si>
    <t>France</t>
  </si>
  <si>
    <t>Germany (until 1990 former territory of the FRG)</t>
  </si>
  <si>
    <t>Greece</t>
  </si>
  <si>
    <t>Hungary</t>
  </si>
  <si>
    <t>Ireland</t>
  </si>
  <si>
    <t>Italy</t>
  </si>
  <si>
    <t>Lithuania</t>
  </si>
  <si>
    <t>Luxembourg</t>
  </si>
  <si>
    <t>Malta</t>
  </si>
  <si>
    <t>Netherlands</t>
  </si>
  <si>
    <t>Portugal</t>
  </si>
  <si>
    <t>Romania</t>
  </si>
  <si>
    <t>Slovakia</t>
  </si>
  <si>
    <t>Slovenia</t>
  </si>
  <si>
    <t>Spain</t>
  </si>
  <si>
    <t>Special value:</t>
  </si>
  <si>
    <t>:</t>
  </si>
  <si>
    <t>not available</t>
  </si>
  <si>
    <t>UNIT</t>
  </si>
  <si>
    <t>Number</t>
  </si>
  <si>
    <t>INDIC_NRG</t>
  </si>
  <si>
    <t>Cooling degree days</t>
  </si>
  <si>
    <t>min</t>
  </si>
  <si>
    <t>max</t>
  </si>
  <si>
    <t>HDD:</t>
  </si>
  <si>
    <t>hdd</t>
  </si>
  <si>
    <t>pop</t>
  </si>
  <si>
    <t>mill</t>
  </si>
  <si>
    <t>DH</t>
  </si>
  <si>
    <t>GWh</t>
  </si>
  <si>
    <t>Total</t>
  </si>
  <si>
    <t>DKE1</t>
  </si>
  <si>
    <t>DKW1</t>
  </si>
  <si>
    <t>Country</t>
  </si>
  <si>
    <t>Area</t>
  </si>
  <si>
    <t>Parameter</t>
  </si>
  <si>
    <t>Unit</t>
  </si>
  <si>
    <t>TIME</t>
  </si>
  <si>
    <t>Energy use</t>
  </si>
  <si>
    <t>Space heating</t>
  </si>
  <si>
    <t>Space cooling</t>
  </si>
  <si>
    <t>Water heating</t>
  </si>
  <si>
    <t>Cooking</t>
  </si>
  <si>
    <t>avg</t>
  </si>
  <si>
    <t>Space Heating</t>
  </si>
  <si>
    <t>Water Heating</t>
  </si>
  <si>
    <t>b</t>
  </si>
  <si>
    <t>m2</t>
  </si>
  <si>
    <t>m1</t>
  </si>
  <si>
    <t>Adapted Space Heating</t>
  </si>
  <si>
    <t>Adapted DH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</si>
  <si>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</si>
  <si>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</si>
  <si>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</si>
  <si>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</si>
  <si>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</si>
  <si>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</si>
  <si>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</si>
  <si>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</si>
  <si>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</si>
  <si>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</si>
  <si>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</si>
  <si>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</si>
  <si>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</si>
  <si>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</si>
  <si>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</si>
  <si>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</si>
  <si>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</si>
  <si>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</si>
  <si>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</si>
  <si>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</si>
  <si>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</si>
  <si>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</si>
  <si>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</si>
  <si>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https://ec.europa.eu/eurostat/databrowser/view/NRG_CHDD_A__custom_2749906/default/table?lang=en</t>
  </si>
  <si>
    <t>2010-2021</t>
  </si>
  <si>
    <t>Losses in transportation and supply, GWh</t>
  </si>
  <si>
    <t>Heat supplied to subscribers, GWh</t>
  </si>
  <si>
    <t>..households, GWh</t>
  </si>
  <si>
    <t>Number of heat plants</t>
  </si>
  <si>
    <t>Installed heating capcaity of heat plant, MW</t>
  </si>
  <si>
    <t>Number of CHP plants</t>
  </si>
  <si>
    <t>Installed electrical capacity of CHP plant, MW</t>
  </si>
  <si>
    <t>Data extracted on 24/05/2022 11:46:06 from [ESTAT]</t>
  </si>
  <si>
    <t xml:space="preserve">Dataset: </t>
  </si>
  <si>
    <t xml:space="preserve">Last updated: </t>
  </si>
  <si>
    <t>04/04/2022 23:00</t>
  </si>
  <si>
    <t>Time frequency</t>
  </si>
  <si>
    <t>Demographic indicator</t>
  </si>
  <si>
    <t>e</t>
  </si>
  <si>
    <t>be</t>
  </si>
  <si>
    <t>ep</t>
  </si>
  <si>
    <t>European Union - 28 countries (2013-2020)</t>
  </si>
  <si>
    <t>Euro area - 19 countries  (from 2015)</t>
  </si>
  <si>
    <t>p</t>
  </si>
  <si>
    <t>Euro area - 18 countries (2014)</t>
  </si>
  <si>
    <t>France (metropolitan)</t>
  </si>
  <si>
    <t>Iceland</t>
  </si>
  <si>
    <t>Liechtenstein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</si>
  <si>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</si>
  <si>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</si>
  <si>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</si>
  <si>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</si>
  <si>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</si>
  <si>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</si>
  <si>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</si>
  <si>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</si>
  <si>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</si>
  <si>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</si>
  <si>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</si>
  <si>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</si>
  <si>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</si>
  <si>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</si>
  <si>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</si>
  <si>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</si>
  <si>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</si>
  <si>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</si>
  <si>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</si>
  <si>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Special value</t>
  </si>
  <si>
    <t>Available flags:</t>
  </si>
  <si>
    <t>estimated, provisional</t>
  </si>
  <si>
    <t>break in time series, estimated</t>
  </si>
  <si>
    <t>break in time series</t>
  </si>
  <si>
    <t>estimated</t>
  </si>
  <si>
    <t>provisional</t>
  </si>
  <si>
    <t>Annual</t>
  </si>
  <si>
    <t>Population on 1 January - total</t>
  </si>
  <si>
    <t>LV00</t>
  </si>
  <si>
    <t>Measured DH</t>
  </si>
  <si>
    <t>Adapted/Measured DH</t>
  </si>
  <si>
    <t>Gwh</t>
  </si>
  <si>
    <t xml:space="preserve">Denmark </t>
  </si>
  <si>
    <t>Water heating/water heating+space heating</t>
  </si>
  <si>
    <t>TWh</t>
  </si>
  <si>
    <t>SE01</t>
  </si>
  <si>
    <t>SE02</t>
  </si>
  <si>
    <t>SE03</t>
  </si>
  <si>
    <t>SE04</t>
  </si>
  <si>
    <t>average:</t>
  </si>
  <si>
    <t>Water Heating rate</t>
  </si>
  <si>
    <t>Sources:</t>
  </si>
  <si>
    <t>Energy use distribution: https://ec.europa.eu/eurostat/databrowser/view/nrg_d_hhq/default/table?lang=en</t>
  </si>
  <si>
    <t xml:space="preserve">Population on 1 January [TPS00001] </t>
  </si>
  <si>
    <t>01 Stockholm county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</si>
  <si>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</si>
  <si>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</si>
  <si>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</si>
  <si>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</si>
  <si>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</si>
  <si>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</si>
  <si>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</si>
  <si>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</si>
  <si>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</si>
  <si>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</si>
  <si>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</si>
  <si>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</si>
  <si>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</si>
  <si>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</si>
  <si>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</si>
  <si>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</si>
  <si>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</si>
  <si>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</si>
  <si>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</si>
  <si>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</si>
  <si>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>Population</t>
  </si>
  <si>
    <t>Note: Original values end of Dec, changed to match values in Pop-sheet, that are beginning of Jan</t>
  </si>
  <si>
    <t>Total Heat Consumption</t>
  </si>
  <si>
    <t>Regional population + prediction: https://www.statistikdatabasen.scb.se/pxweb/en/ssd/START__BE__BE0101__BE0101A/BefolkningNy/</t>
  </si>
  <si>
    <t>Total heat consumption: https://pxexternal.energimyndigheten.se/pxweb/sv/%C3%85rlig%20energibalans/%C3%85rlig%20energibalans__Total%20anv%C3%A4ndning%20av%20energivaror/EN0202_6.px</t>
  </si>
  <si>
    <t>2025&amp;2030 from: https://www.statbank.dk/20022</t>
  </si>
  <si>
    <t>Regional population measured: https://www.dst.dk/en/Statistik/emner/borgere/befolkning/befolkningstal</t>
  </si>
  <si>
    <t>Adapted space heating</t>
  </si>
  <si>
    <t>Water heating rate</t>
  </si>
  <si>
    <t>NOM1</t>
  </si>
  <si>
    <t>NON1</t>
  </si>
  <si>
    <t>Total heat consumption:</t>
  </si>
  <si>
    <t>Total heat consumption: https://energifaktanorge.no/en/norsk-energiforsyning/varmeforsyning/#:~:text=In%202019%2C%20district%20heating%20deliveries,of%20around%203%20600%20MW</t>
  </si>
  <si>
    <t>Regional population + prediction: https://www.ssb.no/en/befolkning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</si>
  <si>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</si>
  <si>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</si>
  <si>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</si>
  <si>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</si>
  <si>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</si>
  <si>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</si>
  <si>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</si>
  <si>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</si>
  <si>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</si>
  <si>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</si>
  <si>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</si>
  <si>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</si>
  <si>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</si>
  <si>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</si>
  <si>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</si>
  <si>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</si>
  <si>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</si>
  <si>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t>50 Trøndelag - Trööndelage</t>
    </r>
    <r>
      <rPr>
        <b/>
        <sz val="11"/>
        <color rgb="FFFF0000"/>
        <rFont val="Calibri"/>
        <family val="2"/>
      </rPr>
      <t xml:space="preserve"> (red calculated)</t>
    </r>
  </si>
  <si>
    <r>
      <t xml:space="preserve">16 Sør-Trøndelag (-2017) </t>
    </r>
    <r>
      <rPr>
        <b/>
        <sz val="11"/>
        <color rgb="FFFF0000"/>
        <rFont val="Calibri"/>
        <family val="2"/>
      </rPr>
      <t xml:space="preserve"> (red calculated)</t>
    </r>
  </si>
  <si>
    <r>
      <t xml:space="preserve">NOM1(mil) </t>
    </r>
    <r>
      <rPr>
        <b/>
        <sz val="11"/>
        <color rgb="FFFF0000"/>
        <rFont val="Calibri"/>
        <family val="2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</si>
  <si>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</si>
  <si>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</si>
  <si>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</si>
  <si>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</si>
  <si>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</si>
  <si>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t xml:space="preserve">NON1  </t>
    </r>
    <r>
      <rPr>
        <b/>
        <sz val="11"/>
        <color rgb="FFFF0000"/>
        <rFont val="Calibri"/>
        <family val="2"/>
      </rPr>
      <t>(red calculated)</t>
    </r>
  </si>
  <si>
    <t>NOS0</t>
  </si>
  <si>
    <t>2025 &amp; 2030 from https://www.ssb.no/en/befolkning</t>
  </si>
  <si>
    <t>HDD</t>
  </si>
  <si>
    <t>2025&amp;2030 from https://pxweb2.stat.fi/PxWeb/pxweb/fi/StatFin/StatFin__vaenn/statfin_vaenn_pxt_139f.px/table/tableViewLayout1/</t>
  </si>
  <si>
    <t>FI00</t>
  </si>
  <si>
    <t>Total Measured DH: https://pxweb2.stat.fi/PxWeb/pxweb/fi/StatFin/StatFin__salatuo/statfin_salatuo_pxt_12b7.px/</t>
  </si>
  <si>
    <t>Regional Measured DH: FI DH annual projections.xlsx</t>
  </si>
  <si>
    <t>Produced heat, GWh</t>
  </si>
  <si>
    <t>From: https://ec.europa.eu/eurostat/databrowser/view/nrg_d_hhq/default/table?lang=en</t>
  </si>
  <si>
    <t>From: https://data.stat.gov.lv/pxweb/en/OSP_PUB/START__NOZ__EN__ENB/ENB150</t>
  </si>
  <si>
    <t>Oulun energia</t>
  </si>
  <si>
    <t>Haukiputaan energia</t>
  </si>
  <si>
    <t>Vantaan energia</t>
  </si>
  <si>
    <t>Vantaan aviaenergia</t>
  </si>
  <si>
    <t>DH production (GWh): KL-tilastot in Teams</t>
  </si>
  <si>
    <t>HDD: FI DH annual projections.xlsx</t>
  </si>
  <si>
    <t>Population (mil):FI DH annual projections.xlsx (https://pxnet2.stat.fi/PXWeb/pxweb/fi/Kuntien_avainluvut/Kuntien_avainluvut__2021/kuntien_avainluvut_2021_aikasarja.px/)</t>
  </si>
  <si>
    <t>FI_Helsinki</t>
  </si>
  <si>
    <t>FI_Espoo</t>
  </si>
  <si>
    <t>FI_Vantaa</t>
  </si>
  <si>
    <t>FI_Turku</t>
  </si>
  <si>
    <t>FI_Tampere</t>
  </si>
  <si>
    <t>FI_Oulu</t>
  </si>
  <si>
    <t>Germany</t>
  </si>
  <si>
    <t>DE00</t>
  </si>
  <si>
    <t>Regional population + prediction: FI DH annual projections.xlsx, https://pxnet2.stat.fi/PXWeb/pxweb/fi/Kuntien_avainluvut/Kuntien_avainluvut__2021/kuntien_avainluvut_2021_aikasarja.px/</t>
  </si>
  <si>
    <t xml:space="preserve"> 410 601</t>
  </si>
  <si>
    <t xml:space="preserve"> 374 635</t>
  </si>
  <si>
    <t xml:space="preserve"> 403 237</t>
  </si>
  <si>
    <t xml:space="preserve"> 394 101</t>
  </si>
  <si>
    <t xml:space="preserve"> 409 539</t>
  </si>
  <si>
    <t xml:space="preserve"> 401 729</t>
  </si>
  <si>
    <t xml:space="preserve"> 383 096</t>
  </si>
  <si>
    <t xml:space="preserve"> 434 838</t>
  </si>
  <si>
    <t xml:space="preserve"> 430 540</t>
  </si>
  <si>
    <t xml:space="preserve"> 420 189</t>
  </si>
  <si>
    <t xml:space="preserve"> 471 905</t>
  </si>
  <si>
    <t xml:space="preserve"> 427 625</t>
  </si>
  <si>
    <t xml:space="preserve"> 435 952</t>
  </si>
  <si>
    <t xml:space="preserve"> 427 287</t>
  </si>
  <si>
    <t xml:space="preserve"> 449 608</t>
  </si>
  <si>
    <t xml:space="preserve"> 450 317</t>
  </si>
  <si>
    <t xml:space="preserve"> 448 798</t>
  </si>
  <si>
    <t xml:space="preserve"> 428 501</t>
  </si>
  <si>
    <t xml:space="preserve"> 270 418</t>
  </si>
  <si>
    <t xml:space="preserve"> 267 640</t>
  </si>
  <si>
    <t xml:space="preserve"> 264 730</t>
  </si>
  <si>
    <t>PL00</t>
  </si>
  <si>
    <t>&gt;</t>
  </si>
  <si>
    <t>Total measured DH (TJ): https://www.ure.gov.pl/pl/cieplo/energetyka-cieplna-w-l</t>
  </si>
  <si>
    <t>Tuotanto/TJ</t>
  </si>
  <si>
    <t>Kapsiteetti/MW</t>
  </si>
  <si>
    <t>Tuotanto GWh</t>
  </si>
  <si>
    <t>LT00</t>
  </si>
  <si>
    <t>https://www.regula.lt/en/Pages/the-heat-energy-sector.aspx, https://lsta.lt/en/about-dh-sector/</t>
  </si>
  <si>
    <t>AT00</t>
  </si>
  <si>
    <t>From: https://www.statistik.at/statistiken/energie-und-umwelt/energie/energiegesamtrechnung</t>
  </si>
  <si>
    <t>TJ</t>
  </si>
  <si>
    <t>Produced heat</t>
  </si>
  <si>
    <t>Total measured DH: https://ag-energiebilanzen.de/en/data-and-facts/energy-balance-2000-to-2020/?wpv-jahresbereich-bilanz=2011-2020</t>
  </si>
  <si>
    <t>EE00</t>
  </si>
  <si>
    <t>BE00</t>
  </si>
  <si>
    <t>ES00</t>
  </si>
  <si>
    <t>FR00</t>
  </si>
  <si>
    <t>NL00</t>
  </si>
  <si>
    <t>CH00</t>
  </si>
  <si>
    <t>UK00</t>
  </si>
  <si>
    <t>2025&amp;2030 from eurostat projections unless otherwise mentioned</t>
  </si>
  <si>
    <t>2025&amp;2030 with TREND</t>
  </si>
  <si>
    <t>Measured DH from: https://andmed.stat.ee/et/stat/Lepetatud_tabelid__Majandus.%20Arhiiv__Energeetika.%20Arhiiv/KE04</t>
  </si>
  <si>
    <t>Jyväskylä</t>
  </si>
  <si>
    <t>FI_Jyvaskyla</t>
  </si>
  <si>
    <t>Jyvaskyla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</si>
</sst>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#,##0.##########"/>
    <numFmt numFmtId="166" formatCode="#,##0.000"/>
    <numFmt numFmtId="167" formatCode="#,##0.0000000000"/>
    <numFmt numFmtId="168" formatCode="0.0"/>
    <numFmt numFmtId="169" formatCode="0.000"/>
    <numFmt numFmtId="170" formatCode="0.00000"/>
    <numFmt numFmtId="171" formatCode="[&gt;=0]#,##0.0\ \ ;@\ ____"/>
    <numFmt numFmtId="172" formatCode="0.000000"/>
  </numFmts>
  <fonts count="2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6969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9"/>
      <color rgb="FF000000"/>
      <name val="Tahoma"/>
      <family val="2"/>
    </font>
    <font>
      <sz val="9"/>
      <name val="Arial"/>
    </font>
    <font>
      <sz val="9"/>
      <name val="Helvetica"/>
      <family val="2"/>
    </font>
    <font>
      <sz val="9"/>
      <color rgb="FF000000"/>
      <name val="Georgia"/>
      <family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6F6F6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969696"/>
      </left>
      <right style="thin">
        <color rgb="FF969696"/>
      </right>
      <top/>
      <bottom style="medium">
        <color rgb="FF96969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Border="0"/>
    <xf numFmtId="0" fontId="1" fillId="0" borderId="0" applyNumberFormat="0" applyBorder="0" applyAlignment="0"/>
    <xf numFmtId="0" fontId="1" fillId="0" borderId="0" applyNumberFormat="0" applyBorder="0" applyAlignment="0"/>
    <xf numFmtId="0" fontId="7" fillId="0" borderId="0"/>
    <xf numFmtId="0" fontId="1" fillId="0" borderId="0" applyBorder="0"/>
    <xf numFmtId="0" fontId="13" fillId="0" borderId="0"/>
    <xf numFmtId="3" fontId="21" fillId="0" borderId="0"/>
  </cellStyleXfs>
  <cellXfs count="104">
    <xf numFmtId="0" fontId="0" fillId="0" borderId="0" xfId="0"/>
    <xf numFmtId="0" fontId="2" fillId="0" borderId="0" xfId="1" applyNumberFormat="1" applyFont="1" applyFill="1" applyAlignment="1" applyProtection="1"/>
    <xf numFmtId="0" fontId="2" fillId="0" borderId="0" xfId="2" applyNumberFormat="1" applyFont="1" applyFill="1" applyProtection="1"/>
    <xf numFmtId="0" fontId="4" fillId="0" borderId="0" xfId="0" applyFont="1"/>
    <xf numFmtId="0" fontId="5" fillId="0" borderId="1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3" fillId="0" borderId="0" xfId="0" applyFont="1"/>
    <xf numFmtId="2" fontId="0" fillId="0" borderId="0" xfId="0" applyNumberFormat="1"/>
    <xf numFmtId="0" fontId="0" fillId="0" borderId="0" xfId="0"/>
    <xf numFmtId="1" fontId="0" fillId="0" borderId="0" xfId="0" applyNumberFormat="1"/>
    <xf numFmtId="0" fontId="8" fillId="2" borderId="4" xfId="1" applyNumberFormat="1" applyFont="1" applyFill="1" applyBorder="1" applyAlignment="1"/>
    <xf numFmtId="4" fontId="8" fillId="0" borderId="4" xfId="1" applyNumberFormat="1" applyFont="1" applyFill="1" applyBorder="1" applyAlignment="1"/>
    <xf numFmtId="0" fontId="8" fillId="0" borderId="0" xfId="1" applyNumberFormat="1" applyFont="1" applyFill="1" applyBorder="1" applyAlignment="1"/>
    <xf numFmtId="0" fontId="1" fillId="0" borderId="0" xfId="1"/>
    <xf numFmtId="0" fontId="8" fillId="2" borderId="5" xfId="1" applyNumberFormat="1" applyFont="1" applyFill="1" applyBorder="1" applyAlignment="1"/>
    <xf numFmtId="3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2" applyNumberFormat="1" applyFont="1" applyFill="1" applyProtection="1"/>
    <xf numFmtId="164" fontId="2" fillId="0" borderId="0" xfId="1" applyNumberFormat="1" applyFont="1" applyFill="1" applyAlignment="1" applyProtection="1"/>
    <xf numFmtId="164" fontId="0" fillId="0" borderId="0" xfId="0" applyNumberFormat="1" applyFill="1" applyAlignment="1" applyProtection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6" xfId="0" applyFont="1" applyFill="1" applyBorder="1" applyAlignment="1">
      <alignment horizontal="left" vertical="center"/>
    </xf>
    <xf numFmtId="0" fontId="11" fillId="5" borderId="6" xfId="0" applyFont="1" applyFill="1" applyBorder="1" applyAlignment="1">
      <alignment horizontal="left" vertical="center"/>
    </xf>
    <xf numFmtId="3" fontId="12" fillId="0" borderId="0" xfId="0" applyNumberFormat="1" applyFont="1" applyAlignment="1">
      <alignment horizontal="right" vertical="center" shrinkToFit="1"/>
    </xf>
    <xf numFmtId="165" fontId="12" fillId="0" borderId="0" xfId="0" applyNumberFormat="1" applyFont="1" applyAlignment="1">
      <alignment horizontal="right" vertical="center" shrinkToFit="1"/>
    </xf>
    <xf numFmtId="166" fontId="12" fillId="0" borderId="0" xfId="0" applyNumberFormat="1" applyFont="1" applyAlignment="1">
      <alignment horizontal="right" vertical="center" shrinkToFit="1"/>
    </xf>
    <xf numFmtId="0" fontId="0" fillId="0" borderId="0" xfId="0" applyNumberFormat="1"/>
    <xf numFmtId="0" fontId="8" fillId="2" borderId="0" xfId="1" applyNumberFormat="1" applyFont="1" applyFill="1" applyBorder="1" applyAlignment="1"/>
    <xf numFmtId="4" fontId="8" fillId="0" borderId="0" xfId="1" applyNumberFormat="1" applyFont="1" applyFill="1" applyBorder="1" applyAlignment="1"/>
    <xf numFmtId="167" fontId="0" fillId="0" borderId="0" xfId="0" applyNumberFormat="1"/>
    <xf numFmtId="3" fontId="8" fillId="0" borderId="4" xfId="1" applyNumberFormat="1" applyFont="1" applyFill="1" applyBorder="1" applyAlignment="1"/>
    <xf numFmtId="168" fontId="0" fillId="0" borderId="0" xfId="0" applyNumberFormat="1"/>
    <xf numFmtId="168" fontId="9" fillId="3" borderId="0" xfId="2" applyNumberFormat="1" applyFont="1" applyFill="1" applyAlignment="1">
      <alignment horizontal="right" vertical="center" shrinkToFit="1"/>
    </xf>
    <xf numFmtId="1" fontId="2" fillId="6" borderId="0" xfId="1" applyNumberFormat="1" applyFont="1" applyFill="1" applyAlignment="1" applyProtection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3" fontId="9" fillId="3" borderId="0" xfId="0" applyNumberFormat="1" applyFont="1" applyFill="1" applyAlignment="1">
      <alignment horizontal="right" vertical="center" shrinkToFit="1"/>
    </xf>
    <xf numFmtId="3" fontId="9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left"/>
    </xf>
    <xf numFmtId="165" fontId="14" fillId="0" borderId="0" xfId="6" applyNumberFormat="1" applyFont="1" applyAlignment="1">
      <alignment horizontal="right" vertical="center" shrinkToFit="1"/>
    </xf>
    <xf numFmtId="166" fontId="14" fillId="0" borderId="0" xfId="6" applyNumberFormat="1" applyFont="1" applyAlignment="1">
      <alignment horizontal="right" vertical="center" shrinkToFit="1"/>
    </xf>
    <xf numFmtId="165" fontId="14" fillId="0" borderId="0" xfId="6" applyNumberFormat="1" applyFont="1" applyAlignment="1">
      <alignment horizontal="right" vertical="center" shrinkToFit="1"/>
    </xf>
    <xf numFmtId="169" fontId="1" fillId="0" borderId="0" xfId="3" applyNumberFormat="1" applyFill="1" applyProtection="1"/>
    <xf numFmtId="165" fontId="15" fillId="3" borderId="0" xfId="6" applyNumberFormat="1" applyFont="1" applyFill="1" applyAlignment="1">
      <alignment horizontal="right" vertical="center" shrinkToFit="1"/>
    </xf>
    <xf numFmtId="1" fontId="1" fillId="6" borderId="0" xfId="1" applyNumberFormat="1" applyFont="1" applyFill="1" applyAlignment="1" applyProtection="1"/>
    <xf numFmtId="1" fontId="0" fillId="0" borderId="0" xfId="0" applyNumberFormat="1" applyFont="1"/>
    <xf numFmtId="168" fontId="0" fillId="0" borderId="0" xfId="0" applyNumberFormat="1" applyFont="1"/>
    <xf numFmtId="1" fontId="1" fillId="0" borderId="0" xfId="1" applyNumberFormat="1" applyFont="1" applyFill="1" applyAlignment="1" applyProtection="1"/>
    <xf numFmtId="0" fontId="0" fillId="0" borderId="0" xfId="0" applyFont="1"/>
    <xf numFmtId="169" fontId="1" fillId="0" borderId="0" xfId="1" applyNumberFormat="1" applyFont="1" applyFill="1" applyAlignment="1" applyProtection="1"/>
    <xf numFmtId="2" fontId="1" fillId="0" borderId="0" xfId="1" applyNumberFormat="1" applyFont="1" applyFill="1" applyAlignment="1" applyProtection="1"/>
    <xf numFmtId="168" fontId="1" fillId="0" borderId="0" xfId="1" applyNumberFormat="1" applyFont="1" applyFill="1" applyAlignment="1" applyProtection="1"/>
    <xf numFmtId="1" fontId="0" fillId="0" borderId="0" xfId="0" applyNumberFormat="1" applyFill="1" applyAlignment="1" applyProtection="1"/>
    <xf numFmtId="1" fontId="2" fillId="0" borderId="0" xfId="0" applyNumberFormat="1" applyFont="1" applyFill="1" applyAlignment="1" applyProtection="1"/>
    <xf numFmtId="1" fontId="6" fillId="0" borderId="0" xfId="0" applyNumberFormat="1" applyFont="1"/>
    <xf numFmtId="0" fontId="1" fillId="0" borderId="0" xfId="2" applyNumberFormat="1" applyFont="1" applyFill="1" applyProtection="1"/>
    <xf numFmtId="1" fontId="1" fillId="0" borderId="0" xfId="1" applyNumberFormat="1" applyFill="1" applyAlignment="1" applyProtection="1"/>
    <xf numFmtId="0" fontId="6" fillId="0" borderId="0" xfId="0" applyFont="1"/>
    <xf numFmtId="0" fontId="6" fillId="0" borderId="0" xfId="0" applyFont="1" applyAlignment="1">
      <alignment horizontal="left"/>
    </xf>
    <xf numFmtId="0" fontId="16" fillId="0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170" fontId="2" fillId="0" borderId="0" xfId="0" applyNumberFormat="1" applyFont="1" applyFill="1" applyAlignment="1" applyProtection="1"/>
    <xf numFmtId="1" fontId="18" fillId="0" borderId="0" xfId="0" applyNumberFormat="1" applyFont="1" applyFill="1" applyAlignment="1" applyProtection="1"/>
    <xf numFmtId="170" fontId="17" fillId="0" borderId="0" xfId="0" applyNumberFormat="1" applyFon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1" fillId="0" borderId="0" xfId="1" applyNumberFormat="1" applyFill="1" applyAlignment="1" applyProtection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1" fillId="0" borderId="0" xfId="2" applyNumberFormat="1" applyFont="1" applyFill="1" applyProtection="1"/>
    <xf numFmtId="3" fontId="20" fillId="0" borderId="0" xfId="0" applyNumberFormat="1" applyFont="1" applyAlignment="1">
      <alignment horizontal="right" vertical="center" shrinkToFit="1"/>
    </xf>
    <xf numFmtId="165" fontId="20" fillId="0" borderId="0" xfId="0" applyNumberFormat="1" applyFont="1" applyAlignment="1">
      <alignment horizontal="right" vertical="center" shrinkToFit="1"/>
    </xf>
    <xf numFmtId="166" fontId="20" fillId="0" borderId="0" xfId="0" applyNumberFormat="1" applyFont="1" applyAlignment="1">
      <alignment horizontal="right" vertical="center" shrinkToFit="1"/>
    </xf>
    <xf numFmtId="2" fontId="0" fillId="0" borderId="0" xfId="0" applyNumberFormat="1" applyFont="1"/>
    <xf numFmtId="1" fontId="1" fillId="0" borderId="0" xfId="2" applyNumberFormat="1" applyFont="1" applyFill="1" applyProtection="1"/>
    <xf numFmtId="171" fontId="8" fillId="0" borderId="7" xfId="0" applyNumberFormat="1" applyFont="1" applyBorder="1" applyAlignment="1">
      <alignment horizontal="right" vertical="center"/>
    </xf>
    <xf numFmtId="172" fontId="0" fillId="0" borderId="0" xfId="0" applyNumberFormat="1"/>
    <xf numFmtId="172" fontId="0" fillId="0" borderId="0" xfId="0" applyNumberFormat="1" applyFont="1"/>
    <xf numFmtId="1" fontId="0" fillId="0" borderId="0" xfId="0" applyNumberFormat="1" applyAlignment="1">
      <alignment horizontal="left"/>
    </xf>
    <xf numFmtId="3" fontId="20" fillId="0" borderId="0" xfId="6" applyNumberFormat="1" applyFont="1" applyAlignment="1">
      <alignment horizontal="right" vertical="center" shrinkToFit="1"/>
    </xf>
    <xf numFmtId="3" fontId="20" fillId="0" borderId="0" xfId="6" applyNumberFormat="1" applyFont="1" applyAlignment="1">
      <alignment horizontal="right" vertical="center" shrinkToFit="1"/>
    </xf>
    <xf numFmtId="3" fontId="20" fillId="3" borderId="0" xfId="6" applyNumberFormat="1" applyFont="1" applyFill="1" applyAlignment="1">
      <alignment horizontal="right" vertical="center" shrinkToFit="1"/>
    </xf>
    <xf numFmtId="3" fontId="20" fillId="0" borderId="0" xfId="6" applyNumberFormat="1" applyFont="1" applyAlignment="1">
      <alignment horizontal="right" vertical="center" shrinkToFit="1"/>
    </xf>
    <xf numFmtId="4" fontId="0" fillId="0" borderId="0" xfId="0" applyNumberFormat="1"/>
    <xf numFmtId="3" fontId="22" fillId="0" borderId="0" xfId="0" applyNumberFormat="1" applyFont="1"/>
    <xf numFmtId="0" fontId="0" fillId="0" borderId="0" xfId="0"/>
    <xf numFmtId="3" fontId="9" fillId="0" borderId="0" xfId="6" applyNumberFormat="1" applyFont="1" applyAlignment="1">
      <alignment horizontal="right" vertical="center" shrinkToFit="1"/>
    </xf>
    <xf numFmtId="3" fontId="9" fillId="0" borderId="0" xfId="6" applyNumberFormat="1" applyFont="1" applyAlignment="1">
      <alignment horizontal="right" vertical="center" shrinkToFit="1"/>
    </xf>
    <xf numFmtId="0" fontId="23" fillId="0" borderId="0" xfId="0" applyFont="1"/>
    <xf numFmtId="165" fontId="20" fillId="3" borderId="0" xfId="0" applyNumberFormat="1" applyFont="1" applyFill="1" applyAlignment="1">
      <alignment horizontal="right" vertical="center" shrinkToFit="1"/>
    </xf>
    <xf numFmtId="166" fontId="20" fillId="3" borderId="0" xfId="0" applyNumberFormat="1" applyFont="1" applyFill="1" applyAlignment="1">
      <alignment horizontal="right" vertical="center" shrinkToFit="1"/>
    </xf>
    <xf numFmtId="3" fontId="20" fillId="3" borderId="0" xfId="0" applyNumberFormat="1" applyFont="1" applyFill="1" applyAlignment="1">
      <alignment horizontal="right" vertical="center" shrinkToFit="1"/>
    </xf>
  </cellXfs>
  <cellStyles count="8">
    <cellStyle name="Normaali 2" xfId="7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  <cellStyle name="Normal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B1" workbookViewId="0">
      <pane ySplit="1" topLeftCell="A26" activePane="bottomLeft" state="frozen"/>
      <selection pane="bottomLeft" activeCell="R50" sqref="R50"/>
    </sheetView>
  </sheetViews>
  <sheetFormatPr defaultRowHeight="14.4" x14ac:dyDescent="0.3"/>
  <cols>
    <col min="2" max="2" width="11.33203125" customWidth="1"/>
    <col min="3" max="3" width="14" style="9" customWidth="1"/>
    <col min="4" max="4" width="6.6640625" style="9" customWidth="1"/>
    <col min="5" max="11" width="11.33203125" style="9" customWidth="1"/>
    <col min="12" max="12" width="13.109375" style="9" customWidth="1"/>
    <col min="13" max="13" width="9.109375" style="9" customWidth="1"/>
    <col min="14" max="15" width="9.6640625" style="9" customWidth="1"/>
    <col min="16" max="16" width="11.33203125" style="9" customWidth="1"/>
    <col min="18" max="18" width="12.33203125" customWidth="1"/>
    <col min="19" max="19" width="11.44140625" customWidth="1"/>
  </cols>
  <sheetData>
    <row r="1" spans="1:18" x14ac:dyDescent="0.3">
      <c r="A1" s="59" t="s">
        <v>68</v>
      </c>
      <c r="B1" s="59" t="s">
        <v>69</v>
      </c>
      <c r="C1" s="60" t="s">
        <v>70</v>
      </c>
      <c r="D1" s="59" t="s">
        <v>71</v>
      </c>
      <c r="E1" s="59">
        <v>2010</v>
      </c>
      <c r="F1" s="59">
        <v>2011</v>
      </c>
      <c r="G1" s="59">
        <v>2012</v>
      </c>
      <c r="H1" s="59">
        <v>2013</v>
      </c>
      <c r="I1" s="59">
        <v>2014</v>
      </c>
      <c r="J1" s="59">
        <v>2015</v>
      </c>
      <c r="K1" s="59">
        <v>2016</v>
      </c>
      <c r="L1" s="59">
        <v>2017</v>
      </c>
      <c r="M1" s="59">
        <v>2018</v>
      </c>
      <c r="N1" s="59">
        <v>2019</v>
      </c>
      <c r="O1" s="59"/>
      <c r="P1" s="59"/>
      <c r="Q1" s="1">
        <v>2025</v>
      </c>
      <c r="R1" s="1">
        <v>2030</v>
      </c>
    </row>
    <row r="2" spans="1:18" s="9" customFormat="1" x14ac:dyDescent="0.3">
      <c r="A2" s="9" t="s">
        <v>32</v>
      </c>
      <c r="B2" s="9" t="s">
        <v>67</v>
      </c>
      <c r="C2" s="40" t="s">
        <v>63</v>
      </c>
      <c r="D2" s="40" t="s">
        <v>64</v>
      </c>
      <c r="E2" s="79">
        <f>Denmark!AW13</f>
        <v>15748.524391995888</v>
      </c>
      <c r="F2" s="79">
        <f>Denmark!AX13</f>
        <v>15272.597983782838</v>
      </c>
      <c r="G2" s="79">
        <f>Denmark!AY13</f>
        <v>15714.158659556049</v>
      </c>
      <c r="H2" s="79">
        <f>Denmark!AZ13</f>
        <v>15924.617788254865</v>
      </c>
      <c r="I2" s="79">
        <f>Denmark!BA13</f>
        <v>15859.230039588037</v>
      </c>
      <c r="J2" s="79">
        <f>Denmark!BB13</f>
        <v>15654.970285405634</v>
      </c>
      <c r="K2" s="79">
        <f>Denmark!BC13</f>
        <v>15235.218464523552</v>
      </c>
      <c r="L2" s="79">
        <f>Denmark!BD13</f>
        <v>15121.889820657987</v>
      </c>
      <c r="M2" s="79">
        <f>Denmark!BE13</f>
        <v>15109.152667271132</v>
      </c>
      <c r="N2" s="79">
        <f>Denmark!BF13</f>
        <v>15534.721000146859</v>
      </c>
      <c r="O2" s="79"/>
      <c r="P2" s="80"/>
      <c r="Q2" s="79">
        <f>Denmark!BJ13</f>
        <v>15388.135242887174</v>
      </c>
      <c r="R2" s="79">
        <f>Denmark!BK13</f>
        <v>14733.8162585846</v>
      </c>
    </row>
    <row r="3" spans="1:18" s="9" customFormat="1" x14ac:dyDescent="0.3">
      <c r="A3" s="9" t="s">
        <v>32</v>
      </c>
      <c r="B3" s="9" t="s">
        <v>67</v>
      </c>
      <c r="C3" s="40" t="s">
        <v>74</v>
      </c>
      <c r="D3" s="40" t="s">
        <v>64</v>
      </c>
      <c r="E3" s="79">
        <f>Denmark!AW14</f>
        <v>11682.135784091382</v>
      </c>
      <c r="F3" s="79">
        <f>Denmark!AX14</f>
        <v>11241.345202465602</v>
      </c>
      <c r="G3" s="79">
        <f>Denmark!AY14</f>
        <v>11692.298551189013</v>
      </c>
      <c r="H3" s="79">
        <f>Denmark!AZ14</f>
        <v>11926.535000717096</v>
      </c>
      <c r="I3" s="79">
        <f>Denmark!BA14</f>
        <v>11894.969324506939</v>
      </c>
      <c r="J3" s="79">
        <f>Denmark!BB14</f>
        <v>11733.483822583983</v>
      </c>
      <c r="K3" s="79">
        <f>Denmark!BC14</f>
        <v>11347.561369740433</v>
      </c>
      <c r="L3" s="79">
        <f>Denmark!BD14</f>
        <v>11253.7628936824</v>
      </c>
      <c r="M3" s="79">
        <f>Denmark!BE14</f>
        <v>11253.937248351007</v>
      </c>
      <c r="N3" s="79">
        <f>Denmark!BF14</f>
        <v>11696.243129445842</v>
      </c>
      <c r="O3" s="79"/>
      <c r="P3" s="80"/>
      <c r="Q3" s="79">
        <f>Denmark!BJ14</f>
        <v>11620.284280104717</v>
      </c>
      <c r="R3" s="79">
        <f>Denmark!BK14</f>
        <v>10965.965295802143</v>
      </c>
    </row>
    <row r="4" spans="1:18" s="9" customFormat="1" x14ac:dyDescent="0.3">
      <c r="A4" s="9" t="s">
        <v>32</v>
      </c>
      <c r="B4" s="9" t="s">
        <v>67</v>
      </c>
      <c r="C4" s="40" t="s">
        <v>76</v>
      </c>
      <c r="D4" s="40" t="s">
        <v>64</v>
      </c>
      <c r="E4" s="79">
        <f>Denmark!AW15</f>
        <v>3767.8509627824574</v>
      </c>
      <c r="F4" s="79">
        <f>Denmark!AX15</f>
        <v>3767.8509627824574</v>
      </c>
      <c r="G4" s="79">
        <f>Denmark!AY15</f>
        <v>3767.8509627824574</v>
      </c>
      <c r="H4" s="79">
        <f>Denmark!AZ15</f>
        <v>3767.8509627824574</v>
      </c>
      <c r="I4" s="79">
        <f>Denmark!BA15</f>
        <v>3767.8509627824574</v>
      </c>
      <c r="J4" s="79">
        <f>Denmark!BB15</f>
        <v>3767.8509627824574</v>
      </c>
      <c r="K4" s="79">
        <f>Denmark!BC15</f>
        <v>3767.8509627824574</v>
      </c>
      <c r="L4" s="79">
        <f>Denmark!BD15</f>
        <v>3767.8509627824574</v>
      </c>
      <c r="M4" s="79">
        <f>Denmark!BE15</f>
        <v>3767.8509627824574</v>
      </c>
      <c r="N4" s="79">
        <f>Denmark!BF15</f>
        <v>3767.8509627824574</v>
      </c>
      <c r="O4" s="79"/>
      <c r="P4" s="80"/>
      <c r="Q4" s="79">
        <f>Denmark!BJ15</f>
        <v>3767.8509627824574</v>
      </c>
      <c r="R4" s="79">
        <f>Denmark!BK15</f>
        <v>3767.8509627824574</v>
      </c>
    </row>
    <row r="5" spans="1:18" s="9" customFormat="1" x14ac:dyDescent="0.3">
      <c r="A5" s="9" t="s">
        <v>32</v>
      </c>
      <c r="B5" s="9" t="s">
        <v>66</v>
      </c>
      <c r="C5" s="40" t="s">
        <v>63</v>
      </c>
      <c r="D5" s="40" t="s">
        <v>64</v>
      </c>
      <c r="E5" s="79">
        <f>Denmark!AW17</f>
        <v>18446.279220934048</v>
      </c>
      <c r="F5" s="79">
        <f>Denmark!AX17</f>
        <v>17946.622438037073</v>
      </c>
      <c r="G5" s="79">
        <f>Denmark!AY17</f>
        <v>18503.137776879877</v>
      </c>
      <c r="H5" s="79">
        <f>Denmark!AZ17</f>
        <v>18811.104296165744</v>
      </c>
      <c r="I5" s="79">
        <f>Denmark!BA17</f>
        <v>18806.629065879923</v>
      </c>
      <c r="J5" s="79">
        <f>Denmark!BB17</f>
        <v>18653.479774018433</v>
      </c>
      <c r="K5" s="79">
        <f>Denmark!BC17</f>
        <v>18219.085717560163</v>
      </c>
      <c r="L5" s="79">
        <f>Denmark!BD17</f>
        <v>18124.814153053663</v>
      </c>
      <c r="M5" s="79">
        <f>Denmark!BE17</f>
        <v>18137.937198270054</v>
      </c>
      <c r="N5" s="79">
        <f>Denmark!BF17</f>
        <v>18691.30580486725</v>
      </c>
      <c r="O5" s="79"/>
      <c r="P5" s="80"/>
      <c r="Q5" s="79">
        <f>Denmark!BJ17</f>
        <v>18669.775046660696</v>
      </c>
      <c r="R5" s="79">
        <f>Denmark!BK17</f>
        <v>17954.980993918973</v>
      </c>
    </row>
    <row r="6" spans="1:18" s="9" customFormat="1" x14ac:dyDescent="0.3">
      <c r="A6" s="9" t="s">
        <v>32</v>
      </c>
      <c r="B6" s="9" t="s">
        <v>66</v>
      </c>
      <c r="C6" s="40" t="s">
        <v>74</v>
      </c>
      <c r="D6" s="40" t="s">
        <v>64</v>
      </c>
      <c r="E6" s="79">
        <f>Denmark!AW18</f>
        <v>13874.904666826995</v>
      </c>
      <c r="F6" s="79">
        <f>Denmark!AX18</f>
        <v>13375.24788393002</v>
      </c>
      <c r="G6" s="79">
        <f>Denmark!AY18</f>
        <v>13931.763222772825</v>
      </c>
      <c r="H6" s="79">
        <f>Denmark!AZ18</f>
        <v>14239.729742058691</v>
      </c>
      <c r="I6" s="79">
        <f>Denmark!BA18</f>
        <v>14235.25451177287</v>
      </c>
      <c r="J6" s="79">
        <f>Denmark!BB18</f>
        <v>14082.10521991138</v>
      </c>
      <c r="K6" s="79">
        <f>Denmark!BC18</f>
        <v>13647.71116345311</v>
      </c>
      <c r="L6" s="79">
        <f>Denmark!BD18</f>
        <v>13553.43959894661</v>
      </c>
      <c r="M6" s="79">
        <f>Denmark!BE18</f>
        <v>13566.562644163001</v>
      </c>
      <c r="N6" s="79">
        <f>Denmark!BF18</f>
        <v>14119.931250760197</v>
      </c>
      <c r="O6" s="79"/>
      <c r="P6" s="80"/>
      <c r="Q6" s="79">
        <f>Denmark!BJ18</f>
        <v>14098.400492553643</v>
      </c>
      <c r="R6" s="79">
        <f>Denmark!BK18</f>
        <v>13383.60643981192</v>
      </c>
    </row>
    <row r="7" spans="1:18" x14ac:dyDescent="0.3">
      <c r="A7" t="s">
        <v>32</v>
      </c>
      <c r="B7" t="s">
        <v>66</v>
      </c>
      <c r="C7" s="40" t="s">
        <v>76</v>
      </c>
      <c r="D7" s="40" t="s">
        <v>64</v>
      </c>
      <c r="E7" s="79">
        <f>Denmark!AW19</f>
        <v>4571.3745541070539</v>
      </c>
      <c r="F7" s="79">
        <f>Denmark!AX19</f>
        <v>4571.3745541070539</v>
      </c>
      <c r="G7" s="79">
        <f>Denmark!AY19</f>
        <v>4571.3745541070539</v>
      </c>
      <c r="H7" s="79">
        <f>Denmark!AZ19</f>
        <v>4571.3745541070539</v>
      </c>
      <c r="I7" s="79">
        <f>Denmark!BA19</f>
        <v>4571.3745541070539</v>
      </c>
      <c r="J7" s="79">
        <f>Denmark!BB19</f>
        <v>4571.3745541070539</v>
      </c>
      <c r="K7" s="79">
        <f>Denmark!BC19</f>
        <v>4571.3745541070539</v>
      </c>
      <c r="L7" s="79">
        <f>Denmark!BD19</f>
        <v>4571.3745541070539</v>
      </c>
      <c r="M7" s="79">
        <f>Denmark!BE19</f>
        <v>4571.3745541070539</v>
      </c>
      <c r="N7" s="79">
        <f>Denmark!BF19</f>
        <v>4571.3745541070539</v>
      </c>
      <c r="O7" s="79"/>
      <c r="P7" s="80"/>
      <c r="Q7" s="79">
        <f>Denmark!BJ19</f>
        <v>4571.3745541070539</v>
      </c>
      <c r="R7" s="79">
        <f>Denmark!BK19</f>
        <v>4571.3745541070539</v>
      </c>
    </row>
    <row r="8" spans="1:18" x14ac:dyDescent="0.3">
      <c r="A8" t="s">
        <v>1</v>
      </c>
      <c r="B8" t="s">
        <v>169</v>
      </c>
      <c r="C8" s="40" t="s">
        <v>63</v>
      </c>
      <c r="D8" s="9" t="s">
        <v>64</v>
      </c>
      <c r="E8" s="79">
        <f>Sweden!AW$13</f>
        <v>1471.6389002125363</v>
      </c>
      <c r="F8" s="79">
        <f>Sweden!AX$13</f>
        <v>1497.764604364728</v>
      </c>
      <c r="G8" s="79">
        <f>Sweden!AY$13</f>
        <v>1462.3516103123586</v>
      </c>
      <c r="H8" s="79">
        <f>Sweden!AZ$13</f>
        <v>1416.2953201878513</v>
      </c>
      <c r="I8" s="79">
        <f>Sweden!BA$13</f>
        <v>1421.0263462603184</v>
      </c>
      <c r="J8" s="79">
        <f>Sweden!BB$13</f>
        <v>1403.2349250896305</v>
      </c>
      <c r="K8" s="79">
        <f>Sweden!BC$13</f>
        <v>1395.986228152801</v>
      </c>
      <c r="L8" s="79">
        <f>Sweden!BD$13</f>
        <v>1389.0346003697537</v>
      </c>
      <c r="M8" s="79">
        <f>Sweden!BE$13</f>
        <v>1378.3615325495862</v>
      </c>
      <c r="N8" s="79">
        <f>Sweden!BF$13</f>
        <v>1368.5445759356828</v>
      </c>
      <c r="O8" s="79"/>
      <c r="P8" s="79"/>
      <c r="Q8" s="79">
        <f>Sweden!BJ$13</f>
        <v>1285.1065546592238</v>
      </c>
      <c r="R8" s="79">
        <f>Sweden!BK$13</f>
        <v>1225.0623163489863</v>
      </c>
    </row>
    <row r="9" spans="1:18" x14ac:dyDescent="0.3">
      <c r="A9" t="s">
        <v>1</v>
      </c>
      <c r="B9" t="s">
        <v>169</v>
      </c>
      <c r="C9" s="40" t="s">
        <v>74</v>
      </c>
      <c r="D9" s="9" t="s">
        <v>64</v>
      </c>
      <c r="E9" s="79">
        <f>Sweden!AW$14</f>
        <v>1024.2478529878142</v>
      </c>
      <c r="F9" s="79">
        <f>Sweden!AX$14</f>
        <v>1059.6240967971546</v>
      </c>
      <c r="G9" s="79">
        <f>Sweden!AY$14</f>
        <v>1038.0088455539421</v>
      </c>
      <c r="H9" s="79">
        <f>Sweden!AZ$14</f>
        <v>1006.4082943402188</v>
      </c>
      <c r="I9" s="79">
        <f>Sweden!BA$14</f>
        <v>1018.3354508221651</v>
      </c>
      <c r="J9" s="79">
        <f>Sweden!BB$14</f>
        <v>1012.9442219506338</v>
      </c>
      <c r="K9" s="79">
        <f>Sweden!BC$14</f>
        <v>1021.120538293309</v>
      </c>
      <c r="L9" s="79">
        <f>Sweden!BD$14</f>
        <v>1029.0551688377052</v>
      </c>
      <c r="M9" s="79">
        <f>Sweden!BE$14</f>
        <v>1031.4172720507429</v>
      </c>
      <c r="N9" s="79">
        <f>Sweden!BF$14</f>
        <v>1040.2596956414534</v>
      </c>
      <c r="O9" s="79"/>
      <c r="P9" s="79"/>
      <c r="Q9" s="79">
        <f>Sweden!BJ$14</f>
        <v>1027.8125421839175</v>
      </c>
      <c r="R9" s="79">
        <f>Sweden!BK$14</f>
        <v>967.76830387368</v>
      </c>
    </row>
    <row r="10" spans="1:18" x14ac:dyDescent="0.3">
      <c r="A10" t="s">
        <v>1</v>
      </c>
      <c r="B10" t="s">
        <v>169</v>
      </c>
      <c r="C10" s="40" t="s">
        <v>76</v>
      </c>
      <c r="D10" s="97" t="s">
        <v>64</v>
      </c>
      <c r="E10" s="79">
        <f>Sweden!AW$15</f>
        <v>257.29401247530626</v>
      </c>
      <c r="F10" s="79">
        <f>Sweden!AX$15</f>
        <v>257.29401247530626</v>
      </c>
      <c r="G10" s="79">
        <f>Sweden!AY$15</f>
        <v>257.29401247530626</v>
      </c>
      <c r="H10" s="79">
        <f>Sweden!AZ$15</f>
        <v>257.29401247530626</v>
      </c>
      <c r="I10" s="79">
        <f>Sweden!BA$15</f>
        <v>257.29401247530626</v>
      </c>
      <c r="J10" s="79">
        <f>Sweden!BB$15</f>
        <v>257.29401247530626</v>
      </c>
      <c r="K10" s="79">
        <f>Sweden!BC$15</f>
        <v>257.29401247530626</v>
      </c>
      <c r="L10" s="79">
        <f>Sweden!BD$15</f>
        <v>257.29401247530626</v>
      </c>
      <c r="M10" s="79">
        <f>Sweden!BE$15</f>
        <v>257.29401247530626</v>
      </c>
      <c r="N10" s="79">
        <f>Sweden!BF$15</f>
        <v>257.29401247530626</v>
      </c>
      <c r="O10" s="79"/>
      <c r="P10" s="79"/>
      <c r="Q10" s="79">
        <f>Sweden!BJ$15</f>
        <v>257.29401247530626</v>
      </c>
      <c r="R10" s="79">
        <f>Sweden!BK$15</f>
        <v>257.29401247530626</v>
      </c>
    </row>
    <row r="11" spans="1:18" x14ac:dyDescent="0.3">
      <c r="A11" t="s">
        <v>1</v>
      </c>
      <c r="B11" t="s">
        <v>170</v>
      </c>
      <c r="C11" s="40" t="s">
        <v>63</v>
      </c>
      <c r="D11" s="9" t="s">
        <v>64</v>
      </c>
      <c r="E11" s="79">
        <f>Sweden!AW$17</f>
        <v>5345.2229183662048</v>
      </c>
      <c r="F11" s="79">
        <f>Sweden!AX$17</f>
        <v>5452.9068579840596</v>
      </c>
      <c r="G11" s="79">
        <f>Sweden!AY$17</f>
        <v>5320.2957451429756</v>
      </c>
      <c r="H11" s="79">
        <f>Sweden!AZ$17</f>
        <v>5155.2996995681742</v>
      </c>
      <c r="I11" s="79">
        <f>Sweden!BA$17</f>
        <v>5171.1228269942776</v>
      </c>
      <c r="J11" s="79">
        <f>Sweden!BB$17</f>
        <v>5120.271977076145</v>
      </c>
      <c r="K11" s="79">
        <f>Sweden!BC$17</f>
        <v>5122.9669870232801</v>
      </c>
      <c r="L11" s="79">
        <f>Sweden!BD$17</f>
        <v>5126.1402537299582</v>
      </c>
      <c r="M11" s="79">
        <f>Sweden!BE$17</f>
        <v>5100.4011557773892</v>
      </c>
      <c r="N11" s="79">
        <f>Sweden!BF$17</f>
        <v>5094.1827371905147</v>
      </c>
      <c r="O11" s="79"/>
      <c r="P11" s="79"/>
      <c r="Q11" s="79">
        <f>Sweden!BJ$17</f>
        <v>4883.2359071502206</v>
      </c>
      <c r="R11" s="79">
        <f>Sweden!BK$17</f>
        <v>4721.0024074254779</v>
      </c>
    </row>
    <row r="12" spans="1:18" x14ac:dyDescent="0.3">
      <c r="A12" t="s">
        <v>1</v>
      </c>
      <c r="B12" t="s">
        <v>170</v>
      </c>
      <c r="C12" s="40" t="s">
        <v>74</v>
      </c>
      <c r="D12" s="9" t="s">
        <v>64</v>
      </c>
      <c r="E12" s="79">
        <f>Sweden!AW$18</f>
        <v>4367.5395069331789</v>
      </c>
      <c r="F12" s="79">
        <f>Sweden!AX$18</f>
        <v>4475.2234465510337</v>
      </c>
      <c r="G12" s="79">
        <f>Sweden!AY$18</f>
        <v>4342.6123337099498</v>
      </c>
      <c r="H12" s="79">
        <f>Sweden!AZ$18</f>
        <v>4177.6162881351484</v>
      </c>
      <c r="I12" s="79">
        <f>Sweden!BA$18</f>
        <v>4193.4394155612517</v>
      </c>
      <c r="J12" s="79">
        <f>Sweden!BB$18</f>
        <v>4142.5885656431192</v>
      </c>
      <c r="K12" s="79">
        <f>Sweden!BC$18</f>
        <v>4145.2835755902543</v>
      </c>
      <c r="L12" s="79">
        <f>Sweden!BD$18</f>
        <v>4148.4568422969323</v>
      </c>
      <c r="M12" s="79">
        <f>Sweden!BE$18</f>
        <v>4122.7177443443634</v>
      </c>
      <c r="N12" s="79">
        <f>Sweden!BF$18</f>
        <v>4116.4993257574888</v>
      </c>
      <c r="O12" s="79"/>
      <c r="P12" s="79"/>
      <c r="Q12" s="79">
        <f>Sweden!BJ$18</f>
        <v>3905.5524957171947</v>
      </c>
      <c r="R12" s="79">
        <f>Sweden!BK$18</f>
        <v>3743.3189959924521</v>
      </c>
    </row>
    <row r="13" spans="1:18" x14ac:dyDescent="0.3">
      <c r="A13" t="s">
        <v>1</v>
      </c>
      <c r="B13" t="s">
        <v>170</v>
      </c>
      <c r="C13" s="40" t="s">
        <v>76</v>
      </c>
      <c r="D13" s="9" t="s">
        <v>64</v>
      </c>
      <c r="E13" s="79">
        <f>Sweden!AW$19</f>
        <v>977.68341143302587</v>
      </c>
      <c r="F13" s="79">
        <f>Sweden!AX$19</f>
        <v>977.68341143302587</v>
      </c>
      <c r="G13" s="79">
        <f>Sweden!AY$19</f>
        <v>977.68341143302587</v>
      </c>
      <c r="H13" s="79">
        <f>Sweden!AZ$19</f>
        <v>977.68341143302587</v>
      </c>
      <c r="I13" s="79">
        <f>Sweden!BA$19</f>
        <v>977.68341143302587</v>
      </c>
      <c r="J13" s="79">
        <f>Sweden!BB$19</f>
        <v>977.68341143302587</v>
      </c>
      <c r="K13" s="79">
        <f>Sweden!BC$19</f>
        <v>977.68341143302587</v>
      </c>
      <c r="L13" s="79">
        <f>Sweden!BD$19</f>
        <v>977.68341143302587</v>
      </c>
      <c r="M13" s="79">
        <f>Sweden!BE$19</f>
        <v>977.68341143302587</v>
      </c>
      <c r="N13" s="79">
        <f>Sweden!BF$19</f>
        <v>977.68341143302587</v>
      </c>
      <c r="O13" s="79"/>
      <c r="P13" s="79"/>
      <c r="Q13" s="79">
        <f>Sweden!BJ$19</f>
        <v>977.68341143302587</v>
      </c>
      <c r="R13" s="79">
        <f>Sweden!BK$19</f>
        <v>977.68341143302587</v>
      </c>
    </row>
    <row r="14" spans="1:18" x14ac:dyDescent="0.3">
      <c r="A14" t="s">
        <v>1</v>
      </c>
      <c r="B14" t="s">
        <v>171</v>
      </c>
      <c r="C14" s="40" t="s">
        <v>63</v>
      </c>
      <c r="D14" s="9" t="s">
        <v>64</v>
      </c>
      <c r="E14" s="79">
        <f>Sweden!AW$21</f>
        <v>37370.553060297738</v>
      </c>
      <c r="F14" s="79">
        <f>Sweden!AX$21</f>
        <v>38448.087130480926</v>
      </c>
      <c r="G14" s="79">
        <f>Sweden!AY$21</f>
        <v>37877.574942038598</v>
      </c>
      <c r="H14" s="79">
        <f>Sweden!AZ$21</f>
        <v>37007.393365954842</v>
      </c>
      <c r="I14" s="79">
        <f>Sweden!BA$21</f>
        <v>37411.39154108191</v>
      </c>
      <c r="J14" s="79">
        <f>Sweden!BB$21</f>
        <v>37284.942189816</v>
      </c>
      <c r="K14" s="79">
        <f>Sweden!BC$21</f>
        <v>37557.436662033513</v>
      </c>
      <c r="L14" s="79">
        <f>Sweden!BD$21</f>
        <v>37817.153003095416</v>
      </c>
      <c r="M14" s="79">
        <f>Sweden!BE$21</f>
        <v>37916.211146759582</v>
      </c>
      <c r="N14" s="79">
        <f>Sweden!BF$21</f>
        <v>38222.285172017204</v>
      </c>
      <c r="O14" s="79"/>
      <c r="P14" s="79"/>
      <c r="Q14" s="79">
        <f>Sweden!BJ$21</f>
        <v>38010.319126218572</v>
      </c>
      <c r="R14" s="79">
        <f>Sweden!BK$21</f>
        <v>37819.901992905907</v>
      </c>
    </row>
    <row r="15" spans="1:18" x14ac:dyDescent="0.3">
      <c r="A15" t="s">
        <v>1</v>
      </c>
      <c r="B15" t="s">
        <v>171</v>
      </c>
      <c r="C15" s="40" t="s">
        <v>74</v>
      </c>
      <c r="D15" s="9" t="s">
        <v>64</v>
      </c>
      <c r="E15" s="79">
        <f>Sweden!AW$22</f>
        <v>29760.423388174942</v>
      </c>
      <c r="F15" s="79">
        <f>Sweden!AX$22</f>
        <v>30837.957458358131</v>
      </c>
      <c r="G15" s="79">
        <f>Sweden!AY$22</f>
        <v>30267.445269915803</v>
      </c>
      <c r="H15" s="79">
        <f>Sweden!AZ$22</f>
        <v>29397.263693832047</v>
      </c>
      <c r="I15" s="79">
        <f>Sweden!BA$22</f>
        <v>29801.261868959115</v>
      </c>
      <c r="J15" s="79">
        <f>Sweden!BB$22</f>
        <v>29674.812517693204</v>
      </c>
      <c r="K15" s="79">
        <f>Sweden!BC$22</f>
        <v>29947.306989910718</v>
      </c>
      <c r="L15" s="79">
        <f>Sweden!BD$22</f>
        <v>30207.023330972621</v>
      </c>
      <c r="M15" s="79">
        <f>Sweden!BE$22</f>
        <v>30306.081474636787</v>
      </c>
      <c r="N15" s="79">
        <f>Sweden!BF$22</f>
        <v>30612.155499894408</v>
      </c>
      <c r="O15" s="79"/>
      <c r="P15" s="79"/>
      <c r="Q15" s="79">
        <f>Sweden!BJ$22</f>
        <v>30400.189454095776</v>
      </c>
      <c r="R15" s="79">
        <f>Sweden!BK$22</f>
        <v>30209.772320783111</v>
      </c>
    </row>
    <row r="16" spans="1:18" x14ac:dyDescent="0.3">
      <c r="A16" t="s">
        <v>1</v>
      </c>
      <c r="B16" t="s">
        <v>171</v>
      </c>
      <c r="C16" s="40" t="s">
        <v>76</v>
      </c>
      <c r="D16" s="9" t="s">
        <v>64</v>
      </c>
      <c r="E16" s="79">
        <f>Sweden!AW$23</f>
        <v>7610.1296721227945</v>
      </c>
      <c r="F16" s="79">
        <f>Sweden!AX$23</f>
        <v>7610.1296721227945</v>
      </c>
      <c r="G16" s="79">
        <f>Sweden!AY$23</f>
        <v>7610.1296721227945</v>
      </c>
      <c r="H16" s="79">
        <f>Sweden!AZ$23</f>
        <v>7610.1296721227945</v>
      </c>
      <c r="I16" s="79">
        <f>Sweden!BA$23</f>
        <v>7610.1296721227945</v>
      </c>
      <c r="J16" s="79">
        <f>Sweden!BB$23</f>
        <v>7610.1296721227945</v>
      </c>
      <c r="K16" s="79">
        <f>Sweden!BC$23</f>
        <v>7610.1296721227945</v>
      </c>
      <c r="L16" s="79">
        <f>Sweden!BD$23</f>
        <v>7610.1296721227945</v>
      </c>
      <c r="M16" s="79">
        <f>Sweden!BE$23</f>
        <v>7610.1296721227945</v>
      </c>
      <c r="N16" s="79">
        <f>Sweden!BF$23</f>
        <v>7610.1296721227945</v>
      </c>
      <c r="O16" s="79"/>
      <c r="P16" s="79"/>
      <c r="Q16" s="79">
        <f>Sweden!BJ$23</f>
        <v>7610.1296721227945</v>
      </c>
      <c r="R16" s="79">
        <f>Sweden!BK$23</f>
        <v>7610.1296721227945</v>
      </c>
    </row>
    <row r="17" spans="1:18" x14ac:dyDescent="0.3">
      <c r="A17" t="s">
        <v>1</v>
      </c>
      <c r="B17" t="s">
        <v>172</v>
      </c>
      <c r="C17" s="40" t="s">
        <v>63</v>
      </c>
      <c r="D17" s="9" t="s">
        <v>64</v>
      </c>
      <c r="E17" s="79">
        <f>Sweden!AW$25</f>
        <v>11013.637995462559</v>
      </c>
      <c r="F17" s="79">
        <f>Sweden!AX$25</f>
        <v>11326.088359285472</v>
      </c>
      <c r="G17" s="79">
        <f>Sweden!AY$25</f>
        <v>11133.570696163564</v>
      </c>
      <c r="H17" s="79">
        <f>Sweden!AZ$25</f>
        <v>10853.644473098744</v>
      </c>
      <c r="I17" s="79">
        <f>Sweden!BA$25</f>
        <v>10942.841724836981</v>
      </c>
      <c r="J17" s="79">
        <f>Sweden!BB$25</f>
        <v>10905.711897377822</v>
      </c>
      <c r="K17" s="79">
        <f>Sweden!BC$25</f>
        <v>10989.957242710956</v>
      </c>
      <c r="L17" s="79">
        <f>Sweden!BD$25</f>
        <v>11075.795034569821</v>
      </c>
      <c r="M17" s="79">
        <f>Sweden!BE$25</f>
        <v>11114.894140371322</v>
      </c>
      <c r="N17" s="79">
        <f>Sweden!BF$25</f>
        <v>11205.733482147953</v>
      </c>
      <c r="O17" s="79"/>
      <c r="P17" s="79"/>
      <c r="Q17" s="79">
        <f>Sweden!BJ$25</f>
        <v>11175.936482217336</v>
      </c>
      <c r="R17" s="79">
        <f>Sweden!BK$25</f>
        <v>11120.271815191556</v>
      </c>
    </row>
    <row r="18" spans="1:18" x14ac:dyDescent="0.3">
      <c r="A18" t="s">
        <v>1</v>
      </c>
      <c r="B18" t="s">
        <v>172</v>
      </c>
      <c r="C18" s="40" t="s">
        <v>74</v>
      </c>
      <c r="D18" s="9" t="s">
        <v>64</v>
      </c>
      <c r="E18" s="79">
        <f>Sweden!AW$26</f>
        <v>8776.0791484910224</v>
      </c>
      <c r="F18" s="79">
        <f>Sweden!AX$26</f>
        <v>9088.5295123139349</v>
      </c>
      <c r="G18" s="79">
        <f>Sweden!AY$26</f>
        <v>8896.0118491920275</v>
      </c>
      <c r="H18" s="79">
        <f>Sweden!AZ$26</f>
        <v>8616.0856261272074</v>
      </c>
      <c r="I18" s="79">
        <f>Sweden!BA$26</f>
        <v>8705.2828778654439</v>
      </c>
      <c r="J18" s="79">
        <f>Sweden!BB$26</f>
        <v>8668.1530504062848</v>
      </c>
      <c r="K18" s="79">
        <f>Sweden!BC$26</f>
        <v>8752.3983957394194</v>
      </c>
      <c r="L18" s="79">
        <f>Sweden!BD$26</f>
        <v>8838.2361875982842</v>
      </c>
      <c r="M18" s="79">
        <f>Sweden!BE$26</f>
        <v>8877.3352933997849</v>
      </c>
      <c r="N18" s="79">
        <f>Sweden!BF$26</f>
        <v>8968.1746351764159</v>
      </c>
      <c r="O18" s="79"/>
      <c r="P18" s="79"/>
      <c r="Q18" s="79">
        <f>Sweden!BJ$26</f>
        <v>8938.377635245799</v>
      </c>
      <c r="R18" s="79">
        <f>Sweden!BK$26</f>
        <v>8882.7129682200193</v>
      </c>
    </row>
    <row r="19" spans="1:18" x14ac:dyDescent="0.3">
      <c r="A19" t="s">
        <v>1</v>
      </c>
      <c r="B19" t="s">
        <v>172</v>
      </c>
      <c r="C19" s="40" t="s">
        <v>76</v>
      </c>
      <c r="D19" s="9" t="s">
        <v>64</v>
      </c>
      <c r="E19" s="79">
        <f>Sweden!AW$27</f>
        <v>2237.5588469715372</v>
      </c>
      <c r="F19" s="79">
        <f>Sweden!AX$27</f>
        <v>2237.5588469715372</v>
      </c>
      <c r="G19" s="79">
        <f>Sweden!AY$27</f>
        <v>2237.5588469715372</v>
      </c>
      <c r="H19" s="79">
        <f>Sweden!AZ$27</f>
        <v>2237.5588469715372</v>
      </c>
      <c r="I19" s="79">
        <f>Sweden!BA$27</f>
        <v>2237.5588469715372</v>
      </c>
      <c r="J19" s="79">
        <f>Sweden!BB$27</f>
        <v>2237.5588469715372</v>
      </c>
      <c r="K19" s="79">
        <f>Sweden!BC$27</f>
        <v>2237.5588469715372</v>
      </c>
      <c r="L19" s="79">
        <f>Sweden!BD$27</f>
        <v>2237.5588469715372</v>
      </c>
      <c r="M19" s="79">
        <f>Sweden!BE$27</f>
        <v>2237.5588469715372</v>
      </c>
      <c r="N19" s="79">
        <f>Sweden!BF$27</f>
        <v>2237.5588469715372</v>
      </c>
      <c r="O19" s="79"/>
      <c r="P19" s="79"/>
      <c r="Q19" s="79">
        <f>Sweden!BJ$27</f>
        <v>2237.5588469715372</v>
      </c>
      <c r="R19" s="79">
        <f>Sweden!BK$27</f>
        <v>2237.5588469715372</v>
      </c>
    </row>
    <row r="20" spans="1:18" x14ac:dyDescent="0.3">
      <c r="A20" t="s">
        <v>6</v>
      </c>
      <c r="B20" s="9" t="s">
        <v>239</v>
      </c>
      <c r="C20" s="17" t="s">
        <v>63</v>
      </c>
      <c r="D20" s="40" t="s">
        <v>64</v>
      </c>
      <c r="E20" s="79">
        <f>Norway!AW$13</f>
        <v>5379.9322181416746</v>
      </c>
      <c r="F20" s="79">
        <f>Norway!AX$13</f>
        <v>5422.4274304155842</v>
      </c>
      <c r="G20" s="79">
        <f>Norway!AY$13</f>
        <v>5828.7473274643044</v>
      </c>
      <c r="H20" s="79">
        <f>Norway!AZ$13</f>
        <v>5331.1383838482143</v>
      </c>
      <c r="I20" s="79">
        <f>Norway!BA$13</f>
        <v>5594.7142219531215</v>
      </c>
      <c r="J20" s="79">
        <f>Norway!BB$13</f>
        <v>5608.0716965951733</v>
      </c>
      <c r="K20" s="79">
        <f>Norway!BC$13</f>
        <v>5472.0544669168276</v>
      </c>
      <c r="L20" s="79">
        <f>Norway!BD$13</f>
        <v>5590.671265859829</v>
      </c>
      <c r="M20" s="79">
        <f>Norway!BE$13</f>
        <v>5435.7279505111528</v>
      </c>
      <c r="N20" s="79">
        <f>Norway!BF$13</f>
        <v>5539.8434385782602</v>
      </c>
      <c r="O20" s="79"/>
      <c r="P20" s="80"/>
      <c r="Q20" s="79">
        <f>Norway!BJ$13</f>
        <v>5568.401864519009</v>
      </c>
      <c r="R20" s="79">
        <f>Norway!BK$13</f>
        <v>6440.7357072692594</v>
      </c>
    </row>
    <row r="21" spans="1:18" x14ac:dyDescent="0.3">
      <c r="A21" t="s">
        <v>6</v>
      </c>
      <c r="B21" s="9" t="s">
        <v>239</v>
      </c>
      <c r="C21" s="17" t="s">
        <v>74</v>
      </c>
      <c r="D21" s="40" t="s">
        <v>64</v>
      </c>
      <c r="E21" s="79">
        <f>Norway!AW$14</f>
        <v>4397.8930706737265</v>
      </c>
      <c r="F21" s="79">
        <f>Norway!AX$14</f>
        <v>4433.4211877972612</v>
      </c>
      <c r="G21" s="79">
        <f>Norway!AY$14</f>
        <v>4837.1948889693485</v>
      </c>
      <c r="H21" s="79">
        <f>Norway!AZ$14</f>
        <v>4330.1936435808902</v>
      </c>
      <c r="I21" s="79">
        <f>Norway!BA$14</f>
        <v>4590.201223740868</v>
      </c>
      <c r="J21" s="79">
        <f>Norway!BB$14</f>
        <v>4600.12295309827</v>
      </c>
      <c r="K21" s="79">
        <f>Norway!BC$14</f>
        <v>4452.837358044625</v>
      </c>
      <c r="L21" s="79">
        <f>Norway!BD$14</f>
        <v>4573.4095316135945</v>
      </c>
      <c r="M21" s="79">
        <f>Norway!BE$14</f>
        <v>4414.0668335416103</v>
      </c>
      <c r="N21" s="79">
        <f>Norway!BF$14</f>
        <v>4514.5734935599976</v>
      </c>
      <c r="O21" s="79"/>
      <c r="P21" s="80"/>
      <c r="Q21" s="79">
        <f>Norway!BJ$14</f>
        <v>4511.7518979725983</v>
      </c>
      <c r="R21" s="79">
        <f>Norway!BK$14</f>
        <v>5384.0857407228486</v>
      </c>
    </row>
    <row r="22" spans="1:18" x14ac:dyDescent="0.3">
      <c r="A22" t="s">
        <v>6</v>
      </c>
      <c r="B22" s="9" t="s">
        <v>239</v>
      </c>
      <c r="C22" s="17" t="s">
        <v>76</v>
      </c>
      <c r="D22" s="97" t="s">
        <v>64</v>
      </c>
      <c r="E22" s="79">
        <f>Norway!AW$15</f>
        <v>1056.6499665464105</v>
      </c>
      <c r="F22" s="79">
        <f>Norway!AX$15</f>
        <v>1056.6499665464105</v>
      </c>
      <c r="G22" s="79">
        <f>Norway!AY$15</f>
        <v>1056.6499665464105</v>
      </c>
      <c r="H22" s="79">
        <f>Norway!AZ$15</f>
        <v>1056.6499665464105</v>
      </c>
      <c r="I22" s="79">
        <f>Norway!BA$15</f>
        <v>1056.6499665464105</v>
      </c>
      <c r="J22" s="79">
        <f>Norway!BB$15</f>
        <v>1056.6499665464105</v>
      </c>
      <c r="K22" s="79">
        <f>Norway!BC$15</f>
        <v>1056.6499665464105</v>
      </c>
      <c r="L22" s="79">
        <f>Norway!BD$15</f>
        <v>1056.6499665464105</v>
      </c>
      <c r="M22" s="79">
        <f>Norway!BE$15</f>
        <v>1056.6499665464105</v>
      </c>
      <c r="N22" s="79">
        <f>Norway!BF$15</f>
        <v>1056.6499665464105</v>
      </c>
      <c r="O22" s="79"/>
      <c r="P22" s="80"/>
      <c r="Q22" s="79">
        <f>Norway!BJ$15</f>
        <v>1056.6499665464105</v>
      </c>
      <c r="R22" s="79">
        <f>Norway!BK$15</f>
        <v>1056.6499665464105</v>
      </c>
    </row>
    <row r="23" spans="1:18" x14ac:dyDescent="0.3">
      <c r="A23" t="s">
        <v>6</v>
      </c>
      <c r="B23" s="9" t="s">
        <v>208</v>
      </c>
      <c r="C23" s="17" t="s">
        <v>63</v>
      </c>
      <c r="D23" s="40" t="s">
        <v>64</v>
      </c>
      <c r="E23" s="79">
        <f>Norway!AW$17</f>
        <v>783.73970822306057</v>
      </c>
      <c r="F23" s="79">
        <f>Norway!AX$17</f>
        <v>787.74434589824966</v>
      </c>
      <c r="G23" s="79">
        <f>Norway!AY$17</f>
        <v>844.62308989351027</v>
      </c>
      <c r="H23" s="79">
        <f>Norway!AZ$17</f>
        <v>772.38723199232174</v>
      </c>
      <c r="I23" s="79">
        <f>Norway!BA$17</f>
        <v>808.61188000436346</v>
      </c>
      <c r="J23" s="79">
        <f>Norway!BB$17</f>
        <v>809.37590775147203</v>
      </c>
      <c r="K23" s="79">
        <f>Norway!BC$17</f>
        <v>788.27797877237947</v>
      </c>
      <c r="L23" s="79">
        <f>Norway!BD$17</f>
        <v>805.10328799660294</v>
      </c>
      <c r="M23" s="79">
        <f>Norway!BE$17</f>
        <v>782.11964954125347</v>
      </c>
      <c r="N23" s="79">
        <f>Norway!BF$17</f>
        <v>796.24753614510428</v>
      </c>
      <c r="O23" s="79"/>
      <c r="P23" s="80"/>
      <c r="Q23" s="79">
        <f>Norway!BJ$17</f>
        <v>791.32218379307869</v>
      </c>
      <c r="R23" s="79">
        <f>Norway!BK$17</f>
        <v>912.1671387761038</v>
      </c>
    </row>
    <row r="24" spans="1:18" x14ac:dyDescent="0.3">
      <c r="A24" t="s">
        <v>6</v>
      </c>
      <c r="B24" s="9" t="s">
        <v>208</v>
      </c>
      <c r="C24" s="17" t="s">
        <v>74</v>
      </c>
      <c r="D24" s="40" t="s">
        <v>64</v>
      </c>
      <c r="E24" s="79">
        <f>Norway!AW$18</f>
        <v>633.5798276368173</v>
      </c>
      <c r="F24" s="79">
        <f>Norway!AX$18</f>
        <v>637.58446531200639</v>
      </c>
      <c r="G24" s="79">
        <f>Norway!AY$18</f>
        <v>694.46320930726699</v>
      </c>
      <c r="H24" s="79">
        <f>Norway!AZ$18</f>
        <v>622.22735140607847</v>
      </c>
      <c r="I24" s="79">
        <f>Norway!BA$18</f>
        <v>658.45199941812018</v>
      </c>
      <c r="J24" s="79">
        <f>Norway!BB$18</f>
        <v>659.21602716522875</v>
      </c>
      <c r="K24" s="79">
        <f>Norway!BC$18</f>
        <v>638.11809818613619</v>
      </c>
      <c r="L24" s="79">
        <f>Norway!BD$18</f>
        <v>654.94340741035967</v>
      </c>
      <c r="M24" s="79">
        <f>Norway!BE$18</f>
        <v>631.95976895501019</v>
      </c>
      <c r="N24" s="79">
        <f>Norway!BF$18</f>
        <v>646.087655558861</v>
      </c>
      <c r="O24" s="79"/>
      <c r="P24" s="80"/>
      <c r="Q24" s="79">
        <f>Norway!BJ$18</f>
        <v>641.16230320683542</v>
      </c>
      <c r="R24" s="79">
        <f>Norway!BK$18</f>
        <v>762.00725818986052</v>
      </c>
    </row>
    <row r="25" spans="1:18" x14ac:dyDescent="0.3">
      <c r="A25" t="s">
        <v>6</v>
      </c>
      <c r="B25" s="9" t="s">
        <v>208</v>
      </c>
      <c r="C25" s="17" t="s">
        <v>76</v>
      </c>
      <c r="D25" s="90" t="s">
        <v>64</v>
      </c>
      <c r="E25" s="79">
        <f>Norway!AW$19</f>
        <v>150.1598805862433</v>
      </c>
      <c r="F25" s="79">
        <f>Norway!AX$19</f>
        <v>150.1598805862433</v>
      </c>
      <c r="G25" s="79">
        <f>Norway!AY$19</f>
        <v>150.1598805862433</v>
      </c>
      <c r="H25" s="79">
        <f>Norway!AZ$19</f>
        <v>150.1598805862433</v>
      </c>
      <c r="I25" s="79">
        <f>Norway!BA$19</f>
        <v>150.1598805862433</v>
      </c>
      <c r="J25" s="79">
        <f>Norway!BB$19</f>
        <v>150.1598805862433</v>
      </c>
      <c r="K25" s="79">
        <f>Norway!BC$19</f>
        <v>150.1598805862433</v>
      </c>
      <c r="L25" s="79">
        <f>Norway!BD$19</f>
        <v>150.1598805862433</v>
      </c>
      <c r="M25" s="79">
        <f>Norway!BE$19</f>
        <v>150.1598805862433</v>
      </c>
      <c r="N25" s="79">
        <f>Norway!BF$19</f>
        <v>150.1598805862433</v>
      </c>
      <c r="O25" s="79"/>
      <c r="P25" s="80"/>
      <c r="Q25" s="79">
        <f>Norway!BJ$19</f>
        <v>150.1598805862433</v>
      </c>
      <c r="R25" s="79">
        <f>Norway!BK$19</f>
        <v>150.1598805862433</v>
      </c>
    </row>
    <row r="26" spans="1:18" x14ac:dyDescent="0.3">
      <c r="A26" t="s">
        <v>6</v>
      </c>
      <c r="B26" s="9" t="s">
        <v>209</v>
      </c>
      <c r="C26" s="17" t="s">
        <v>63</v>
      </c>
      <c r="D26" s="40" t="s">
        <v>64</v>
      </c>
      <c r="E26" s="79">
        <f>Norway!AW$21</f>
        <v>863.82940113179086</v>
      </c>
      <c r="F26" s="79">
        <f>Norway!AX$21</f>
        <v>863.10311801411774</v>
      </c>
      <c r="G26" s="79">
        <f>Norway!AY$21</f>
        <v>920.11674803164669</v>
      </c>
      <c r="H26" s="79">
        <f>Norway!AZ$21</f>
        <v>836.75340714409265</v>
      </c>
      <c r="I26" s="79">
        <f>Norway!BA$21</f>
        <v>873.48718542813003</v>
      </c>
      <c r="J26" s="79">
        <f>Norway!BB$21</f>
        <v>869.62706200578623</v>
      </c>
      <c r="K26" s="79">
        <f>Norway!BC$21</f>
        <v>842.40414773267207</v>
      </c>
      <c r="L26" s="79">
        <f>Norway!BD$21</f>
        <v>857.85793693567655</v>
      </c>
      <c r="M26" s="79">
        <f>Norway!BE$21</f>
        <v>830.49161235016413</v>
      </c>
      <c r="N26" s="79">
        <f>Norway!BF$21</f>
        <v>841.73858762819668</v>
      </c>
      <c r="O26" s="79"/>
      <c r="P26" s="80"/>
      <c r="Q26" s="79">
        <f>Norway!BJ$21</f>
        <v>814.47023852678421</v>
      </c>
      <c r="R26" s="79">
        <f>Norway!BK$21</f>
        <v>923.95538690729006</v>
      </c>
    </row>
    <row r="27" spans="1:18" x14ac:dyDescent="0.3">
      <c r="A27" t="s">
        <v>6</v>
      </c>
      <c r="B27" s="9" t="s">
        <v>209</v>
      </c>
      <c r="C27" s="17" t="s">
        <v>74</v>
      </c>
      <c r="D27" s="40" t="s">
        <v>64</v>
      </c>
      <c r="E27" s="79">
        <f>Norway!AW$22</f>
        <v>709.27698713019981</v>
      </c>
      <c r="F27" s="79">
        <f>Norway!AX$22</f>
        <v>708.55070401252669</v>
      </c>
      <c r="G27" s="79">
        <f>Norway!AY$22</f>
        <v>765.56433403005565</v>
      </c>
      <c r="H27" s="79">
        <f>Norway!AZ$22</f>
        <v>682.2009931425016</v>
      </c>
      <c r="I27" s="79">
        <f>Norway!BA$22</f>
        <v>718.93477142653899</v>
      </c>
      <c r="J27" s="79">
        <f>Norway!BB$22</f>
        <v>715.07464800419518</v>
      </c>
      <c r="K27" s="79">
        <f>Norway!BC$22</f>
        <v>687.85173373108103</v>
      </c>
      <c r="L27" s="79">
        <f>Norway!BD$22</f>
        <v>703.3055229340855</v>
      </c>
      <c r="M27" s="79">
        <f>Norway!BE$22</f>
        <v>675.93919834857309</v>
      </c>
      <c r="N27" s="79">
        <f>Norway!BF$22</f>
        <v>687.18617362660564</v>
      </c>
      <c r="O27" s="79"/>
      <c r="P27" s="80"/>
      <c r="Q27" s="79">
        <f>Norway!BJ$22</f>
        <v>659.91782452519317</v>
      </c>
      <c r="R27" s="79">
        <f>Norway!BK$22</f>
        <v>769.40297290569902</v>
      </c>
    </row>
    <row r="28" spans="1:18" x14ac:dyDescent="0.3">
      <c r="A28" t="s">
        <v>6</v>
      </c>
      <c r="B28" s="9" t="s">
        <v>209</v>
      </c>
      <c r="C28" s="17" t="s">
        <v>76</v>
      </c>
      <c r="D28" s="90" t="s">
        <v>64</v>
      </c>
      <c r="E28" s="79">
        <f>Norway!AW$23</f>
        <v>154.55241400159105</v>
      </c>
      <c r="F28" s="79">
        <f>Norway!AX$23</f>
        <v>154.55241400159105</v>
      </c>
      <c r="G28" s="79">
        <f>Norway!AY$23</f>
        <v>154.55241400159105</v>
      </c>
      <c r="H28" s="79">
        <f>Norway!AZ$23</f>
        <v>154.55241400159105</v>
      </c>
      <c r="I28" s="79">
        <f>Norway!BA$23</f>
        <v>154.55241400159105</v>
      </c>
      <c r="J28" s="79">
        <f>Norway!BB$23</f>
        <v>154.55241400159105</v>
      </c>
      <c r="K28" s="79">
        <f>Norway!BC$23</f>
        <v>154.55241400159105</v>
      </c>
      <c r="L28" s="79">
        <f>Norway!BD$23</f>
        <v>154.55241400159105</v>
      </c>
      <c r="M28" s="79">
        <f>Norway!BE$23</f>
        <v>154.55241400159105</v>
      </c>
      <c r="N28" s="79">
        <f>Norway!BF$23</f>
        <v>154.55241400159105</v>
      </c>
      <c r="O28" s="79"/>
      <c r="P28" s="80"/>
      <c r="Q28" s="79">
        <f>Norway!BJ$23</f>
        <v>154.55241400159105</v>
      </c>
      <c r="R28" s="79">
        <f>Norway!BK$23</f>
        <v>154.55241400159105</v>
      </c>
    </row>
    <row r="29" spans="1:18" x14ac:dyDescent="0.3">
      <c r="A29" t="s">
        <v>7</v>
      </c>
      <c r="B29" t="s">
        <v>243</v>
      </c>
      <c r="C29" s="9" t="s">
        <v>63</v>
      </c>
      <c r="D29" s="9" t="s">
        <v>64</v>
      </c>
      <c r="E29" s="10">
        <f>Finland!O9*Finland!$AB8</f>
        <v>38002.394032336284</v>
      </c>
      <c r="F29" s="10">
        <f>Finland!P9*Finland!$AB8</f>
        <v>37616.748930164453</v>
      </c>
      <c r="G29" s="10">
        <f>Finland!Q9*Finland!$AB8</f>
        <v>37559.952797940743</v>
      </c>
      <c r="H29" s="10">
        <f>Finland!R9*Finland!$AB8</f>
        <v>37167.939475977924</v>
      </c>
      <c r="I29" s="10">
        <f>Finland!S9*Finland!$AB8</f>
        <v>37719.09634775023</v>
      </c>
      <c r="J29" s="10">
        <f>Finland!T9*Finland!$AB8</f>
        <v>38055.199324778623</v>
      </c>
      <c r="K29" s="10">
        <f>Finland!U9*Finland!$AB8</f>
        <v>36218.833816450773</v>
      </c>
      <c r="L29" s="10">
        <f>Finland!V9*Finland!$AB8</f>
        <v>37961.220855192449</v>
      </c>
      <c r="M29" s="10">
        <f>Finland!W9*Finland!$AB8</f>
        <v>37034.822969112131</v>
      </c>
      <c r="N29" s="10">
        <f>Finland!X9*Finland!$AB8</f>
        <v>38096.402487071267</v>
      </c>
      <c r="O29" s="10"/>
      <c r="Q29" s="10">
        <f>Finland!AB8</f>
        <v>37615.450769289004</v>
      </c>
      <c r="R29" s="10">
        <f>Finland!AC8</f>
        <v>37848.249074214444</v>
      </c>
    </row>
    <row r="30" spans="1:18" x14ac:dyDescent="0.3">
      <c r="A30" t="s">
        <v>7</v>
      </c>
      <c r="B30" t="s">
        <v>243</v>
      </c>
      <c r="C30" s="9" t="s">
        <v>74</v>
      </c>
      <c r="D30" s="9" t="s">
        <v>64</v>
      </c>
      <c r="E30" s="10">
        <f>E29-E31</f>
        <v>31492.945237842046</v>
      </c>
      <c r="F30" s="10">
        <f t="shared" ref="F30:N30" si="0">F29-F31</f>
        <v>31107.300135670215</v>
      </c>
      <c r="G30" s="10">
        <f t="shared" si="0"/>
        <v>31050.504003446506</v>
      </c>
      <c r="H30" s="10">
        <f t="shared" si="0"/>
        <v>30658.490681483687</v>
      </c>
      <c r="I30" s="10">
        <f t="shared" si="0"/>
        <v>31209.647553255993</v>
      </c>
      <c r="J30" s="10">
        <f t="shared" si="0"/>
        <v>31545.750530284386</v>
      </c>
      <c r="K30" s="10">
        <f t="shared" si="0"/>
        <v>29709.385021956536</v>
      </c>
      <c r="L30" s="10">
        <f t="shared" si="0"/>
        <v>31451.772060698211</v>
      </c>
      <c r="M30" s="10">
        <f t="shared" si="0"/>
        <v>30525.374174617893</v>
      </c>
      <c r="N30" s="10">
        <f t="shared" si="0"/>
        <v>31586.95369257703</v>
      </c>
      <c r="O30" s="10"/>
      <c r="Q30" s="10">
        <f t="shared" ref="Q30:R30" si="1">Q29-Q31</f>
        <v>31106.001974794766</v>
      </c>
      <c r="R30" s="10">
        <f t="shared" si="1"/>
        <v>31338.800279720206</v>
      </c>
    </row>
    <row r="31" spans="1:18" x14ac:dyDescent="0.3">
      <c r="A31" t="s">
        <v>7</v>
      </c>
      <c r="B31" t="s">
        <v>243</v>
      </c>
      <c r="C31" s="9" t="s">
        <v>76</v>
      </c>
      <c r="D31" s="97" t="s">
        <v>64</v>
      </c>
      <c r="E31" s="10">
        <f t="shared" ref="E31:N31" si="2">$Q31</f>
        <v>6509.4487944942384</v>
      </c>
      <c r="F31" s="10">
        <f t="shared" si="2"/>
        <v>6509.4487944942384</v>
      </c>
      <c r="G31" s="10">
        <f t="shared" si="2"/>
        <v>6509.4487944942384</v>
      </c>
      <c r="H31" s="10">
        <f t="shared" si="2"/>
        <v>6509.4487944942384</v>
      </c>
      <c r="I31" s="10">
        <f t="shared" si="2"/>
        <v>6509.4487944942384</v>
      </c>
      <c r="J31" s="10">
        <f t="shared" si="2"/>
        <v>6509.4487944942384</v>
      </c>
      <c r="K31" s="10">
        <f t="shared" si="2"/>
        <v>6509.4487944942384</v>
      </c>
      <c r="L31" s="10">
        <f t="shared" si="2"/>
        <v>6509.4487944942384</v>
      </c>
      <c r="M31" s="10">
        <f t="shared" si="2"/>
        <v>6509.4487944942384</v>
      </c>
      <c r="N31" s="10">
        <f t="shared" si="2"/>
        <v>6509.4487944942384</v>
      </c>
      <c r="O31" s="10"/>
      <c r="Q31" s="10">
        <f>Finland!AB5</f>
        <v>6509.4487944942384</v>
      </c>
      <c r="R31" s="10">
        <f>$Q31</f>
        <v>6509.4487944942384</v>
      </c>
    </row>
    <row r="32" spans="1:18" x14ac:dyDescent="0.3">
      <c r="A32" t="s">
        <v>7</v>
      </c>
      <c r="B32" t="s">
        <v>256</v>
      </c>
      <c r="C32" s="9" t="s">
        <v>63</v>
      </c>
      <c r="D32" s="9" t="s">
        <v>64</v>
      </c>
      <c r="E32" s="10">
        <f>Finland!O19*Finland!$AB18</f>
        <v>7040.8144263861313</v>
      </c>
      <c r="F32" s="10">
        <f>Finland!P19*Finland!$AB18</f>
        <v>6978.1919528312164</v>
      </c>
      <c r="G32" s="10">
        <f>Finland!Q19*Finland!$AB18</f>
        <v>6914.015742879973</v>
      </c>
      <c r="H32" s="10">
        <f>Finland!R19*Finland!$AB18</f>
        <v>7047.6663911168707</v>
      </c>
      <c r="I32" s="10">
        <f>Finland!S19*Finland!$AB18</f>
        <v>6998.9923487240048</v>
      </c>
      <c r="J32" s="10">
        <f>Finland!T19*Finland!$AB18</f>
        <v>7083.7068834762622</v>
      </c>
      <c r="K32" s="10">
        <f>Finland!U19*Finland!$AB18</f>
        <v>6950.9633964264112</v>
      </c>
      <c r="L32" s="10">
        <f>Finland!V19*Finland!$AB18</f>
        <v>6923.3759117017344</v>
      </c>
      <c r="M32" s="10">
        <f>Finland!W19*Finland!$AB18</f>
        <v>6844.1057535992904</v>
      </c>
      <c r="N32" s="10">
        <f>Finland!X19*Finland!$AB18</f>
        <v>6865.2292762126845</v>
      </c>
      <c r="O32" s="10"/>
      <c r="Q32" s="10">
        <f>Finland!AB18</f>
        <v>6944.7347482076239</v>
      </c>
      <c r="R32" s="10">
        <f>Finland!AC18</f>
        <v>6892.6383916811374</v>
      </c>
    </row>
    <row r="33" spans="1:18" x14ac:dyDescent="0.3">
      <c r="A33" t="s">
        <v>7</v>
      </c>
      <c r="B33" t="s">
        <v>256</v>
      </c>
      <c r="C33" s="9" t="s">
        <v>74</v>
      </c>
      <c r="D33" s="9" t="s">
        <v>64</v>
      </c>
      <c r="E33" s="10">
        <f t="shared" ref="E33:N33" si="3">E32-E34</f>
        <v>6229.0060736485457</v>
      </c>
      <c r="F33" s="10">
        <f t="shared" si="3"/>
        <v>6166.3836000936308</v>
      </c>
      <c r="G33" s="10">
        <f t="shared" si="3"/>
        <v>6102.2073901423873</v>
      </c>
      <c r="H33" s="10">
        <f t="shared" si="3"/>
        <v>6235.8580383792851</v>
      </c>
      <c r="I33" s="10">
        <f t="shared" si="3"/>
        <v>6187.1839959864192</v>
      </c>
      <c r="J33" s="10">
        <f t="shared" si="3"/>
        <v>6271.8985307386765</v>
      </c>
      <c r="K33" s="10">
        <f t="shared" si="3"/>
        <v>6139.1550436888256</v>
      </c>
      <c r="L33" s="10">
        <f t="shared" si="3"/>
        <v>6111.5675589641487</v>
      </c>
      <c r="M33" s="10">
        <f t="shared" si="3"/>
        <v>6032.2974008617048</v>
      </c>
      <c r="N33" s="10">
        <f t="shared" si="3"/>
        <v>6053.4209234750988</v>
      </c>
      <c r="O33" s="10"/>
      <c r="Q33" s="10">
        <f t="shared" ref="Q33:R33" si="4">Q32-Q34</f>
        <v>6132.9263954700382</v>
      </c>
      <c r="R33" s="10">
        <f t="shared" si="4"/>
        <v>6080.8300389435517</v>
      </c>
    </row>
    <row r="34" spans="1:18" x14ac:dyDescent="0.3">
      <c r="A34" t="s">
        <v>7</v>
      </c>
      <c r="B34" t="s">
        <v>256</v>
      </c>
      <c r="C34" s="9" t="s">
        <v>76</v>
      </c>
      <c r="D34" s="9" t="s">
        <v>64</v>
      </c>
      <c r="E34" s="10">
        <f>$Q34</f>
        <v>811.80835273758601</v>
      </c>
      <c r="F34" s="10">
        <f t="shared" ref="F34:N34" si="5">$Q34</f>
        <v>811.80835273758601</v>
      </c>
      <c r="G34" s="10">
        <f t="shared" si="5"/>
        <v>811.80835273758601</v>
      </c>
      <c r="H34" s="10">
        <f t="shared" si="5"/>
        <v>811.80835273758601</v>
      </c>
      <c r="I34" s="10">
        <f t="shared" si="5"/>
        <v>811.80835273758601</v>
      </c>
      <c r="J34" s="10">
        <f t="shared" si="5"/>
        <v>811.80835273758601</v>
      </c>
      <c r="K34" s="10">
        <f t="shared" si="5"/>
        <v>811.80835273758601</v>
      </c>
      <c r="L34" s="10">
        <f t="shared" si="5"/>
        <v>811.80835273758601</v>
      </c>
      <c r="M34" s="10">
        <f t="shared" si="5"/>
        <v>811.80835273758601</v>
      </c>
      <c r="N34" s="10">
        <f t="shared" si="5"/>
        <v>811.80835273758601</v>
      </c>
      <c r="O34" s="10"/>
      <c r="Q34" s="10">
        <f>Finland!AB16</f>
        <v>811.80835273758601</v>
      </c>
      <c r="R34" s="10">
        <f>$Q34</f>
        <v>811.80835273758601</v>
      </c>
    </row>
    <row r="35" spans="1:18" x14ac:dyDescent="0.3">
      <c r="A35" t="s">
        <v>7</v>
      </c>
      <c r="B35" t="s">
        <v>257</v>
      </c>
      <c r="C35" s="9" t="s">
        <v>63</v>
      </c>
      <c r="D35" s="9" t="s">
        <v>64</v>
      </c>
      <c r="E35" s="10">
        <f>Finland!O28*Finland!$AB27</f>
        <v>2484.7028672621386</v>
      </c>
      <c r="F35" s="10">
        <f>Finland!P28*Finland!$AB27</f>
        <v>2478.4295700893858</v>
      </c>
      <c r="G35" s="10">
        <f>Finland!Q28*Finland!$AB27</f>
        <v>2414.0726483354588</v>
      </c>
      <c r="H35" s="10">
        <f>Finland!R28*Finland!$AB27</f>
        <v>2456.3792021068393</v>
      </c>
      <c r="I35" s="10">
        <f>Finland!S28*Finland!$AB27</f>
        <v>2436.6688637692155</v>
      </c>
      <c r="J35" s="10">
        <f>Finland!T28*Finland!$AB27</f>
        <v>2457.0436372910667</v>
      </c>
      <c r="K35" s="10">
        <f>Finland!U28*Finland!$AB27</f>
        <v>2398.3581918228861</v>
      </c>
      <c r="L35" s="10">
        <f>Finland!V28*Finland!$AB27</f>
        <v>2429.213637721602</v>
      </c>
      <c r="M35" s="10">
        <f>Finland!W28*Finland!$AB27</f>
        <v>2463.568602516727</v>
      </c>
      <c r="N35" s="10">
        <f>Finland!X28*Finland!$AB27</f>
        <v>2451.1913771268564</v>
      </c>
      <c r="O35" s="10"/>
      <c r="P35" s="10"/>
      <c r="Q35" s="10">
        <f>Finland!AB27</f>
        <v>2445.8688186531281</v>
      </c>
      <c r="R35" s="10">
        <f>Finland!AC27</f>
        <v>2479.8661958034318</v>
      </c>
    </row>
    <row r="36" spans="1:18" x14ac:dyDescent="0.3">
      <c r="A36" t="s">
        <v>7</v>
      </c>
      <c r="B36" t="s">
        <v>257</v>
      </c>
      <c r="C36" s="9" t="s">
        <v>74</v>
      </c>
      <c r="D36" s="9" t="s">
        <v>64</v>
      </c>
      <c r="E36" s="10">
        <f t="shared" ref="E36:N36" si="6">E35-E37</f>
        <v>2122.0420056642029</v>
      </c>
      <c r="F36" s="10">
        <f t="shared" si="6"/>
        <v>2115.7687084914501</v>
      </c>
      <c r="G36" s="10">
        <f t="shared" si="6"/>
        <v>2051.411786737523</v>
      </c>
      <c r="H36" s="10">
        <f t="shared" si="6"/>
        <v>2093.7183405089036</v>
      </c>
      <c r="I36" s="10">
        <f t="shared" si="6"/>
        <v>2074.0080021712797</v>
      </c>
      <c r="J36" s="10">
        <f t="shared" si="6"/>
        <v>2094.382775693131</v>
      </c>
      <c r="K36" s="10">
        <f t="shared" si="6"/>
        <v>2035.6973302249503</v>
      </c>
      <c r="L36" s="10">
        <f t="shared" si="6"/>
        <v>2066.5527761236663</v>
      </c>
      <c r="M36" s="10">
        <f t="shared" si="6"/>
        <v>2100.9077409187912</v>
      </c>
      <c r="N36" s="10">
        <f t="shared" si="6"/>
        <v>2088.5305155289207</v>
      </c>
      <c r="O36" s="10"/>
      <c r="P36" s="10"/>
      <c r="Q36" s="10">
        <f t="shared" ref="Q36:R36" si="7">Q35-Q37</f>
        <v>2083.2079570551923</v>
      </c>
      <c r="R36" s="10">
        <f t="shared" si="7"/>
        <v>2117.205334205496</v>
      </c>
    </row>
    <row r="37" spans="1:18" x14ac:dyDescent="0.3">
      <c r="A37" t="s">
        <v>7</v>
      </c>
      <c r="B37" t="s">
        <v>257</v>
      </c>
      <c r="C37" s="9" t="s">
        <v>76</v>
      </c>
      <c r="D37" s="9" t="s">
        <v>64</v>
      </c>
      <c r="E37" s="10">
        <f>$Q37</f>
        <v>362.66086159793576</v>
      </c>
      <c r="F37" s="10">
        <f t="shared" ref="F37:N37" si="8">$Q37</f>
        <v>362.66086159793576</v>
      </c>
      <c r="G37" s="10">
        <f t="shared" si="8"/>
        <v>362.66086159793576</v>
      </c>
      <c r="H37" s="10">
        <f t="shared" si="8"/>
        <v>362.66086159793576</v>
      </c>
      <c r="I37" s="10">
        <f t="shared" si="8"/>
        <v>362.66086159793576</v>
      </c>
      <c r="J37" s="10">
        <f t="shared" si="8"/>
        <v>362.66086159793576</v>
      </c>
      <c r="K37" s="10">
        <f t="shared" si="8"/>
        <v>362.66086159793576</v>
      </c>
      <c r="L37" s="10">
        <f t="shared" si="8"/>
        <v>362.66086159793576</v>
      </c>
      <c r="M37" s="10">
        <f t="shared" si="8"/>
        <v>362.66086159793576</v>
      </c>
      <c r="N37" s="10">
        <f t="shared" si="8"/>
        <v>362.66086159793576</v>
      </c>
      <c r="O37" s="10"/>
      <c r="P37" s="10"/>
      <c r="Q37" s="10">
        <f>Finland!AB25</f>
        <v>362.66086159793576</v>
      </c>
      <c r="R37" s="10">
        <f>$Q37</f>
        <v>362.66086159793576</v>
      </c>
    </row>
    <row r="38" spans="1:18" x14ac:dyDescent="0.3">
      <c r="A38" t="s">
        <v>7</v>
      </c>
      <c r="B38" t="s">
        <v>258</v>
      </c>
      <c r="C38" s="9" t="s">
        <v>63</v>
      </c>
      <c r="D38" s="9" t="s">
        <v>64</v>
      </c>
      <c r="E38" s="10">
        <f>Finland!O37*Finland!$AB36</f>
        <v>1881.2012103904258</v>
      </c>
      <c r="F38" s="10">
        <f>Finland!P37*Finland!$AB36</f>
        <v>1850.7099815835049</v>
      </c>
      <c r="G38" s="10">
        <f>Finland!Q37*Finland!$AB36</f>
        <v>1851.5324600449935</v>
      </c>
      <c r="H38" s="10">
        <f>Finland!R37*Finland!$AB36</f>
        <v>1891.1422591855555</v>
      </c>
      <c r="I38" s="10">
        <f>Finland!S37*Finland!$AB36</f>
        <v>1940.4246585503831</v>
      </c>
      <c r="J38" s="10">
        <f>Finland!T37*Finland!$AB36</f>
        <v>1876.1583837671039</v>
      </c>
      <c r="K38" s="10">
        <f>Finland!U37*Finland!$AB36</f>
        <v>1916.8203456957833</v>
      </c>
      <c r="L38" s="10">
        <f>Finland!V37*Finland!$AB36</f>
        <v>1900.8316387766622</v>
      </c>
      <c r="M38" s="10">
        <f>Finland!W37*Finland!$AB36</f>
        <v>1882.847107707295</v>
      </c>
      <c r="N38" s="10">
        <f>Finland!X37*Finland!$AB36</f>
        <v>1902.3351228616277</v>
      </c>
      <c r="O38" s="10"/>
      <c r="Q38" s="10">
        <f>Finland!AB36</f>
        <v>1887.6869013376743</v>
      </c>
      <c r="R38" s="10">
        <f>Finland!AC36</f>
        <v>1878.27574204796</v>
      </c>
    </row>
    <row r="39" spans="1:18" x14ac:dyDescent="0.3">
      <c r="A39" t="s">
        <v>7</v>
      </c>
      <c r="B39" t="s">
        <v>258</v>
      </c>
      <c r="C39" s="9" t="s">
        <v>74</v>
      </c>
      <c r="D39" s="9" t="s">
        <v>64</v>
      </c>
      <c r="E39" s="10">
        <f t="shared" ref="E39:N39" si="9">E38-E40</f>
        <v>1589.4379755280434</v>
      </c>
      <c r="F39" s="10">
        <f t="shared" si="9"/>
        <v>1558.9467467211225</v>
      </c>
      <c r="G39" s="10">
        <f t="shared" si="9"/>
        <v>1559.7692251826111</v>
      </c>
      <c r="H39" s="10">
        <f t="shared" si="9"/>
        <v>1599.3790243231731</v>
      </c>
      <c r="I39" s="10">
        <f t="shared" si="9"/>
        <v>1648.6614236880007</v>
      </c>
      <c r="J39" s="10">
        <f t="shared" si="9"/>
        <v>1584.3951489047215</v>
      </c>
      <c r="K39" s="10">
        <f t="shared" si="9"/>
        <v>1625.0571108334009</v>
      </c>
      <c r="L39" s="10">
        <f t="shared" si="9"/>
        <v>1609.0684039142798</v>
      </c>
      <c r="M39" s="10">
        <f t="shared" si="9"/>
        <v>1591.0838728449125</v>
      </c>
      <c r="N39" s="10">
        <f t="shared" si="9"/>
        <v>1610.5718879992453</v>
      </c>
      <c r="O39" s="10"/>
      <c r="Q39" s="10">
        <f t="shared" ref="Q39:R39" si="10">Q38-Q40</f>
        <v>1595.9236664752918</v>
      </c>
      <c r="R39" s="10">
        <f t="shared" si="10"/>
        <v>1586.5125071855775</v>
      </c>
    </row>
    <row r="40" spans="1:18" x14ac:dyDescent="0.3">
      <c r="A40" t="s">
        <v>7</v>
      </c>
      <c r="B40" t="s">
        <v>258</v>
      </c>
      <c r="C40" s="9" t="s">
        <v>76</v>
      </c>
      <c r="D40" s="97" t="s">
        <v>64</v>
      </c>
      <c r="E40" s="10">
        <f>$Q40</f>
        <v>291.76323486238238</v>
      </c>
      <c r="F40" s="10">
        <f t="shared" ref="F40:N40" si="11">$Q40</f>
        <v>291.76323486238238</v>
      </c>
      <c r="G40" s="10">
        <f t="shared" si="11"/>
        <v>291.76323486238238</v>
      </c>
      <c r="H40" s="10">
        <f t="shared" si="11"/>
        <v>291.76323486238238</v>
      </c>
      <c r="I40" s="10">
        <f t="shared" si="11"/>
        <v>291.76323486238238</v>
      </c>
      <c r="J40" s="10">
        <f t="shared" si="11"/>
        <v>291.76323486238238</v>
      </c>
      <c r="K40" s="10">
        <f t="shared" si="11"/>
        <v>291.76323486238238</v>
      </c>
      <c r="L40" s="10">
        <f t="shared" si="11"/>
        <v>291.76323486238238</v>
      </c>
      <c r="M40" s="10">
        <f t="shared" si="11"/>
        <v>291.76323486238238</v>
      </c>
      <c r="N40" s="10">
        <f t="shared" si="11"/>
        <v>291.76323486238238</v>
      </c>
      <c r="O40" s="10"/>
      <c r="Q40" s="10">
        <f>Finland!AB34</f>
        <v>291.76323486238238</v>
      </c>
      <c r="R40" s="10">
        <f>$Q40</f>
        <v>291.76323486238238</v>
      </c>
    </row>
    <row r="41" spans="1:18" x14ac:dyDescent="0.3">
      <c r="A41" t="s">
        <v>7</v>
      </c>
      <c r="B41" t="s">
        <v>259</v>
      </c>
      <c r="C41" s="9" t="s">
        <v>63</v>
      </c>
      <c r="D41" s="9" t="s">
        <v>64</v>
      </c>
      <c r="E41" s="10">
        <f>Finland!O46*Finland!$AB45</f>
        <v>2445.6752148378851</v>
      </c>
      <c r="F41" s="10">
        <f>Finland!P46*Finland!$AB45</f>
        <v>2469.7681770919021</v>
      </c>
      <c r="G41" s="10">
        <f>Finland!Q46*Finland!$AB45</f>
        <v>2429.6260893300823</v>
      </c>
      <c r="H41" s="10">
        <f>Finland!R46*Finland!$AB45</f>
        <v>2146.5104554095151</v>
      </c>
      <c r="I41" s="10">
        <f>Finland!S46*Finland!$AB45</f>
        <v>2170.1228680922609</v>
      </c>
      <c r="J41" s="10">
        <f>Finland!T46*Finland!$AB45</f>
        <v>2260.7211956448596</v>
      </c>
      <c r="K41" s="10">
        <f>Finland!U46*Finland!$AB45</f>
        <v>2223.905053944658</v>
      </c>
      <c r="L41" s="10">
        <f>Finland!V46*Finland!$AB45</f>
        <v>2346.3470759133252</v>
      </c>
      <c r="M41" s="10">
        <f>Finland!W46*Finland!$AB45</f>
        <v>2394.1498724666585</v>
      </c>
      <c r="N41" s="10">
        <f>Finland!X46*Finland!$AB45</f>
        <v>2491.7505316698625</v>
      </c>
      <c r="O41" s="10"/>
      <c r="Q41" s="10">
        <f>Finland!AB45</f>
        <v>2380.2003176595526</v>
      </c>
      <c r="R41" s="10">
        <f>Finland!AC45</f>
        <v>2511.4303804059691</v>
      </c>
    </row>
    <row r="42" spans="1:18" x14ac:dyDescent="0.3">
      <c r="A42" t="s">
        <v>7</v>
      </c>
      <c r="B42" t="s">
        <v>259</v>
      </c>
      <c r="C42" s="9" t="s">
        <v>74</v>
      </c>
      <c r="D42" s="9" t="s">
        <v>64</v>
      </c>
      <c r="E42" s="10">
        <f t="shared" ref="E42:N42" si="12">E41-E43</f>
        <v>2210.5163799356601</v>
      </c>
      <c r="F42" s="10">
        <f t="shared" si="12"/>
        <v>2234.6093421896771</v>
      </c>
      <c r="G42" s="10">
        <f t="shared" si="12"/>
        <v>2194.4672544278574</v>
      </c>
      <c r="H42" s="10">
        <f t="shared" si="12"/>
        <v>1911.3516205072904</v>
      </c>
      <c r="I42" s="10">
        <f t="shared" si="12"/>
        <v>1934.9640331900362</v>
      </c>
      <c r="J42" s="10">
        <f t="shared" si="12"/>
        <v>2025.5623607426348</v>
      </c>
      <c r="K42" s="10">
        <f t="shared" si="12"/>
        <v>1988.7462190424333</v>
      </c>
      <c r="L42" s="10">
        <f t="shared" si="12"/>
        <v>2111.1882410111002</v>
      </c>
      <c r="M42" s="10">
        <f t="shared" si="12"/>
        <v>2158.9910375644336</v>
      </c>
      <c r="N42" s="10">
        <f t="shared" si="12"/>
        <v>2256.5916967676376</v>
      </c>
      <c r="O42" s="10"/>
      <c r="Q42" s="10">
        <f t="shared" ref="Q42:R42" si="13">Q41-Q43</f>
        <v>2145.0414827573277</v>
      </c>
      <c r="R42" s="10">
        <f t="shared" si="13"/>
        <v>2276.2715455037442</v>
      </c>
    </row>
    <row r="43" spans="1:18" x14ac:dyDescent="0.3">
      <c r="A43" t="s">
        <v>7</v>
      </c>
      <c r="B43" t="s">
        <v>259</v>
      </c>
      <c r="C43" s="9" t="s">
        <v>76</v>
      </c>
      <c r="D43" s="9" t="s">
        <v>64</v>
      </c>
      <c r="E43" s="10">
        <f>$Q43</f>
        <v>235.15883490222481</v>
      </c>
      <c r="F43" s="10">
        <f t="shared" ref="F43:N43" si="14">$Q43</f>
        <v>235.15883490222481</v>
      </c>
      <c r="G43" s="10">
        <f t="shared" si="14"/>
        <v>235.15883490222481</v>
      </c>
      <c r="H43" s="10">
        <f t="shared" si="14"/>
        <v>235.15883490222481</v>
      </c>
      <c r="I43" s="10">
        <f t="shared" si="14"/>
        <v>235.15883490222481</v>
      </c>
      <c r="J43" s="10">
        <f t="shared" si="14"/>
        <v>235.15883490222481</v>
      </c>
      <c r="K43" s="10">
        <f t="shared" si="14"/>
        <v>235.15883490222481</v>
      </c>
      <c r="L43" s="10">
        <f t="shared" si="14"/>
        <v>235.15883490222481</v>
      </c>
      <c r="M43" s="10">
        <f t="shared" si="14"/>
        <v>235.15883490222481</v>
      </c>
      <c r="N43" s="10">
        <f t="shared" si="14"/>
        <v>235.15883490222481</v>
      </c>
      <c r="O43" s="10"/>
      <c r="Q43" s="10">
        <f>Finland!AB43</f>
        <v>235.15883490222481</v>
      </c>
      <c r="R43" s="10">
        <f>$Q43</f>
        <v>235.15883490222481</v>
      </c>
    </row>
    <row r="44" spans="1:18" x14ac:dyDescent="0.3">
      <c r="A44" t="s">
        <v>7</v>
      </c>
      <c r="B44" t="s">
        <v>260</v>
      </c>
      <c r="C44" s="9" t="s">
        <v>63</v>
      </c>
      <c r="D44" s="9" t="s">
        <v>64</v>
      </c>
      <c r="E44" s="10">
        <f>Finland!O55*Finland!$AB54</f>
        <v>2246.427689926546</v>
      </c>
      <c r="F44" s="10">
        <f>Finland!P55*Finland!$AB54</f>
        <v>2193.8069515987372</v>
      </c>
      <c r="G44" s="10">
        <f>Finland!Q55*Finland!$AB54</f>
        <v>2198.771857649177</v>
      </c>
      <c r="H44" s="10">
        <f>Finland!R55*Finland!$AB54</f>
        <v>2236.5111160326528</v>
      </c>
      <c r="I44" s="10">
        <f>Finland!S55*Finland!$AB54</f>
        <v>2250.652576304205</v>
      </c>
      <c r="J44" s="10">
        <f>Finland!T55*Finland!$AB54</f>
        <v>2211.2768790687319</v>
      </c>
      <c r="K44" s="10">
        <f>Finland!U55*Finland!$AB54</f>
        <v>2218.1213402625322</v>
      </c>
      <c r="L44" s="10">
        <f>Finland!V55*Finland!$AB54</f>
        <v>2264.6177907203096</v>
      </c>
      <c r="M44" s="10">
        <f>Finland!W55*Finland!$AB54</f>
        <v>2224.7480864351646</v>
      </c>
      <c r="N44" s="10">
        <f>Finland!X55*Finland!$AB54</f>
        <v>2217.647227056078</v>
      </c>
      <c r="O44" s="10"/>
      <c r="Q44" s="10">
        <f>Finland!AB54</f>
        <v>2234.6155265914417</v>
      </c>
      <c r="R44" s="10">
        <f>Finland!AC54</f>
        <v>2238.09600523789</v>
      </c>
    </row>
    <row r="45" spans="1:18" x14ac:dyDescent="0.3">
      <c r="A45" t="s">
        <v>7</v>
      </c>
      <c r="B45" t="s">
        <v>260</v>
      </c>
      <c r="C45" s="9" t="s">
        <v>74</v>
      </c>
      <c r="D45" s="9" t="s">
        <v>64</v>
      </c>
      <c r="E45" s="10">
        <f t="shared" ref="E45:N45" si="15">E44-E46</f>
        <v>1951.3899940134461</v>
      </c>
      <c r="F45" s="10">
        <f t="shared" si="15"/>
        <v>1898.7692556856373</v>
      </c>
      <c r="G45" s="10">
        <f t="shared" si="15"/>
        <v>1903.7341617360771</v>
      </c>
      <c r="H45" s="10">
        <f t="shared" si="15"/>
        <v>1941.4734201195529</v>
      </c>
      <c r="I45" s="10">
        <f t="shared" si="15"/>
        <v>1955.6148803911051</v>
      </c>
      <c r="J45" s="10">
        <f t="shared" si="15"/>
        <v>1916.239183155632</v>
      </c>
      <c r="K45" s="10">
        <f t="shared" si="15"/>
        <v>1923.0836443494322</v>
      </c>
      <c r="L45" s="10">
        <f t="shared" si="15"/>
        <v>1969.5800948072097</v>
      </c>
      <c r="M45" s="10">
        <f t="shared" si="15"/>
        <v>1929.7103905220647</v>
      </c>
      <c r="N45" s="10">
        <f t="shared" si="15"/>
        <v>1922.6095311429781</v>
      </c>
      <c r="O45" s="10"/>
      <c r="Q45" s="10">
        <f t="shared" ref="Q45:R45" si="16">Q44-Q46</f>
        <v>1939.5778306783418</v>
      </c>
      <c r="R45" s="10">
        <f t="shared" si="16"/>
        <v>1943.0583093247901</v>
      </c>
    </row>
    <row r="46" spans="1:18" x14ac:dyDescent="0.3">
      <c r="A46" t="s">
        <v>7</v>
      </c>
      <c r="B46" t="s">
        <v>260</v>
      </c>
      <c r="C46" s="9" t="s">
        <v>76</v>
      </c>
      <c r="D46" s="9" t="s">
        <v>64</v>
      </c>
      <c r="E46" s="10">
        <f>$Q46</f>
        <v>295.03769591309992</v>
      </c>
      <c r="F46" s="10">
        <f t="shared" ref="F46:N46" si="17">$Q46</f>
        <v>295.03769591309992</v>
      </c>
      <c r="G46" s="10">
        <f t="shared" si="17"/>
        <v>295.03769591309992</v>
      </c>
      <c r="H46" s="10">
        <f t="shared" si="17"/>
        <v>295.03769591309992</v>
      </c>
      <c r="I46" s="10">
        <f t="shared" si="17"/>
        <v>295.03769591309992</v>
      </c>
      <c r="J46" s="10">
        <f t="shared" si="17"/>
        <v>295.03769591309992</v>
      </c>
      <c r="K46" s="10">
        <f t="shared" si="17"/>
        <v>295.03769591309992</v>
      </c>
      <c r="L46" s="10">
        <f t="shared" si="17"/>
        <v>295.03769591309992</v>
      </c>
      <c r="M46" s="10">
        <f t="shared" si="17"/>
        <v>295.03769591309992</v>
      </c>
      <c r="N46" s="10">
        <f t="shared" si="17"/>
        <v>295.03769591309992</v>
      </c>
      <c r="O46" s="10"/>
      <c r="Q46" s="10">
        <f>Finland!AB52</f>
        <v>295.03769591309992</v>
      </c>
      <c r="R46" s="10">
        <f>$Q46</f>
        <v>295.03769591309992</v>
      </c>
    </row>
    <row r="47" spans="1:18" x14ac:dyDescent="0.3">
      <c r="A47" t="s">
        <v>7</v>
      </c>
      <c r="B47" t="s">
        <v>261</v>
      </c>
      <c r="C47" s="9" t="s">
        <v>63</v>
      </c>
      <c r="D47" s="9" t="s">
        <v>64</v>
      </c>
      <c r="E47" s="10">
        <f>Finland!O64*Finland!$AB63</f>
        <v>1794.2543711750625</v>
      </c>
      <c r="F47" s="10">
        <f>Finland!P64*Finland!$AB63</f>
        <v>1743.5263594413054</v>
      </c>
      <c r="G47" s="10">
        <f>Finland!Q64*Finland!$AB63</f>
        <v>1785.9299631731949</v>
      </c>
      <c r="H47" s="10">
        <f>Finland!R64*Finland!$AB63</f>
        <v>1790.3065331506318</v>
      </c>
      <c r="I47" s="10">
        <f>Finland!S64*Finland!$AB63</f>
        <v>1786.8003447644239</v>
      </c>
      <c r="J47" s="10">
        <f>Finland!T64*Finland!$AB63</f>
        <v>1816.5899037731717</v>
      </c>
      <c r="K47" s="10">
        <f>Finland!U64*Finland!$AB63</f>
        <v>1807.6534482215379</v>
      </c>
      <c r="L47" s="10">
        <f>Finland!V64*Finland!$AB63</f>
        <v>1837.5157740584564</v>
      </c>
      <c r="M47" s="10">
        <f>Finland!W64*Finland!$AB63</f>
        <v>1789.5916982548576</v>
      </c>
      <c r="N47" s="10">
        <f>Finland!X64*Finland!$AB63</f>
        <v>1779.5659856754698</v>
      </c>
      <c r="O47" s="10"/>
      <c r="Q47" s="10">
        <f>Finland!AB63</f>
        <v>1790.9871893466905</v>
      </c>
      <c r="R47" s="10">
        <f>Finland!AC63</f>
        <v>1810.7598721192933</v>
      </c>
    </row>
    <row r="48" spans="1:18" x14ac:dyDescent="0.3">
      <c r="A48" t="s">
        <v>7</v>
      </c>
      <c r="B48" t="s">
        <v>261</v>
      </c>
      <c r="C48" s="9" t="s">
        <v>74</v>
      </c>
      <c r="D48" s="9" t="s">
        <v>64</v>
      </c>
      <c r="E48" s="10">
        <f t="shared" ref="E48:N48" si="18">E47-E49</f>
        <v>1545.1104940669211</v>
      </c>
      <c r="F48" s="10">
        <f t="shared" si="18"/>
        <v>1494.382482333164</v>
      </c>
      <c r="G48" s="10">
        <f t="shared" si="18"/>
        <v>1536.7860860650535</v>
      </c>
      <c r="H48" s="10">
        <f t="shared" si="18"/>
        <v>1541.1626560424904</v>
      </c>
      <c r="I48" s="10">
        <f t="shared" si="18"/>
        <v>1537.6564676562825</v>
      </c>
      <c r="J48" s="10">
        <f t="shared" si="18"/>
        <v>1567.4460266650303</v>
      </c>
      <c r="K48" s="10">
        <f t="shared" si="18"/>
        <v>1558.5095711133965</v>
      </c>
      <c r="L48" s="10">
        <f t="shared" si="18"/>
        <v>1588.371896950315</v>
      </c>
      <c r="M48" s="10">
        <f t="shared" si="18"/>
        <v>1540.4478211467163</v>
      </c>
      <c r="N48" s="10">
        <f t="shared" si="18"/>
        <v>1530.4221085673285</v>
      </c>
      <c r="O48" s="10"/>
      <c r="Q48" s="10">
        <f t="shared" ref="Q48:R48" si="19">Q47-Q49</f>
        <v>1541.8433122385491</v>
      </c>
      <c r="R48" s="10">
        <f t="shared" si="19"/>
        <v>1561.6159950111519</v>
      </c>
    </row>
    <row r="49" spans="1:18" x14ac:dyDescent="0.3">
      <c r="A49" t="s">
        <v>7</v>
      </c>
      <c r="B49" t="s">
        <v>261</v>
      </c>
      <c r="C49" s="9" t="s">
        <v>76</v>
      </c>
      <c r="D49" s="9" t="s">
        <v>64</v>
      </c>
      <c r="E49" s="10">
        <f>$Q49</f>
        <v>249.14387710814137</v>
      </c>
      <c r="F49" s="10">
        <f t="shared" ref="F49:N49" si="20">$Q49</f>
        <v>249.14387710814137</v>
      </c>
      <c r="G49" s="10">
        <f t="shared" si="20"/>
        <v>249.14387710814137</v>
      </c>
      <c r="H49" s="10">
        <f t="shared" si="20"/>
        <v>249.14387710814137</v>
      </c>
      <c r="I49" s="10">
        <f t="shared" si="20"/>
        <v>249.14387710814137</v>
      </c>
      <c r="J49" s="10">
        <f t="shared" si="20"/>
        <v>249.14387710814137</v>
      </c>
      <c r="K49" s="10">
        <f t="shared" si="20"/>
        <v>249.14387710814137</v>
      </c>
      <c r="L49" s="10">
        <f t="shared" si="20"/>
        <v>249.14387710814137</v>
      </c>
      <c r="M49" s="10">
        <f t="shared" si="20"/>
        <v>249.14387710814137</v>
      </c>
      <c r="N49" s="10">
        <f t="shared" si="20"/>
        <v>249.14387710814137</v>
      </c>
      <c r="O49" s="10"/>
      <c r="Q49" s="10">
        <f>Finland!AB61</f>
        <v>249.14387710814137</v>
      </c>
      <c r="R49" s="10">
        <f>$Q49</f>
        <v>249.14387710814137</v>
      </c>
    </row>
    <row r="50" spans="1:18" s="97" customFormat="1" x14ac:dyDescent="0.3">
      <c r="A50" s="97" t="s">
        <v>7</v>
      </c>
      <c r="B50" s="97" t="s">
        <v>310</v>
      </c>
      <c r="C50" s="97" t="s">
        <v>63</v>
      </c>
      <c r="D50" s="97" t="s">
        <v>64</v>
      </c>
      <c r="E50" s="10">
        <f>Finland!O73*Finland!$AB72</f>
        <v>1234.8625272336355</v>
      </c>
      <c r="F50" s="10">
        <f>Finland!P73*Finland!$AB72</f>
        <v>1219.2477017509934</v>
      </c>
      <c r="G50" s="10">
        <f>Finland!Q73*Finland!$AB72</f>
        <v>1243.3111949446397</v>
      </c>
      <c r="H50" s="10">
        <f>Finland!R73*Finland!$AB72</f>
        <v>1205.6457434363924</v>
      </c>
      <c r="I50" s="10">
        <f>Finland!S73*Finland!$AB72</f>
        <v>1258.2591183256834</v>
      </c>
      <c r="J50" s="10">
        <f>Finland!T73*Finland!$AB72</f>
        <v>1201.4445022502407</v>
      </c>
      <c r="K50" s="10">
        <f>Finland!U73*Finland!$AB72</f>
        <v>1233.5828876745729</v>
      </c>
      <c r="L50" s="10">
        <f>Finland!V73*Finland!$AB72</f>
        <v>1242.4725459061872</v>
      </c>
      <c r="M50" s="10">
        <f>Finland!W73*Finland!$AB72</f>
        <v>1240.0780118496666</v>
      </c>
      <c r="N50" s="10">
        <f>Finland!X73*Finland!$AB72</f>
        <v>1242.5411304954453</v>
      </c>
      <c r="O50" s="10"/>
      <c r="Q50" s="10">
        <f>Finland!AB72</f>
        <v>1235.3078135074268</v>
      </c>
      <c r="R50" s="10">
        <f>Finland!AC72</f>
        <v>1248.5712048484509</v>
      </c>
    </row>
    <row r="51" spans="1:18" s="97" customFormat="1" x14ac:dyDescent="0.3">
      <c r="A51" s="97" t="s">
        <v>7</v>
      </c>
      <c r="B51" s="97" t="s">
        <v>310</v>
      </c>
      <c r="C51" s="97" t="s">
        <v>74</v>
      </c>
      <c r="D51" s="97" t="s">
        <v>64</v>
      </c>
      <c r="E51" s="10">
        <f t="shared" ref="E51:N51" si="21">E50-E52</f>
        <v>1061.6219413834992</v>
      </c>
      <c r="F51" s="10">
        <f t="shared" si="21"/>
        <v>1046.0071159008571</v>
      </c>
      <c r="G51" s="10">
        <f t="shared" si="21"/>
        <v>1070.0706090945034</v>
      </c>
      <c r="H51" s="10">
        <f t="shared" si="21"/>
        <v>1032.4051575862561</v>
      </c>
      <c r="I51" s="10">
        <f t="shared" si="21"/>
        <v>1085.0185324755471</v>
      </c>
      <c r="J51" s="10">
        <f t="shared" si="21"/>
        <v>1028.2039164001044</v>
      </c>
      <c r="K51" s="10">
        <f t="shared" si="21"/>
        <v>1060.3423018244366</v>
      </c>
      <c r="L51" s="10">
        <f t="shared" si="21"/>
        <v>1069.2319600560509</v>
      </c>
      <c r="M51" s="10">
        <f t="shared" si="21"/>
        <v>1066.8374259995303</v>
      </c>
      <c r="N51" s="10">
        <f t="shared" si="21"/>
        <v>1069.3005446453089</v>
      </c>
      <c r="O51" s="10"/>
      <c r="Q51" s="10">
        <f t="shared" ref="Q51:R51" si="22">Q50-Q52</f>
        <v>1062.0672276572905</v>
      </c>
      <c r="R51" s="10">
        <f t="shared" si="22"/>
        <v>1075.3306189983145</v>
      </c>
    </row>
    <row r="52" spans="1:18" s="97" customFormat="1" x14ac:dyDescent="0.3">
      <c r="A52" s="97" t="s">
        <v>7</v>
      </c>
      <c r="B52" s="97" t="s">
        <v>310</v>
      </c>
      <c r="C52" s="97" t="s">
        <v>76</v>
      </c>
      <c r="D52" s="97" t="s">
        <v>64</v>
      </c>
      <c r="E52" s="10">
        <f>Finland!P70</f>
        <v>173.24058585013637</v>
      </c>
      <c r="F52" s="10">
        <f>Finland!Q70</f>
        <v>173.24058585013637</v>
      </c>
      <c r="G52" s="10">
        <f>Finland!R70</f>
        <v>173.24058585013637</v>
      </c>
      <c r="H52" s="10">
        <f>Finland!S70</f>
        <v>173.24058585013637</v>
      </c>
      <c r="I52" s="10">
        <f>Finland!T70</f>
        <v>173.24058585013637</v>
      </c>
      <c r="J52" s="10">
        <f>Finland!U70</f>
        <v>173.24058585013637</v>
      </c>
      <c r="K52" s="10">
        <f>Finland!V70</f>
        <v>173.24058585013637</v>
      </c>
      <c r="L52" s="10">
        <f>Finland!W70</f>
        <v>173.24058585013637</v>
      </c>
      <c r="M52" s="10">
        <f>Finland!X70</f>
        <v>173.24058585013637</v>
      </c>
      <c r="N52" s="10">
        <f>Finland!Y70</f>
        <v>173.24058585013637</v>
      </c>
      <c r="O52" s="10"/>
      <c r="Q52" s="10">
        <f>Finland!AB70</f>
        <v>173.24058585013637</v>
      </c>
      <c r="R52" s="10">
        <f>Finland!AC70</f>
        <v>173.24058585013637</v>
      </c>
    </row>
    <row r="53" spans="1:18" x14ac:dyDescent="0.3">
      <c r="A53" t="s">
        <v>262</v>
      </c>
      <c r="B53" t="s">
        <v>263</v>
      </c>
      <c r="C53" s="9" t="s">
        <v>63</v>
      </c>
      <c r="D53" s="9" t="s">
        <v>64</v>
      </c>
      <c r="E53" s="10">
        <f>Germany!O9*$Q$53</f>
        <v>98751.184141881415</v>
      </c>
      <c r="F53" s="10">
        <f>Germany!P9*$Q$53</f>
        <v>97934.035189394373</v>
      </c>
      <c r="G53" s="10">
        <f>Germany!Q9*$Q$53</f>
        <v>100910.8430540157</v>
      </c>
      <c r="H53" s="10">
        <f>Germany!R9*$Q$53</f>
        <v>101972.37416868524</v>
      </c>
      <c r="I53" s="10">
        <f>Germany!S9*$Q$53</f>
        <v>99583.174255673322</v>
      </c>
      <c r="J53" s="10">
        <f>Germany!T9*$Q$53</f>
        <v>100049.4623796076</v>
      </c>
      <c r="K53" s="10">
        <f>Germany!U9*$Q$53</f>
        <v>100019.40342834972</v>
      </c>
      <c r="L53" s="10">
        <f>Germany!V9*$Q$53</f>
        <v>99334.132875973984</v>
      </c>
      <c r="M53" s="10">
        <f>Germany!W9*$Q$53</f>
        <v>99473.237458554126</v>
      </c>
      <c r="N53" s="10">
        <f>Germany!X9*$Q$53</f>
        <v>98004.790203336946</v>
      </c>
      <c r="O53" s="10"/>
      <c r="P53" s="10"/>
      <c r="Q53" s="10">
        <f>Germany!AB$8</f>
        <v>99899.252443847246</v>
      </c>
      <c r="R53" s="10">
        <f>Germany!AC$8</f>
        <v>92710.133259800728</v>
      </c>
    </row>
    <row r="54" spans="1:18" x14ac:dyDescent="0.3">
      <c r="A54" t="s">
        <v>262</v>
      </c>
      <c r="B54" t="s">
        <v>263</v>
      </c>
      <c r="C54" s="9" t="s">
        <v>74</v>
      </c>
      <c r="D54" s="9" t="s">
        <v>64</v>
      </c>
      <c r="E54" s="10">
        <f>E53-E55</f>
        <v>81855.293724240182</v>
      </c>
      <c r="F54" s="10">
        <f t="shared" ref="F54:N54" si="23">F53-F55</f>
        <v>81038.144771753141</v>
      </c>
      <c r="G54" s="10">
        <f t="shared" si="23"/>
        <v>84014.952636374452</v>
      </c>
      <c r="H54" s="10">
        <f t="shared" si="23"/>
        <v>85076.483751043997</v>
      </c>
      <c r="I54" s="10">
        <f t="shared" si="23"/>
        <v>82687.283838032075</v>
      </c>
      <c r="J54" s="10">
        <f t="shared" si="23"/>
        <v>83153.571961966372</v>
      </c>
      <c r="K54" s="10">
        <f t="shared" si="23"/>
        <v>83123.51301070847</v>
      </c>
      <c r="L54" s="10">
        <f t="shared" si="23"/>
        <v>82438.242458332737</v>
      </c>
      <c r="M54" s="10">
        <f t="shared" si="23"/>
        <v>82577.347040912893</v>
      </c>
      <c r="N54" s="10">
        <f t="shared" si="23"/>
        <v>81108.899785695714</v>
      </c>
      <c r="O54" s="10"/>
      <c r="P54" s="10"/>
      <c r="Q54" s="10">
        <f t="shared" ref="Q54:R54" si="24">Q53-Q55</f>
        <v>83003.362026206014</v>
      </c>
      <c r="R54" s="10">
        <f t="shared" si="24"/>
        <v>75814.242842159496</v>
      </c>
    </row>
    <row r="55" spans="1:18" x14ac:dyDescent="0.3">
      <c r="A55" t="s">
        <v>262</v>
      </c>
      <c r="B55" t="s">
        <v>263</v>
      </c>
      <c r="C55" s="9" t="s">
        <v>76</v>
      </c>
      <c r="D55" s="97" t="s">
        <v>64</v>
      </c>
      <c r="E55" s="10">
        <f t="shared" ref="E55:N55" si="25">$Q55</f>
        <v>16895.89041764124</v>
      </c>
      <c r="F55" s="10">
        <f t="shared" si="25"/>
        <v>16895.89041764124</v>
      </c>
      <c r="G55" s="10">
        <f t="shared" si="25"/>
        <v>16895.89041764124</v>
      </c>
      <c r="H55" s="10">
        <f t="shared" si="25"/>
        <v>16895.89041764124</v>
      </c>
      <c r="I55" s="10">
        <f t="shared" si="25"/>
        <v>16895.89041764124</v>
      </c>
      <c r="J55" s="10">
        <f t="shared" si="25"/>
        <v>16895.89041764124</v>
      </c>
      <c r="K55" s="10">
        <f t="shared" si="25"/>
        <v>16895.89041764124</v>
      </c>
      <c r="L55" s="10">
        <f t="shared" si="25"/>
        <v>16895.89041764124</v>
      </c>
      <c r="M55" s="10">
        <f t="shared" si="25"/>
        <v>16895.89041764124</v>
      </c>
      <c r="N55" s="10">
        <f t="shared" si="25"/>
        <v>16895.89041764124</v>
      </c>
      <c r="O55" s="10"/>
      <c r="P55" s="10"/>
      <c r="Q55" s="10">
        <f>Germany!AB$5</f>
        <v>16895.89041764124</v>
      </c>
      <c r="R55" s="10">
        <f>$Q55</f>
        <v>16895.89041764124</v>
      </c>
    </row>
    <row r="56" spans="1:18" x14ac:dyDescent="0.3">
      <c r="A56" t="s">
        <v>14</v>
      </c>
      <c r="B56" t="s">
        <v>286</v>
      </c>
      <c r="C56" s="9" t="s">
        <v>63</v>
      </c>
      <c r="D56" s="9" t="s">
        <v>64</v>
      </c>
      <c r="E56" s="10">
        <f>Poland!O$9*$Q56</f>
        <v>106363.61064931218</v>
      </c>
      <c r="F56" s="10">
        <f>Poland!P$9*$Q56</f>
        <v>103926.06555981099</v>
      </c>
      <c r="G56" s="10">
        <f>Poland!Q$9*$Q56</f>
        <v>106444.33168539</v>
      </c>
      <c r="H56" s="10">
        <f>Poland!R$9*$Q56</f>
        <v>106416.81130181997</v>
      </c>
      <c r="I56" s="10">
        <f>Poland!S$9*$Q56</f>
        <v>107774.30295758341</v>
      </c>
      <c r="J56" s="10">
        <f>Poland!T$9*$Q56</f>
        <v>107938.65100385361</v>
      </c>
      <c r="K56" s="10">
        <f>Poland!U$9*$Q56</f>
        <v>106861.56036995651</v>
      </c>
      <c r="L56" s="10">
        <f>Poland!V$9*$Q56</f>
        <v>103698.18648356589</v>
      </c>
      <c r="M56" s="10">
        <f>Poland!W$9*$Q56</f>
        <v>105260.16798185364</v>
      </c>
      <c r="N56" s="10">
        <f>Poland!X$9*$Q56</f>
        <v>104070.20907702885</v>
      </c>
      <c r="O56" s="10"/>
      <c r="P56" s="10"/>
      <c r="Q56" s="10">
        <f>Poland!AB$8</f>
        <v>106034.24989443528</v>
      </c>
      <c r="R56" s="10">
        <f>Poland!AC$8</f>
        <v>101354.37969412678</v>
      </c>
    </row>
    <row r="57" spans="1:18" x14ac:dyDescent="0.3">
      <c r="A57" t="s">
        <v>14</v>
      </c>
      <c r="B57" t="s">
        <v>286</v>
      </c>
      <c r="C57" s="9" t="s">
        <v>74</v>
      </c>
      <c r="D57" s="9" t="s">
        <v>64</v>
      </c>
      <c r="E57" s="10">
        <f>E56-E58</f>
        <v>86337.454516733036</v>
      </c>
      <c r="F57" s="10">
        <f t="shared" ref="F57:N57" si="26">F56-F58</f>
        <v>83899.909427231847</v>
      </c>
      <c r="G57" s="10">
        <f t="shared" si="26"/>
        <v>86418.175552810862</v>
      </c>
      <c r="H57" s="10">
        <f t="shared" si="26"/>
        <v>86390.65516924081</v>
      </c>
      <c r="I57" s="10">
        <f t="shared" si="26"/>
        <v>87748.146825004253</v>
      </c>
      <c r="J57" s="10">
        <f t="shared" si="26"/>
        <v>87912.494871274452</v>
      </c>
      <c r="K57" s="10">
        <f t="shared" si="26"/>
        <v>86835.40423737737</v>
      </c>
      <c r="L57" s="10">
        <f t="shared" si="26"/>
        <v>83672.030350986752</v>
      </c>
      <c r="M57" s="10">
        <f t="shared" si="26"/>
        <v>85234.01184927448</v>
      </c>
      <c r="N57" s="10">
        <f t="shared" si="26"/>
        <v>84044.052944449708</v>
      </c>
      <c r="O57" s="10"/>
      <c r="P57" s="10"/>
      <c r="Q57" s="10">
        <f t="shared" ref="Q57:R57" si="27">Q56-Q58</f>
        <v>86008.093761856144</v>
      </c>
      <c r="R57" s="10">
        <f t="shared" si="27"/>
        <v>81328.223561547638</v>
      </c>
    </row>
    <row r="58" spans="1:18" x14ac:dyDescent="0.3">
      <c r="A58" t="s">
        <v>14</v>
      </c>
      <c r="B58" t="s">
        <v>286</v>
      </c>
      <c r="C58" s="9" t="s">
        <v>76</v>
      </c>
      <c r="D58" s="97" t="s">
        <v>64</v>
      </c>
      <c r="E58" s="10">
        <f t="shared" ref="E58:N58" si="28">$Q58</f>
        <v>20026.156132579148</v>
      </c>
      <c r="F58" s="10">
        <f t="shared" si="28"/>
        <v>20026.156132579148</v>
      </c>
      <c r="G58" s="10">
        <f t="shared" si="28"/>
        <v>20026.156132579148</v>
      </c>
      <c r="H58" s="10">
        <f t="shared" si="28"/>
        <v>20026.156132579148</v>
      </c>
      <c r="I58" s="10">
        <f t="shared" si="28"/>
        <v>20026.156132579148</v>
      </c>
      <c r="J58" s="10">
        <f t="shared" si="28"/>
        <v>20026.156132579148</v>
      </c>
      <c r="K58" s="10">
        <f t="shared" si="28"/>
        <v>20026.156132579148</v>
      </c>
      <c r="L58" s="10">
        <f t="shared" si="28"/>
        <v>20026.156132579148</v>
      </c>
      <c r="M58" s="10">
        <f t="shared" si="28"/>
        <v>20026.156132579148</v>
      </c>
      <c r="N58" s="10">
        <f t="shared" si="28"/>
        <v>20026.156132579148</v>
      </c>
      <c r="O58" s="10"/>
      <c r="P58" s="10"/>
      <c r="Q58" s="10">
        <f>Poland!AB$5</f>
        <v>20026.156132579148</v>
      </c>
      <c r="R58" s="10">
        <f>$Q58</f>
        <v>20026.156132579148</v>
      </c>
    </row>
    <row r="59" spans="1:18" x14ac:dyDescent="0.3">
      <c r="A59" t="s">
        <v>0</v>
      </c>
      <c r="B59" t="s">
        <v>162</v>
      </c>
      <c r="C59" s="9" t="s">
        <v>63</v>
      </c>
      <c r="D59" s="9" t="s">
        <v>64</v>
      </c>
      <c r="E59" s="10">
        <f>Latvia!F$9*$Q59</f>
        <v>7880.5399081941596</v>
      </c>
      <c r="F59" s="10">
        <f>Poland!P$9*$Q59</f>
        <v>8035.8720983836056</v>
      </c>
      <c r="G59" s="10">
        <f>Poland!Q$9*$Q59</f>
        <v>8230.5919156482978</v>
      </c>
      <c r="H59" s="10">
        <f>Poland!R$9*$Q59</f>
        <v>8228.4639578421793</v>
      </c>
      <c r="I59" s="10">
        <f>Poland!S$9*$Q59</f>
        <v>8333.4292450545563</v>
      </c>
      <c r="J59" s="10">
        <f>Poland!T$9*$Q59</f>
        <v>8346.1371241831712</v>
      </c>
      <c r="K59" s="10">
        <f>Poland!U$9*$Q59</f>
        <v>8262.8532769044286</v>
      </c>
      <c r="L59" s="10">
        <f>Poland!V$9*$Q59</f>
        <v>8018.2518113002889</v>
      </c>
      <c r="M59" s="10">
        <f>Poland!W$9*$Q59</f>
        <v>8139.0288605676651</v>
      </c>
      <c r="N59" s="10">
        <f>Poland!X$9*$Q59</f>
        <v>8047.0177033089376</v>
      </c>
      <c r="O59" s="10"/>
      <c r="P59" s="10"/>
      <c r="Q59" s="10">
        <f>Latvia!R$8</f>
        <v>8198.8831734358682</v>
      </c>
      <c r="R59" s="10">
        <f>Latvia!S$8</f>
        <v>8481.7338510628906</v>
      </c>
    </row>
    <row r="60" spans="1:18" x14ac:dyDescent="0.3">
      <c r="A60" t="s">
        <v>0</v>
      </c>
      <c r="B60" t="s">
        <v>162</v>
      </c>
      <c r="C60" s="9" t="s">
        <v>74</v>
      </c>
      <c r="D60" s="9" t="s">
        <v>64</v>
      </c>
      <c r="E60" s="10">
        <f>E59-E61</f>
        <v>5966.8722545071569</v>
      </c>
      <c r="F60" s="10">
        <f t="shared" ref="F60:N60" si="29">F59-F61</f>
        <v>6122.2044446966029</v>
      </c>
      <c r="G60" s="10">
        <f t="shared" si="29"/>
        <v>6316.9242619612951</v>
      </c>
      <c r="H60" s="10">
        <f t="shared" si="29"/>
        <v>6314.7963041551766</v>
      </c>
      <c r="I60" s="10">
        <f t="shared" si="29"/>
        <v>6419.7615913675536</v>
      </c>
      <c r="J60" s="10">
        <f t="shared" si="29"/>
        <v>6432.4694704961685</v>
      </c>
      <c r="K60" s="10">
        <f t="shared" si="29"/>
        <v>6349.1856232174259</v>
      </c>
      <c r="L60" s="10">
        <f t="shared" si="29"/>
        <v>6104.5841576132862</v>
      </c>
      <c r="M60" s="10">
        <f t="shared" si="29"/>
        <v>6225.3612068806624</v>
      </c>
      <c r="N60" s="10">
        <f t="shared" si="29"/>
        <v>6133.3500496219349</v>
      </c>
      <c r="O60" s="10"/>
      <c r="P60" s="10"/>
      <c r="Q60" s="10">
        <f t="shared" ref="Q60:R60" si="30">Q59-Q61</f>
        <v>6285.2155197488655</v>
      </c>
      <c r="R60" s="10">
        <f t="shared" si="30"/>
        <v>6568.0661973758879</v>
      </c>
    </row>
    <row r="61" spans="1:18" x14ac:dyDescent="0.3">
      <c r="A61" t="s">
        <v>0</v>
      </c>
      <c r="B61" t="s">
        <v>162</v>
      </c>
      <c r="C61" s="9" t="s">
        <v>76</v>
      </c>
      <c r="D61" s="97" t="s">
        <v>64</v>
      </c>
      <c r="E61" s="10">
        <f t="shared" ref="E61:N61" si="31">$Q61</f>
        <v>1913.6676536870025</v>
      </c>
      <c r="F61" s="10">
        <f t="shared" si="31"/>
        <v>1913.6676536870025</v>
      </c>
      <c r="G61" s="10">
        <f t="shared" si="31"/>
        <v>1913.6676536870025</v>
      </c>
      <c r="H61" s="10">
        <f t="shared" si="31"/>
        <v>1913.6676536870025</v>
      </c>
      <c r="I61" s="10">
        <f t="shared" si="31"/>
        <v>1913.6676536870025</v>
      </c>
      <c r="J61" s="10">
        <f t="shared" si="31"/>
        <v>1913.6676536870025</v>
      </c>
      <c r="K61" s="10">
        <f t="shared" si="31"/>
        <v>1913.6676536870025</v>
      </c>
      <c r="L61" s="10">
        <f t="shared" si="31"/>
        <v>1913.6676536870025</v>
      </c>
      <c r="M61" s="10">
        <f t="shared" si="31"/>
        <v>1913.6676536870025</v>
      </c>
      <c r="N61" s="10">
        <f t="shared" si="31"/>
        <v>1913.6676536870025</v>
      </c>
      <c r="O61" s="10"/>
      <c r="P61" s="10"/>
      <c r="Q61" s="10">
        <f>Latvia!R$5</f>
        <v>1913.6676536870025</v>
      </c>
      <c r="R61" s="10">
        <f>$Q61</f>
        <v>1913.6676536870025</v>
      </c>
    </row>
    <row r="62" spans="1:18" x14ac:dyDescent="0.3">
      <c r="A62" t="s">
        <v>41</v>
      </c>
      <c r="B62" t="s">
        <v>292</v>
      </c>
      <c r="C62" s="9" t="s">
        <v>63</v>
      </c>
      <c r="D62" s="9" t="s">
        <v>64</v>
      </c>
      <c r="E62" s="10">
        <f>Lithuania!F$9*$Q59</f>
        <v>8256.375217853245</v>
      </c>
      <c r="F62" s="10">
        <f>Lithuania!G$9*$Q59</f>
        <v>7944.9433564866731</v>
      </c>
      <c r="G62" s="10">
        <f>Lithuania!H$9*$Q59</f>
        <v>7968.4749136926175</v>
      </c>
      <c r="H62" s="10">
        <f>Lithuania!I$9*$Q59</f>
        <v>8319.5138980151278</v>
      </c>
      <c r="I62" s="10">
        <f>Lithuania!J$9*$Q59</f>
        <v>8532.6708889076399</v>
      </c>
      <c r="J62" s="10">
        <f>Lithuania!K$9*$Q59</f>
        <v>8528.452062059825</v>
      </c>
      <c r="K62" s="10">
        <f>Lithuania!L$9*$Q59</f>
        <v>8147.5801546320536</v>
      </c>
      <c r="L62" s="10">
        <f>Lithuania!M$9*$Q59</f>
        <v>8066.5216676619448</v>
      </c>
      <c r="M62" s="10">
        <f>Lithuania!N$9*$Q59</f>
        <v>8326.6643013578032</v>
      </c>
      <c r="N62" s="10">
        <f>Lithuania!O$9*$Q59</f>
        <v>8371.737511875026</v>
      </c>
      <c r="O62" s="10"/>
      <c r="P62" s="10"/>
      <c r="Q62" s="10">
        <f>Lithuania!R$8</f>
        <v>7529.8520086006029</v>
      </c>
      <c r="R62" s="10">
        <f>Lithuania!S$8</f>
        <v>6863.1268116937135</v>
      </c>
    </row>
    <row r="63" spans="1:18" x14ac:dyDescent="0.3">
      <c r="A63" t="s">
        <v>41</v>
      </c>
      <c r="B63" t="s">
        <v>292</v>
      </c>
      <c r="C63" s="9" t="s">
        <v>74</v>
      </c>
      <c r="D63" s="9" t="s">
        <v>64</v>
      </c>
      <c r="E63" s="10">
        <f>E62-E64</f>
        <v>7426.0406012654366</v>
      </c>
      <c r="F63" s="10">
        <f t="shared" ref="F63:N63" si="32">F62-F64</f>
        <v>7114.6087398988648</v>
      </c>
      <c r="G63" s="10">
        <f t="shared" si="32"/>
        <v>7138.1402971048092</v>
      </c>
      <c r="H63" s="10">
        <f t="shared" si="32"/>
        <v>7489.1792814273194</v>
      </c>
      <c r="I63" s="10">
        <f t="shared" si="32"/>
        <v>7702.3362723198316</v>
      </c>
      <c r="J63" s="10">
        <f t="shared" si="32"/>
        <v>7698.1174454720167</v>
      </c>
      <c r="K63" s="10">
        <f t="shared" si="32"/>
        <v>7317.2455380442452</v>
      </c>
      <c r="L63" s="10">
        <f t="shared" si="32"/>
        <v>7236.1870510741364</v>
      </c>
      <c r="M63" s="10">
        <f t="shared" si="32"/>
        <v>7496.3296847699949</v>
      </c>
      <c r="N63" s="10">
        <f t="shared" si="32"/>
        <v>7541.4028952872177</v>
      </c>
      <c r="O63" s="10"/>
      <c r="P63" s="10"/>
      <c r="Q63" s="10">
        <f t="shared" ref="Q63:R63" si="33">Q62-Q64</f>
        <v>6699.5173920127945</v>
      </c>
      <c r="R63" s="10">
        <f t="shared" si="33"/>
        <v>6032.7921951059052</v>
      </c>
    </row>
    <row r="64" spans="1:18" x14ac:dyDescent="0.3">
      <c r="A64" t="s">
        <v>41</v>
      </c>
      <c r="B64" t="s">
        <v>292</v>
      </c>
      <c r="C64" s="9" t="s">
        <v>76</v>
      </c>
      <c r="D64" s="97" t="s">
        <v>64</v>
      </c>
      <c r="E64" s="10">
        <f t="shared" ref="E64:N64" si="34">$Q64</f>
        <v>830.33461658780834</v>
      </c>
      <c r="F64" s="10">
        <f t="shared" si="34"/>
        <v>830.33461658780834</v>
      </c>
      <c r="G64" s="10">
        <f t="shared" si="34"/>
        <v>830.33461658780834</v>
      </c>
      <c r="H64" s="10">
        <f t="shared" si="34"/>
        <v>830.33461658780834</v>
      </c>
      <c r="I64" s="10">
        <f t="shared" si="34"/>
        <v>830.33461658780834</v>
      </c>
      <c r="J64" s="10">
        <f t="shared" si="34"/>
        <v>830.33461658780834</v>
      </c>
      <c r="K64" s="10">
        <f t="shared" si="34"/>
        <v>830.33461658780834</v>
      </c>
      <c r="L64" s="10">
        <f t="shared" si="34"/>
        <v>830.33461658780834</v>
      </c>
      <c r="M64" s="10">
        <f t="shared" si="34"/>
        <v>830.33461658780834</v>
      </c>
      <c r="N64" s="10">
        <f t="shared" si="34"/>
        <v>830.33461658780834</v>
      </c>
      <c r="O64" s="10"/>
      <c r="P64" s="10"/>
      <c r="Q64" s="10">
        <f>Lithuania!R$5</f>
        <v>830.33461658780834</v>
      </c>
      <c r="R64" s="10">
        <f>$Q64</f>
        <v>830.33461658780834</v>
      </c>
    </row>
    <row r="65" spans="1:18" x14ac:dyDescent="0.3">
      <c r="A65" t="s">
        <v>26</v>
      </c>
      <c r="B65" t="s">
        <v>294</v>
      </c>
      <c r="C65" s="9" t="s">
        <v>63</v>
      </c>
      <c r="D65" s="9" t="s">
        <v>64</v>
      </c>
      <c r="E65" s="10">
        <f>Austria!G$9*$Q65</f>
        <v>10709.769129379234</v>
      </c>
      <c r="F65" s="10">
        <f>Austria!H$9*$Q65</f>
        <v>10090.544783391562</v>
      </c>
      <c r="G65" s="10">
        <f>Austria!I$9*$Q65</f>
        <v>9780.8300092236532</v>
      </c>
      <c r="H65" s="10">
        <f>Austria!J$9*$Q65</f>
        <v>10430.681705092806</v>
      </c>
      <c r="I65" s="10">
        <f>Austria!K$9*$Q65</f>
        <v>10645.260065190641</v>
      </c>
      <c r="J65" s="10">
        <f>Austria!L$9*$Q65</f>
        <v>10867.370638347042</v>
      </c>
      <c r="K65" s="10">
        <f>Austria!M$9*$Q65</f>
        <v>10410.655669520074</v>
      </c>
      <c r="L65" s="10">
        <f>Austria!N$9*$Q65</f>
        <v>10219.525814352161</v>
      </c>
      <c r="M65" s="10">
        <f>Austria!O$9*$Q65</f>
        <v>10249.563591951519</v>
      </c>
      <c r="N65" s="10">
        <f>Austria!P$9*$Q65</f>
        <v>10268.877756993619</v>
      </c>
      <c r="Q65" s="10">
        <f>Austria!S$8</f>
        <v>10363.858136581519</v>
      </c>
      <c r="R65" s="10">
        <f>Austria!T$8</f>
        <v>9971.0144775995286</v>
      </c>
    </row>
    <row r="66" spans="1:18" x14ac:dyDescent="0.3">
      <c r="A66" t="s">
        <v>26</v>
      </c>
      <c r="B66" t="s">
        <v>294</v>
      </c>
      <c r="C66" s="9" t="s">
        <v>74</v>
      </c>
      <c r="D66" s="9" t="s">
        <v>64</v>
      </c>
      <c r="E66" s="10">
        <f>E65-E67</f>
        <v>8849.6786051845484</v>
      </c>
      <c r="F66" s="10">
        <f t="shared" ref="F66:N66" si="35">F65-F67</f>
        <v>8230.4542591968766</v>
      </c>
      <c r="G66" s="10">
        <f t="shared" si="35"/>
        <v>7920.7394850289675</v>
      </c>
      <c r="H66" s="10">
        <f t="shared" si="35"/>
        <v>8570.59118089812</v>
      </c>
      <c r="I66" s="10">
        <f t="shared" si="35"/>
        <v>8785.1695409959557</v>
      </c>
      <c r="J66" s="10">
        <f t="shared" si="35"/>
        <v>9007.280114152356</v>
      </c>
      <c r="K66" s="10">
        <f t="shared" si="35"/>
        <v>8550.5651453253886</v>
      </c>
      <c r="L66" s="10">
        <f t="shared" si="35"/>
        <v>8359.4352901574748</v>
      </c>
      <c r="M66" s="10">
        <f t="shared" si="35"/>
        <v>8389.4730677568332</v>
      </c>
      <c r="N66" s="10">
        <f t="shared" si="35"/>
        <v>8408.7872327989335</v>
      </c>
      <c r="Q66" s="10">
        <f t="shared" ref="Q66:R66" si="36">Q65-Q67</f>
        <v>8503.7676123868332</v>
      </c>
      <c r="R66" s="10">
        <f t="shared" si="36"/>
        <v>8110.9239534048429</v>
      </c>
    </row>
    <row r="67" spans="1:18" x14ac:dyDescent="0.3">
      <c r="A67" t="s">
        <v>26</v>
      </c>
      <c r="B67" t="s">
        <v>294</v>
      </c>
      <c r="C67" s="9" t="s">
        <v>76</v>
      </c>
      <c r="D67" s="97" t="s">
        <v>64</v>
      </c>
      <c r="E67" s="10">
        <f t="shared" ref="E67:N67" si="37">$Q67</f>
        <v>1860.0905241946855</v>
      </c>
      <c r="F67" s="10">
        <f t="shared" si="37"/>
        <v>1860.0905241946855</v>
      </c>
      <c r="G67" s="10">
        <f t="shared" si="37"/>
        <v>1860.0905241946855</v>
      </c>
      <c r="H67" s="10">
        <f t="shared" si="37"/>
        <v>1860.0905241946855</v>
      </c>
      <c r="I67" s="10">
        <f t="shared" si="37"/>
        <v>1860.0905241946855</v>
      </c>
      <c r="J67" s="10">
        <f t="shared" si="37"/>
        <v>1860.0905241946855</v>
      </c>
      <c r="K67" s="10">
        <f t="shared" si="37"/>
        <v>1860.0905241946855</v>
      </c>
      <c r="L67" s="10">
        <f t="shared" si="37"/>
        <v>1860.0905241946855</v>
      </c>
      <c r="M67" s="10">
        <f t="shared" si="37"/>
        <v>1860.0905241946855</v>
      </c>
      <c r="N67" s="10">
        <f t="shared" si="37"/>
        <v>1860.0905241946855</v>
      </c>
      <c r="Q67" s="10">
        <f>Austria!S$5</f>
        <v>1860.0905241946855</v>
      </c>
      <c r="R67" s="10">
        <f>$Q67</f>
        <v>1860.0905241946855</v>
      </c>
    </row>
    <row r="68" spans="1:18" x14ac:dyDescent="0.3">
      <c r="A68" s="97" t="s">
        <v>33</v>
      </c>
      <c r="B68" s="97" t="s">
        <v>299</v>
      </c>
      <c r="C68" s="97" t="s">
        <v>63</v>
      </c>
      <c r="D68" s="97" t="s">
        <v>64</v>
      </c>
      <c r="E68" s="10">
        <f>Estonia!H$9*$Q68</f>
        <v>5337.0127531747439</v>
      </c>
      <c r="F68" s="10">
        <f>Estonia!I$9*$Q68</f>
        <v>5272.5590972392729</v>
      </c>
      <c r="G68" s="10">
        <f>Estonia!J$9*$Q68</f>
        <v>5305.7628903779878</v>
      </c>
      <c r="H68" s="10">
        <f>Estonia!K$9*$Q68</f>
        <v>5285.0242336545043</v>
      </c>
      <c r="I68" s="10">
        <f>Estonia!L$9*$Q68</f>
        <v>5511.6765697008441</v>
      </c>
      <c r="J68" s="10">
        <f>Estonia!M$9*$Q68</f>
        <v>5348.0839936304401</v>
      </c>
      <c r="K68" s="10">
        <f>Estonia!N$9*$Q68</f>
        <v>5098.2389586117479</v>
      </c>
      <c r="L68" s="10">
        <f>Estonia!O$9*$Q68</f>
        <v>5527.9733099330215</v>
      </c>
      <c r="M68" s="10">
        <f>Estonia!P$9*$Q68</f>
        <v>5499.4876198334223</v>
      </c>
      <c r="N68" s="10">
        <f>Estonia!Q$9*$Q68</f>
        <v>5459.4016856741673</v>
      </c>
      <c r="Q68" s="10">
        <f>Estonia!T$8</f>
        <v>5305.6507823887514</v>
      </c>
      <c r="R68" s="10">
        <f>Estonia!U$8</f>
        <v>4809.5277878259076</v>
      </c>
    </row>
    <row r="69" spans="1:18" x14ac:dyDescent="0.3">
      <c r="A69" s="97" t="s">
        <v>33</v>
      </c>
      <c r="B69" s="97" t="s">
        <v>299</v>
      </c>
      <c r="C69" s="97" t="s">
        <v>74</v>
      </c>
      <c r="D69" s="97" t="s">
        <v>64</v>
      </c>
      <c r="E69" s="10">
        <f>E68-E70</f>
        <v>4576.7880785974257</v>
      </c>
      <c r="F69" s="10">
        <f t="shared" ref="F69:N69" si="38">F68-F70</f>
        <v>4512.3344226619547</v>
      </c>
      <c r="G69" s="10">
        <f t="shared" si="38"/>
        <v>4545.5382158006696</v>
      </c>
      <c r="H69" s="10">
        <f t="shared" si="38"/>
        <v>4524.7995590771861</v>
      </c>
      <c r="I69" s="10">
        <f t="shared" si="38"/>
        <v>4751.4518951235259</v>
      </c>
      <c r="J69" s="10">
        <f t="shared" si="38"/>
        <v>4587.8593190531219</v>
      </c>
      <c r="K69" s="10">
        <f t="shared" si="38"/>
        <v>4338.0142840344297</v>
      </c>
      <c r="L69" s="10">
        <f t="shared" si="38"/>
        <v>4767.7486353557033</v>
      </c>
      <c r="M69" s="10">
        <f t="shared" si="38"/>
        <v>4739.2629452561041</v>
      </c>
      <c r="N69" s="10">
        <f t="shared" si="38"/>
        <v>4699.1770110968491</v>
      </c>
      <c r="Q69" s="10">
        <f>Q68-Q70</f>
        <v>4545.4261078114332</v>
      </c>
      <c r="R69" s="10">
        <f>R68-R70</f>
        <v>4049.3031132485889</v>
      </c>
    </row>
    <row r="70" spans="1:18" x14ac:dyDescent="0.3">
      <c r="A70" s="97" t="s">
        <v>33</v>
      </c>
      <c r="B70" s="97" t="s">
        <v>299</v>
      </c>
      <c r="C70" s="97" t="s">
        <v>76</v>
      </c>
      <c r="D70" s="97" t="s">
        <v>64</v>
      </c>
      <c r="E70" s="10">
        <f t="shared" ref="E70:N70" si="39">$Q70</f>
        <v>760.22467457731852</v>
      </c>
      <c r="F70" s="10">
        <f t="shared" si="39"/>
        <v>760.22467457731852</v>
      </c>
      <c r="G70" s="10">
        <f t="shared" si="39"/>
        <v>760.22467457731852</v>
      </c>
      <c r="H70" s="10">
        <f t="shared" si="39"/>
        <v>760.22467457731852</v>
      </c>
      <c r="I70" s="10">
        <f t="shared" si="39"/>
        <v>760.22467457731852</v>
      </c>
      <c r="J70" s="10">
        <f t="shared" si="39"/>
        <v>760.22467457731852</v>
      </c>
      <c r="K70" s="10">
        <f t="shared" si="39"/>
        <v>760.22467457731852</v>
      </c>
      <c r="L70" s="10">
        <f t="shared" si="39"/>
        <v>760.22467457731852</v>
      </c>
      <c r="M70" s="10">
        <f t="shared" si="39"/>
        <v>760.22467457731852</v>
      </c>
      <c r="N70" s="10">
        <f t="shared" si="39"/>
        <v>760.22467457731852</v>
      </c>
      <c r="Q70" s="10">
        <f>Estonia!T$5</f>
        <v>760.22467457731852</v>
      </c>
      <c r="R70" s="10">
        <f>$Q70</f>
        <v>760.22467457731852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783A-6D6B-4913-AB25-F6AD7FBFC32A}">
  <dimension ref="A1:X27"/>
  <sheetViews>
    <sheetView workbookViewId="0">
      <selection activeCell="E8" sqref="E8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6" width="9.5546875" style="97" customWidth="1"/>
    <col min="7" max="7" width="8.88671875" style="97"/>
    <col min="8" max="8" width="8.88671875" style="97" customWidth="1"/>
    <col min="9" max="16384" width="8.88671875" style="97"/>
  </cols>
  <sheetData>
    <row r="1" spans="1:24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2007</v>
      </c>
      <c r="F1" s="97">
        <v>2008</v>
      </c>
      <c r="G1" s="97">
        <v>2009</v>
      </c>
      <c r="H1" s="97">
        <v>2010</v>
      </c>
      <c r="I1" s="97">
        <v>2011</v>
      </c>
      <c r="J1" s="97">
        <v>2012</v>
      </c>
      <c r="K1" s="97">
        <v>2013</v>
      </c>
      <c r="L1" s="97">
        <v>2014</v>
      </c>
      <c r="M1" s="97">
        <v>2015</v>
      </c>
      <c r="N1" s="97">
        <v>2016</v>
      </c>
      <c r="O1" s="97">
        <v>2017</v>
      </c>
      <c r="P1" s="97">
        <v>2018</v>
      </c>
      <c r="Q1" s="97">
        <v>2019</v>
      </c>
      <c r="R1" s="97">
        <v>2020</v>
      </c>
      <c r="T1" s="97">
        <v>2025</v>
      </c>
      <c r="U1" s="97">
        <v>2030</v>
      </c>
    </row>
    <row r="2" spans="1:24" x14ac:dyDescent="0.3">
      <c r="A2" s="97" t="s">
        <v>33</v>
      </c>
      <c r="B2" s="97" t="s">
        <v>299</v>
      </c>
      <c r="C2" s="97" t="s">
        <v>60</v>
      </c>
      <c r="G2" s="35">
        <f>HLOOKUP(G$1,  HDD!$B$4:$AP$33,   MATCH($A$2, HDD!$A$4:$A$33,0), FALSE)</f>
        <v>4318.1499999999996</v>
      </c>
      <c r="H2" s="35">
        <f>HLOOKUP(H$1,  HDD!$B$4:$AP$33,   MATCH($A$2, HDD!$A$4:$A$33,0), FALSE)</f>
        <v>4887.2299999999996</v>
      </c>
      <c r="I2" s="35">
        <f>HLOOKUP(I$1,  HDD!$B$4:$AP$33,   MATCH($A$2, HDD!$A$4:$A$33,0), FALSE)</f>
        <v>4084</v>
      </c>
      <c r="J2" s="35">
        <f>HLOOKUP(J$1,  HDD!$B$4:$AP$33,   MATCH($A$2, HDD!$A$4:$A$33,0), FALSE)</f>
        <v>4579.62</v>
      </c>
      <c r="K2" s="35">
        <f>HLOOKUP(K$1,  HDD!$B$4:$AP$33,   MATCH($A$2, HDD!$A$4:$A$33,0), FALSE)</f>
        <v>4154.32</v>
      </c>
      <c r="L2" s="35">
        <f>HLOOKUP(L$1,  HDD!$B$4:$AP$33,   MATCH($A$2, HDD!$A$4:$A$33,0), FALSE)</f>
        <v>4143.17</v>
      </c>
      <c r="M2" s="35">
        <f>HLOOKUP(M$1,  HDD!$B$4:$AP$33,   MATCH($A$2, HDD!$A$4:$A$33,0), FALSE)</f>
        <v>3795.56</v>
      </c>
      <c r="N2" s="35">
        <f>HLOOKUP(N$1,  HDD!$B$4:$AP$33,   MATCH($A$2, HDD!$A$4:$A$33,0), FALSE)</f>
        <v>4208.45</v>
      </c>
      <c r="O2" s="35">
        <f>HLOOKUP(O$1,  HDD!$B$4:$AP$33,   MATCH($A$2, HDD!$A$4:$A$33,0), FALSE)</f>
        <v>4209.57</v>
      </c>
      <c r="P2" s="35">
        <f>HLOOKUP(P$1,  HDD!$B$4:$AP$33,   MATCH($A$2, HDD!$A$4:$A$33,0), FALSE)</f>
        <v>4064.64</v>
      </c>
      <c r="Q2" s="35">
        <f>HLOOKUP(Q$1,  HDD!$B$4:$AP$33,   MATCH($A$2, HDD!$A$4:$A$33,0), FALSE)</f>
        <v>3883.05</v>
      </c>
      <c r="R2" s="35">
        <f>HLOOKUP(R$1,  HDD!$B$4:$AP$33,   MATCH($A$2, HDD!$A$4:$A$33,0), FALSE)</f>
        <v>3553.49</v>
      </c>
      <c r="T2" s="35">
        <f>HLOOKUP(T$1,  HDD!$B$4:$AP$33,   MATCH($A$2, HDD!$A$4:$A$33,0), FALSE)</f>
        <v>3984.1519831932783</v>
      </c>
      <c r="U2" s="35">
        <f>HLOOKUP(U$1,  HDD!$B$4:$AP$33,   MATCH($A$2, HDD!$A$4:$A$33,0), FALSE)</f>
        <v>3916.4018431372533</v>
      </c>
    </row>
    <row r="3" spans="1:24" x14ac:dyDescent="0.3">
      <c r="A3" s="97" t="s">
        <v>33</v>
      </c>
      <c r="B3" s="97" t="s">
        <v>299</v>
      </c>
      <c r="C3" s="97" t="s">
        <v>61</v>
      </c>
      <c r="D3" s="97" t="s">
        <v>62</v>
      </c>
      <c r="H3" s="8">
        <f>HLOOKUP(H$1, Pop!$B$8:$P$62, MATCH($A$3, Pop!$A$8:$A$62,0), FALSE)/1000000</f>
        <v>1.3332900000000001</v>
      </c>
      <c r="I3" s="8">
        <f>HLOOKUP(I$1, Pop!$B$8:$P$62, MATCH($A$3, Pop!$A$8:$A$62,0), FALSE)/1000000</f>
        <v>1.3296600000000001</v>
      </c>
      <c r="J3" s="8">
        <f>HLOOKUP(J$1, Pop!$B$8:$P$62, MATCH($A$3, Pop!$A$8:$A$62,0), FALSE)/1000000</f>
        <v>1.3252170000000001</v>
      </c>
      <c r="K3" s="8">
        <f>HLOOKUP(K$1, Pop!$B$8:$P$62, MATCH($A$3, Pop!$A$8:$A$62,0), FALSE)/1000000</f>
        <v>1.320174</v>
      </c>
      <c r="L3" s="8">
        <f>HLOOKUP(L$1, Pop!$B$8:$P$62, MATCH($A$3, Pop!$A$8:$A$62,0), FALSE)/1000000</f>
        <v>1.3158190000000001</v>
      </c>
      <c r="M3" s="8">
        <f>HLOOKUP(M$1, Pop!$B$8:$P$62, MATCH($A$3, Pop!$A$8:$A$62,0), FALSE)/1000000</f>
        <v>1.31487</v>
      </c>
      <c r="N3" s="8">
        <f>HLOOKUP(N$1, Pop!$B$8:$P$62, MATCH($A$3, Pop!$A$8:$A$62,0), FALSE)/1000000</f>
        <v>1.315944</v>
      </c>
      <c r="O3" s="8">
        <f>HLOOKUP(O$1, Pop!$B$8:$P$62, MATCH($A$3, Pop!$A$8:$A$62,0), FALSE)/1000000</f>
        <v>1.3156350000000001</v>
      </c>
      <c r="P3" s="8">
        <f>HLOOKUP(P$1, Pop!$B$8:$P$62, MATCH($A$3, Pop!$A$8:$A$62,0), FALSE)/1000000</f>
        <v>1.3191329999999999</v>
      </c>
      <c r="Q3" s="8">
        <f>HLOOKUP(Q$1, Pop!$B$8:$P$62, MATCH($A$3, Pop!$A$8:$A$62,0), FALSE)/1000000</f>
        <v>1.3248200000000001</v>
      </c>
      <c r="R3" s="8">
        <f>HLOOKUP(R$1, Pop!$B$8:$P$62, MATCH($A$3, Pop!$A$8:$A$62,0), FALSE)/1000000</f>
        <v>1.3289759999999999</v>
      </c>
      <c r="S3" s="8"/>
      <c r="T3" s="8">
        <f>HLOOKUP(T$1, Pop!$B$8:$P$62, MATCH($A$3, Pop!$A$8:$A$62,0), FALSE)/1000000</f>
        <v>1.3224400000000001</v>
      </c>
      <c r="U3" s="8">
        <f>HLOOKUP(U$1, Pop!$B$8:$P$62, MATCH($A$3, Pop!$A$8:$A$62,0), FALSE)/1000000</f>
        <v>1.308435</v>
      </c>
    </row>
    <row r="4" spans="1:24" x14ac:dyDescent="0.3">
      <c r="A4" s="97" t="s">
        <v>33</v>
      </c>
      <c r="B4" s="97" t="s">
        <v>299</v>
      </c>
      <c r="C4" s="97" t="s">
        <v>163</v>
      </c>
      <c r="D4" s="97" t="s">
        <v>64</v>
      </c>
      <c r="E4" s="97">
        <v>7234</v>
      </c>
      <c r="F4" s="10">
        <v>6985</v>
      </c>
      <c r="G4" s="10">
        <v>6868</v>
      </c>
      <c r="H4" s="10">
        <v>7097</v>
      </c>
      <c r="I4" s="10">
        <v>6357</v>
      </c>
      <c r="J4" s="10">
        <v>6798</v>
      </c>
      <c r="K4" s="10">
        <v>6396</v>
      </c>
      <c r="L4" s="10">
        <v>6059</v>
      </c>
      <c r="M4" s="10">
        <v>5890</v>
      </c>
      <c r="N4" s="10">
        <v>6650</v>
      </c>
      <c r="O4" s="10" cm="1">
        <f t="array" ref="O4">TREND(E4:N4,E1:N1,O1)</f>
        <v>6012.4666666666744</v>
      </c>
      <c r="P4" s="10" cm="1">
        <f t="array" ref="P4">TREND(F4:O4,F1:O1,P1)</f>
        <v>5924.2533333333267</v>
      </c>
      <c r="Q4" s="10" cm="1">
        <f t="array" ref="Q4">TREND(G4:P4,G1:P1,Q1)</f>
        <v>5815.7902222222183</v>
      </c>
      <c r="R4" s="10" cm="1">
        <f t="array" ref="R4">TREND(H4:Q4,H1:Q1,R1)</f>
        <v>5703.4583111111133</v>
      </c>
    </row>
    <row r="5" spans="1:24" x14ac:dyDescent="0.3">
      <c r="A5" s="97" t="s">
        <v>33</v>
      </c>
      <c r="B5" s="97" t="s">
        <v>299</v>
      </c>
      <c r="C5" s="40" t="s">
        <v>80</v>
      </c>
      <c r="D5" s="97" t="s">
        <v>64</v>
      </c>
      <c r="H5" s="10">
        <f t="shared" ref="H5:K5" si="0">H20/$N$20*$N$5</f>
        <v>1048.5533029239755</v>
      </c>
      <c r="I5" s="10">
        <f t="shared" si="0"/>
        <v>961.97712042077706</v>
      </c>
      <c r="J5" s="10">
        <f t="shared" si="0"/>
        <v>995.14537131572877</v>
      </c>
      <c r="K5" s="10">
        <f t="shared" si="0"/>
        <v>960.08184443420384</v>
      </c>
      <c r="L5" s="10">
        <f>L20/$N$20*$N$5</f>
        <v>897.23662974085414</v>
      </c>
      <c r="M5" s="10">
        <f>M20/$N$20*$N$5</f>
        <v>857.60655010153016</v>
      </c>
      <c r="N5" s="10">
        <f>$S$23*N4</f>
        <v>933.4048984410997</v>
      </c>
      <c r="O5" s="10">
        <f t="shared" ref="O5:P5" si="1">O20/$Q$20*$Q$5</f>
        <v>807.03058651124161</v>
      </c>
      <c r="P5" s="10">
        <f t="shared" si="1"/>
        <v>812.2645089544269</v>
      </c>
      <c r="Q5" s="10">
        <f>$S$23*Q4</f>
        <v>816.3138468764015</v>
      </c>
      <c r="R5" s="10">
        <f>TREND(H5:Q5,H1:Q1,R1)</f>
        <v>769.01552509424073</v>
      </c>
      <c r="T5" s="10">
        <f>V10*T8</f>
        <v>760.22467457731852</v>
      </c>
      <c r="V5" s="97" t="s">
        <v>82</v>
      </c>
      <c r="W5" s="97" t="s">
        <v>83</v>
      </c>
      <c r="X5" s="97" t="s">
        <v>81</v>
      </c>
    </row>
    <row r="6" spans="1:24" x14ac:dyDescent="0.3">
      <c r="A6" s="97" t="s">
        <v>33</v>
      </c>
      <c r="B6" s="97" t="s">
        <v>299</v>
      </c>
      <c r="C6" s="40" t="s">
        <v>79</v>
      </c>
      <c r="D6" s="97" t="s">
        <v>64</v>
      </c>
      <c r="H6" s="10">
        <f>H4-H5</f>
        <v>6048.4466970760241</v>
      </c>
      <c r="I6" s="10">
        <f t="shared" ref="I6:R6" si="2">I4-I5</f>
        <v>5395.0228795792227</v>
      </c>
      <c r="J6" s="10">
        <f t="shared" si="2"/>
        <v>5802.8546286842711</v>
      </c>
      <c r="K6" s="10">
        <f t="shared" si="2"/>
        <v>5435.918155565796</v>
      </c>
      <c r="L6" s="10">
        <f t="shared" si="2"/>
        <v>5161.7633702591456</v>
      </c>
      <c r="M6" s="10">
        <f t="shared" si="2"/>
        <v>5032.39344989847</v>
      </c>
      <c r="N6" s="10">
        <f t="shared" si="2"/>
        <v>5716.5951015588998</v>
      </c>
      <c r="O6" s="10">
        <f t="shared" si="2"/>
        <v>5205.436080155433</v>
      </c>
      <c r="P6" s="10">
        <f t="shared" si="2"/>
        <v>5111.9888243789001</v>
      </c>
      <c r="Q6" s="10">
        <f t="shared" si="2"/>
        <v>4999.4763753458165</v>
      </c>
      <c r="R6" s="10">
        <f t="shared" si="2"/>
        <v>4934.4427860168726</v>
      </c>
      <c r="V6" s="97">
        <f t="array" ref="V6:X6">LINEST(H6:N6,H2:N3)</f>
        <v>884.34349033897911</v>
      </c>
      <c r="W6" s="97">
        <v>0.91108822541388335</v>
      </c>
      <c r="X6" s="97">
        <v>458.61338379016956</v>
      </c>
    </row>
    <row r="7" spans="1:24" x14ac:dyDescent="0.3">
      <c r="A7" s="97" t="s">
        <v>33</v>
      </c>
      <c r="B7" s="97" t="s">
        <v>299</v>
      </c>
      <c r="C7" s="40" t="s">
        <v>84</v>
      </c>
      <c r="D7" s="97" t="s">
        <v>64</v>
      </c>
      <c r="H7" s="47">
        <f t="shared" ref="H7:Q7" si="3">H2*$W$6+H3*$V$6+$X$6</f>
        <v>6090.3974239137196</v>
      </c>
      <c r="I7" s="47">
        <f t="shared" si="3"/>
        <v>5355.3738617445961</v>
      </c>
      <c r="J7" s="47">
        <f t="shared" si="3"/>
        <v>5802.9982698966487</v>
      </c>
      <c r="K7" s="47">
        <f t="shared" si="3"/>
        <v>5411.0527034063443</v>
      </c>
      <c r="L7" s="47">
        <f t="shared" si="3"/>
        <v>5397.0427537925543</v>
      </c>
      <c r="M7" s="47">
        <f t="shared" si="3"/>
        <v>5079.5001337841022</v>
      </c>
      <c r="N7" s="47">
        <f t="shared" si="3"/>
        <v>5456.629136083865</v>
      </c>
      <c r="O7" s="47">
        <f t="shared" si="3"/>
        <v>5457.3762927578136</v>
      </c>
      <c r="P7" s="47">
        <f t="shared" si="3"/>
        <v>5328.4257097777854</v>
      </c>
      <c r="Q7" s="47">
        <f t="shared" si="3"/>
        <v>5168.010460354436</v>
      </c>
      <c r="R7" s="47">
        <f>R2*$W$6+R3*$V$6+$X$6</f>
        <v>4871.4275563328847</v>
      </c>
    </row>
    <row r="8" spans="1:24" x14ac:dyDescent="0.3">
      <c r="A8" s="97" t="s">
        <v>33</v>
      </c>
      <c r="B8" s="97" t="s">
        <v>299</v>
      </c>
      <c r="C8" s="40" t="s">
        <v>85</v>
      </c>
      <c r="D8" s="97" t="s">
        <v>64</v>
      </c>
      <c r="H8" s="10">
        <f>H7+H5</f>
        <v>7138.9507268376947</v>
      </c>
      <c r="I8" s="10">
        <f t="shared" ref="I8:Q8" si="4">I7+I5</f>
        <v>6317.3509821653734</v>
      </c>
      <c r="J8" s="10">
        <f t="shared" si="4"/>
        <v>6798.1436412123776</v>
      </c>
      <c r="K8" s="10">
        <f t="shared" si="4"/>
        <v>6371.1345478405483</v>
      </c>
      <c r="L8" s="10">
        <f t="shared" si="4"/>
        <v>6294.2793835334087</v>
      </c>
      <c r="M8" s="10">
        <f t="shared" si="4"/>
        <v>5937.1066838856323</v>
      </c>
      <c r="N8" s="10">
        <f t="shared" si="4"/>
        <v>6390.0340345249642</v>
      </c>
      <c r="O8" s="10">
        <f t="shared" si="4"/>
        <v>6264.406879269055</v>
      </c>
      <c r="P8" s="10">
        <f t="shared" si="4"/>
        <v>6140.6902187322121</v>
      </c>
      <c r="Q8" s="10">
        <f t="shared" si="4"/>
        <v>5984.3243072308378</v>
      </c>
      <c r="R8" s="10">
        <f>R7+R5</f>
        <v>5640.4430814271254</v>
      </c>
      <c r="T8" s="10">
        <f>TREND($H$8:$R$8,$H$1:$R$1,T$1)</f>
        <v>5305.6507823887514</v>
      </c>
      <c r="U8" s="10">
        <f>TREND($H$8:$R$8,$H$1:$R$1,U$1)</f>
        <v>4809.5277878259076</v>
      </c>
    </row>
    <row r="9" spans="1:24" x14ac:dyDescent="0.3">
      <c r="A9" s="97" t="s">
        <v>33</v>
      </c>
      <c r="B9" s="97" t="s">
        <v>299</v>
      </c>
      <c r="C9" s="40" t="s">
        <v>164</v>
      </c>
      <c r="H9" s="8">
        <f>H8/H4</f>
        <v>1.0059110507027891</v>
      </c>
      <c r="I9" s="8">
        <f>I8/I4</f>
        <v>0.99376293568748986</v>
      </c>
      <c r="J9" s="8">
        <f t="shared" ref="J9:R9" si="5">J8/J4</f>
        <v>1.0000211299223856</v>
      </c>
      <c r="K9" s="8">
        <f t="shared" si="5"/>
        <v>0.99611234331465737</v>
      </c>
      <c r="L9" s="8">
        <f t="shared" si="5"/>
        <v>1.0388313886009917</v>
      </c>
      <c r="M9" s="8">
        <f t="shared" si="5"/>
        <v>1.007997739199598</v>
      </c>
      <c r="N9" s="8">
        <f t="shared" si="5"/>
        <v>0.96090737361277656</v>
      </c>
      <c r="O9" s="8">
        <f t="shared" si="5"/>
        <v>1.041902970373066</v>
      </c>
      <c r="P9" s="8">
        <f t="shared" si="5"/>
        <v>1.0365340361427633</v>
      </c>
      <c r="Q9" s="8">
        <f t="shared" si="5"/>
        <v>1.0289787077196575</v>
      </c>
      <c r="R9" s="8">
        <f t="shared" si="5"/>
        <v>0.9889513999670646</v>
      </c>
      <c r="V9" s="8" t="s">
        <v>173</v>
      </c>
    </row>
    <row r="10" spans="1:24" x14ac:dyDescent="0.3">
      <c r="A10" s="97" t="s">
        <v>33</v>
      </c>
      <c r="B10" s="97" t="s">
        <v>299</v>
      </c>
      <c r="C10" s="97" t="s">
        <v>174</v>
      </c>
      <c r="H10" s="8">
        <f>H5/H4</f>
        <v>0.14774599167591596</v>
      </c>
      <c r="I10" s="8">
        <f>I5/I4</f>
        <v>0.15132564423797029</v>
      </c>
      <c r="J10" s="8">
        <f t="shared" ref="J10:R10" si="6">J5/J4</f>
        <v>0.14638796282961589</v>
      </c>
      <c r="K10" s="8">
        <f t="shared" si="6"/>
        <v>0.15010660482085739</v>
      </c>
      <c r="L10" s="8">
        <f t="shared" si="6"/>
        <v>0.14808328597802511</v>
      </c>
      <c r="M10" s="8">
        <f t="shared" si="6"/>
        <v>0.14560382854015791</v>
      </c>
      <c r="N10" s="8">
        <f t="shared" si="6"/>
        <v>0.14036163886332326</v>
      </c>
      <c r="O10" s="8">
        <f t="shared" si="6"/>
        <v>0.13422620552483849</v>
      </c>
      <c r="P10" s="8">
        <f t="shared" si="6"/>
        <v>0.13710833471353259</v>
      </c>
      <c r="Q10" s="8">
        <f t="shared" si="6"/>
        <v>0.14036163886332326</v>
      </c>
      <c r="R10" s="8">
        <f t="shared" si="6"/>
        <v>0.13483319823625148</v>
      </c>
      <c r="S10" s="8"/>
      <c r="T10" s="8"/>
      <c r="V10" s="8">
        <f>AVERAGE(H10:R10)</f>
        <v>0.14328584857125562</v>
      </c>
    </row>
    <row r="12" spans="1:24" x14ac:dyDescent="0.3">
      <c r="C12" s="40" t="s">
        <v>308</v>
      </c>
    </row>
    <row r="13" spans="1:24" x14ac:dyDescent="0.3">
      <c r="C13" s="63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5" spans="1:24" x14ac:dyDescent="0.3">
      <c r="C15" s="97" t="s">
        <v>247</v>
      </c>
    </row>
    <row r="16" spans="1:24" x14ac:dyDescent="0.3">
      <c r="C16" s="22" t="s">
        <v>72</v>
      </c>
      <c r="H16" s="23" t="s">
        <v>16</v>
      </c>
      <c r="I16" s="23" t="s">
        <v>17</v>
      </c>
      <c r="J16" s="23" t="s">
        <v>18</v>
      </c>
      <c r="K16" s="23" t="s">
        <v>19</v>
      </c>
      <c r="L16" s="23" t="s">
        <v>20</v>
      </c>
      <c r="M16" s="23" t="s">
        <v>21</v>
      </c>
      <c r="N16" s="23" t="s">
        <v>22</v>
      </c>
      <c r="O16" s="23" t="s">
        <v>23</v>
      </c>
      <c r="P16" s="23" t="s">
        <v>24</v>
      </c>
      <c r="Q16" s="23" t="s">
        <v>25</v>
      </c>
    </row>
    <row r="17" spans="3:19" x14ac:dyDescent="0.3">
      <c r="C17" s="24" t="s">
        <v>73</v>
      </c>
      <c r="H17" s="25">
        <v>42988.014000000003</v>
      </c>
      <c r="I17" s="25">
        <v>38972.921000000002</v>
      </c>
      <c r="J17" s="25">
        <v>40515.9</v>
      </c>
      <c r="K17" s="25">
        <v>38924.641000000003</v>
      </c>
      <c r="L17" s="25">
        <v>37202.197999999997</v>
      </c>
      <c r="M17" s="26">
        <v>36140.004000000001</v>
      </c>
      <c r="N17" s="26">
        <v>39144.328999999998</v>
      </c>
      <c r="O17" s="26">
        <v>39445.286999999997</v>
      </c>
      <c r="P17" s="26">
        <v>39397.561000000002</v>
      </c>
      <c r="Q17" s="26">
        <v>39816.794000000002</v>
      </c>
    </row>
    <row r="18" spans="3:19" x14ac:dyDescent="0.3">
      <c r="C18" s="24" t="s">
        <v>74</v>
      </c>
      <c r="H18" s="43">
        <v>31361.758000000002</v>
      </c>
      <c r="I18" s="43">
        <v>28105.406999999999</v>
      </c>
      <c r="J18" s="43">
        <v>29416.017</v>
      </c>
      <c r="K18" s="43">
        <v>28279.228999999999</v>
      </c>
      <c r="L18" s="43">
        <v>27162.424999999999</v>
      </c>
      <c r="M18" s="43">
        <v>26311.834999999999</v>
      </c>
      <c r="N18" s="43">
        <v>28285.667000000001</v>
      </c>
      <c r="O18" s="43">
        <v>28456.922999999999</v>
      </c>
      <c r="P18" s="42">
        <v>28637.43</v>
      </c>
      <c r="Q18" s="43">
        <v>28443.205999999998</v>
      </c>
    </row>
    <row r="19" spans="3:19" x14ac:dyDescent="0.3">
      <c r="C19" s="24" t="s">
        <v>75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spans="3:19" x14ac:dyDescent="0.3">
      <c r="C20" s="24" t="s">
        <v>76</v>
      </c>
      <c r="H20" s="43">
        <v>5122.5020000000004</v>
      </c>
      <c r="I20" s="43">
        <v>4699.5510000000004</v>
      </c>
      <c r="J20" s="43">
        <v>4861.5879999999997</v>
      </c>
      <c r="K20" s="43">
        <v>4690.2920000000004</v>
      </c>
      <c r="L20" s="43">
        <v>4383.2740000000003</v>
      </c>
      <c r="M20" s="43">
        <v>4189.6689999999999</v>
      </c>
      <c r="N20" s="43">
        <v>4559.9669999999996</v>
      </c>
      <c r="O20" s="43">
        <v>4623.1480000000001</v>
      </c>
      <c r="P20" s="43">
        <v>4653.1310000000003</v>
      </c>
      <c r="Q20" s="43">
        <v>4676.3280000000004</v>
      </c>
    </row>
    <row r="21" spans="3:19" x14ac:dyDescent="0.3">
      <c r="C21" s="24" t="s">
        <v>77</v>
      </c>
      <c r="H21" s="25"/>
      <c r="I21" s="25"/>
      <c r="J21" s="25"/>
      <c r="K21" s="25"/>
      <c r="L21" s="25"/>
      <c r="M21" s="26"/>
      <c r="N21" s="27"/>
      <c r="O21" s="26"/>
      <c r="P21" s="27"/>
      <c r="Q21" s="27"/>
    </row>
    <row r="22" spans="3:19" x14ac:dyDescent="0.3">
      <c r="S22" s="97" t="s">
        <v>78</v>
      </c>
    </row>
    <row r="23" spans="3:19" x14ac:dyDescent="0.3">
      <c r="C23" s="97" t="s">
        <v>167</v>
      </c>
      <c r="H23" s="8">
        <f>H20/(H20+H18)</f>
        <v>0.14040306696641236</v>
      </c>
      <c r="I23" s="8">
        <f t="shared" ref="I23:Q23" si="7">I20/(I20+I18)</f>
        <v>0.1432573393326704</v>
      </c>
      <c r="J23" s="8">
        <f t="shared" si="7"/>
        <v>0.14182986238390927</v>
      </c>
      <c r="K23" s="8">
        <f t="shared" si="7"/>
        <v>0.14226145414730168</v>
      </c>
      <c r="L23" s="8">
        <f t="shared" si="7"/>
        <v>0.13894997222917774</v>
      </c>
      <c r="M23" s="8">
        <f t="shared" si="7"/>
        <v>0.13735942332548584</v>
      </c>
      <c r="N23" s="8">
        <f t="shared" si="7"/>
        <v>0.13883023235295139</v>
      </c>
      <c r="O23" s="8">
        <f t="shared" si="7"/>
        <v>0.13975629012404481</v>
      </c>
      <c r="P23" s="8">
        <f t="shared" si="7"/>
        <v>0.13977328288339749</v>
      </c>
      <c r="Q23" s="8">
        <f t="shared" si="7"/>
        <v>0.14119546488788159</v>
      </c>
      <c r="S23" s="8">
        <f>AVERAGE(H23:Q23)</f>
        <v>0.14036163886332326</v>
      </c>
    </row>
    <row r="27" spans="3:19" x14ac:dyDescent="0.3">
      <c r="S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6BDF-AD3A-4CB0-8A5F-D9AE26104F1F}">
  <dimension ref="A1:W27"/>
  <sheetViews>
    <sheetView workbookViewId="0">
      <selection activeCell="E13" sqref="E13:Q13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5" width="9.5546875" style="97" customWidth="1"/>
    <col min="6" max="6" width="8.88671875" style="97"/>
    <col min="7" max="7" width="8.88671875" style="97" customWidth="1"/>
    <col min="8" max="16384" width="8.88671875" style="97"/>
  </cols>
  <sheetData>
    <row r="1" spans="1:23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2008</v>
      </c>
      <c r="F1" s="97">
        <v>2009</v>
      </c>
      <c r="G1" s="97">
        <v>2010</v>
      </c>
      <c r="H1" s="97">
        <v>2011</v>
      </c>
      <c r="I1" s="97">
        <v>2012</v>
      </c>
      <c r="J1" s="97">
        <v>2013</v>
      </c>
      <c r="K1" s="97">
        <v>2014</v>
      </c>
      <c r="L1" s="97">
        <v>2015</v>
      </c>
      <c r="M1" s="97">
        <v>2016</v>
      </c>
      <c r="N1" s="97">
        <v>2017</v>
      </c>
      <c r="O1" s="97">
        <v>2018</v>
      </c>
      <c r="P1" s="97">
        <v>2019</v>
      </c>
      <c r="Q1" s="97">
        <v>2020</v>
      </c>
      <c r="S1" s="97">
        <v>2025</v>
      </c>
      <c r="T1" s="97">
        <v>2030</v>
      </c>
    </row>
    <row r="2" spans="1:23" x14ac:dyDescent="0.3">
      <c r="A2" s="97" t="s">
        <v>134</v>
      </c>
      <c r="B2" s="97" t="s">
        <v>304</v>
      </c>
      <c r="C2" s="97" t="s">
        <v>60</v>
      </c>
      <c r="F2" s="35" t="e">
        <f>HLOOKUP(F$1,  HDD!$B$4:$AP$33,   MATCH($A$2, HDD!$A$4:$A$33,0), FALSE)</f>
        <v>#N/A</v>
      </c>
      <c r="G2" s="35" t="e">
        <f>HLOOKUP(G$1,  HDD!$B$4:$AP$33,   MATCH($A$2, HDD!$A$4:$A$33,0), FALSE)</f>
        <v>#N/A</v>
      </c>
      <c r="H2" s="35" t="e">
        <f>HLOOKUP(H$1,  HDD!$B$4:$AP$33,   MATCH($A$2, HDD!$A$4:$A$33,0), FALSE)</f>
        <v>#N/A</v>
      </c>
      <c r="I2" s="35" t="e">
        <f>HLOOKUP(I$1,  HDD!$B$4:$AP$33,   MATCH($A$2, HDD!$A$4:$A$33,0), FALSE)</f>
        <v>#N/A</v>
      </c>
      <c r="J2" s="35" t="e">
        <f>HLOOKUP(J$1,  HDD!$B$4:$AP$33,   MATCH($A$2, HDD!$A$4:$A$33,0), FALSE)</f>
        <v>#N/A</v>
      </c>
      <c r="K2" s="35" t="e">
        <f>HLOOKUP(K$1,  HDD!$B$4:$AP$33,   MATCH($A$2, HDD!$A$4:$A$33,0), FALSE)</f>
        <v>#N/A</v>
      </c>
      <c r="L2" s="35" t="e">
        <f>HLOOKUP(L$1,  HDD!$B$4:$AP$33,   MATCH($A$2, HDD!$A$4:$A$33,0), FALSE)</f>
        <v>#N/A</v>
      </c>
      <c r="M2" s="35" t="e">
        <f>HLOOKUP(M$1,  HDD!$B$4:$AP$33,   MATCH($A$2, HDD!$A$4:$A$33,0), FALSE)</f>
        <v>#N/A</v>
      </c>
      <c r="N2" s="35" t="e">
        <f>HLOOKUP(N$1,  HDD!$B$4:$AP$33,   MATCH($A$2, HDD!$A$4:$A$33,0), FALSE)</f>
        <v>#N/A</v>
      </c>
      <c r="O2" s="35" t="e">
        <f>HLOOKUP(O$1,  HDD!$B$4:$AP$33,   MATCH($A$2, HDD!$A$4:$A$33,0), FALSE)</f>
        <v>#N/A</v>
      </c>
      <c r="P2" s="35" t="e">
        <f>HLOOKUP(P$1,  HDD!$B$4:$AP$33,   MATCH($A$2, HDD!$A$4:$A$33,0), FALSE)</f>
        <v>#N/A</v>
      </c>
      <c r="Q2" s="35" t="e">
        <f>HLOOKUP(Q$1,  HDD!$B$4:$AP$33,   MATCH($A$2, HDD!$A$4:$A$33,0), FALSE)</f>
        <v>#N/A</v>
      </c>
      <c r="S2" s="35" t="e">
        <f>HLOOKUP(S$1,  HDD!$B$4:$AP$33,   MATCH($A$2, HDD!$A$4:$A$33,0), FALSE)</f>
        <v>#N/A</v>
      </c>
      <c r="T2" s="35" t="e">
        <f>HLOOKUP(T$1,  HDD!$B$4:$AP$33,   MATCH($A$2, HDD!$A$4:$A$33,0), FALSE)</f>
        <v>#N/A</v>
      </c>
    </row>
    <row r="3" spans="1:23" x14ac:dyDescent="0.3">
      <c r="A3" s="97" t="s">
        <v>134</v>
      </c>
      <c r="B3" s="97" t="s">
        <v>304</v>
      </c>
      <c r="C3" s="97" t="s">
        <v>61</v>
      </c>
      <c r="D3" s="97" t="s">
        <v>62</v>
      </c>
      <c r="G3" s="8">
        <f>HLOOKUP(G$1, Pop!$B$8:$P$62, MATCH($A$3, Pop!$A$8:$A$62,0), FALSE)/1000000</f>
        <v>7.785806</v>
      </c>
      <c r="H3" s="8">
        <f>HLOOKUP(H$1, Pop!$B$8:$P$62, MATCH($A$3, Pop!$A$8:$A$62,0), FALSE)/1000000</f>
        <v>7.8701340000000002</v>
      </c>
      <c r="I3" s="8">
        <f>HLOOKUP(I$1, Pop!$B$8:$P$62, MATCH($A$3, Pop!$A$8:$A$62,0), FALSE)/1000000</f>
        <v>7.9546619999999999</v>
      </c>
      <c r="J3" s="8">
        <f>HLOOKUP(J$1, Pop!$B$8:$P$62, MATCH($A$3, Pop!$A$8:$A$62,0), FALSE)/1000000</f>
        <v>8.0390599999999992</v>
      </c>
      <c r="K3" s="8">
        <f>HLOOKUP(K$1, Pop!$B$8:$P$62, MATCH($A$3, Pop!$A$8:$A$62,0), FALSE)/1000000</f>
        <v>8.1396309999999996</v>
      </c>
      <c r="L3" s="8">
        <f>HLOOKUP(L$1, Pop!$B$8:$P$62, MATCH($A$3, Pop!$A$8:$A$62,0), FALSE)/1000000</f>
        <v>8.2376660000000008</v>
      </c>
      <c r="M3" s="8">
        <f>HLOOKUP(M$1, Pop!$B$8:$P$62, MATCH($A$3, Pop!$A$8:$A$62,0), FALSE)/1000000</f>
        <v>8.3271259999999998</v>
      </c>
      <c r="N3" s="8">
        <f>HLOOKUP(N$1, Pop!$B$8:$P$62, MATCH($A$3, Pop!$A$8:$A$62,0), FALSE)/1000000</f>
        <v>8.4195499999999992</v>
      </c>
      <c r="O3" s="8">
        <f>HLOOKUP(O$1, Pop!$B$8:$P$62, MATCH($A$3, Pop!$A$8:$A$62,0), FALSE)/1000000</f>
        <v>8.4841300000000004</v>
      </c>
      <c r="P3" s="8">
        <f>HLOOKUP(P$1, Pop!$B$8:$P$62, MATCH($A$3, Pop!$A$8:$A$62,0), FALSE)/1000000</f>
        <v>8.5445270000000004</v>
      </c>
      <c r="Q3" s="8">
        <f>HLOOKUP(Q$1, Pop!$B$8:$P$62, MATCH($A$3, Pop!$A$8:$A$62,0), FALSE)/1000000</f>
        <v>8.606033</v>
      </c>
      <c r="R3" s="8"/>
      <c r="S3" s="8">
        <f>HLOOKUP(S$1, Pop!$B$8:$P$62, MATCH($A$3, Pop!$A$8:$A$62,0), FALSE)/1000000</f>
        <v>8.8114740000000005</v>
      </c>
      <c r="T3" s="8">
        <f>HLOOKUP(T$1, Pop!$B$8:$P$62, MATCH($A$3, Pop!$A$8:$A$62,0), FALSE)/1000000</f>
        <v>9.0766460000000002</v>
      </c>
    </row>
    <row r="4" spans="1:23" x14ac:dyDescent="0.3">
      <c r="A4" s="97" t="s">
        <v>134</v>
      </c>
      <c r="B4" s="97" t="s">
        <v>304</v>
      </c>
      <c r="C4" s="97" t="s">
        <v>163</v>
      </c>
      <c r="D4" s="97" t="s">
        <v>64</v>
      </c>
      <c r="E4" s="10">
        <f t="shared" ref="E4:Q4" si="0">E13*1000/3600</f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0"/>
        <v>0</v>
      </c>
      <c r="N4" s="10">
        <f t="shared" si="0"/>
        <v>0</v>
      </c>
      <c r="O4" s="10">
        <f t="shared" si="0"/>
        <v>0</v>
      </c>
      <c r="P4" s="10">
        <f t="shared" si="0"/>
        <v>0</v>
      </c>
      <c r="Q4" s="10">
        <f t="shared" si="0"/>
        <v>0</v>
      </c>
    </row>
    <row r="5" spans="1:23" x14ac:dyDescent="0.3">
      <c r="A5" s="97" t="s">
        <v>134</v>
      </c>
      <c r="B5" s="97" t="s">
        <v>304</v>
      </c>
      <c r="C5" s="40" t="s">
        <v>80</v>
      </c>
      <c r="D5" s="97" t="s">
        <v>64</v>
      </c>
      <c r="G5" s="10" t="e">
        <f t="shared" ref="G5:O5" si="1">G20/$P$20*$P$5</f>
        <v>#DIV/0!</v>
      </c>
      <c r="H5" s="10" t="e">
        <f t="shared" si="1"/>
        <v>#DIV/0!</v>
      </c>
      <c r="I5" s="10" t="e">
        <f t="shared" si="1"/>
        <v>#DIV/0!</v>
      </c>
      <c r="J5" s="10" t="e">
        <f t="shared" si="1"/>
        <v>#DIV/0!</v>
      </c>
      <c r="K5" s="10" t="e">
        <f t="shared" si="1"/>
        <v>#DIV/0!</v>
      </c>
      <c r="L5" s="10" t="e">
        <f t="shared" si="1"/>
        <v>#DIV/0!</v>
      </c>
      <c r="M5" s="10" t="e">
        <f t="shared" si="1"/>
        <v>#DIV/0!</v>
      </c>
      <c r="N5" s="10" t="e">
        <f t="shared" si="1"/>
        <v>#DIV/0!</v>
      </c>
      <c r="O5" s="10" t="e">
        <f t="shared" si="1"/>
        <v>#DIV/0!</v>
      </c>
      <c r="P5" s="10" t="e">
        <f>$R$23*P4</f>
        <v>#DIV/0!</v>
      </c>
      <c r="Q5" s="10" t="e">
        <f>TREND(G5:P5,G1:P1,Q1)</f>
        <v>#VALUE!</v>
      </c>
      <c r="S5" s="10" t="e">
        <f>U10*S8</f>
        <v>#DIV/0!</v>
      </c>
      <c r="U5" s="97" t="s">
        <v>82</v>
      </c>
      <c r="V5" s="97" t="s">
        <v>83</v>
      </c>
      <c r="W5" s="97" t="s">
        <v>81</v>
      </c>
    </row>
    <row r="6" spans="1:23" x14ac:dyDescent="0.3">
      <c r="A6" s="97" t="s">
        <v>134</v>
      </c>
      <c r="B6" s="97" t="s">
        <v>304</v>
      </c>
      <c r="C6" s="40" t="s">
        <v>79</v>
      </c>
      <c r="D6" s="97" t="s">
        <v>64</v>
      </c>
      <c r="G6" s="10" t="e">
        <f>G4-G5</f>
        <v>#DIV/0!</v>
      </c>
      <c r="H6" s="10" t="e">
        <f t="shared" ref="H6:Q6" si="2">H4-H5</f>
        <v>#DIV/0!</v>
      </c>
      <c r="I6" s="10" t="e">
        <f t="shared" si="2"/>
        <v>#DIV/0!</v>
      </c>
      <c r="J6" s="10" t="e">
        <f t="shared" si="2"/>
        <v>#DIV/0!</v>
      </c>
      <c r="K6" s="10" t="e">
        <f t="shared" si="2"/>
        <v>#DIV/0!</v>
      </c>
      <c r="L6" s="10" t="e">
        <f t="shared" si="2"/>
        <v>#DIV/0!</v>
      </c>
      <c r="M6" s="10" t="e">
        <f t="shared" si="2"/>
        <v>#DIV/0!</v>
      </c>
      <c r="N6" s="10" t="e">
        <f t="shared" si="2"/>
        <v>#DIV/0!</v>
      </c>
      <c r="O6" s="10" t="e">
        <f t="shared" si="2"/>
        <v>#DIV/0!</v>
      </c>
      <c r="P6" s="10" t="e">
        <f t="shared" si="2"/>
        <v>#DIV/0!</v>
      </c>
      <c r="Q6" s="10" t="e">
        <f t="shared" si="2"/>
        <v>#VALUE!</v>
      </c>
      <c r="U6" s="97" t="e">
        <f t="array" ref="U6:W6">LINEST(G6:Q6,G2:Q3)</f>
        <v>#VALUE!</v>
      </c>
      <c r="V6" s="97" t="e">
        <v>#VALUE!</v>
      </c>
      <c r="W6" s="97" t="e">
        <v>#VALUE!</v>
      </c>
    </row>
    <row r="7" spans="1:23" x14ac:dyDescent="0.3">
      <c r="A7" s="97" t="s">
        <v>134</v>
      </c>
      <c r="B7" s="97" t="s">
        <v>304</v>
      </c>
      <c r="C7" s="40" t="s">
        <v>84</v>
      </c>
      <c r="D7" s="97" t="s">
        <v>64</v>
      </c>
      <c r="G7" s="47" t="e">
        <f t="shared" ref="G7:P7" si="3">G2*$V$6+G3*$U$6+$W$6</f>
        <v>#N/A</v>
      </c>
      <c r="H7" s="47" t="e">
        <f t="shared" si="3"/>
        <v>#N/A</v>
      </c>
      <c r="I7" s="47" t="e">
        <f t="shared" si="3"/>
        <v>#N/A</v>
      </c>
      <c r="J7" s="47" t="e">
        <f t="shared" si="3"/>
        <v>#N/A</v>
      </c>
      <c r="K7" s="47" t="e">
        <f t="shared" si="3"/>
        <v>#N/A</v>
      </c>
      <c r="L7" s="47" t="e">
        <f t="shared" si="3"/>
        <v>#N/A</v>
      </c>
      <c r="M7" s="47" t="e">
        <f t="shared" si="3"/>
        <v>#N/A</v>
      </c>
      <c r="N7" s="47" t="e">
        <f t="shared" si="3"/>
        <v>#N/A</v>
      </c>
      <c r="O7" s="47" t="e">
        <f t="shared" si="3"/>
        <v>#N/A</v>
      </c>
      <c r="P7" s="47" t="e">
        <f t="shared" si="3"/>
        <v>#N/A</v>
      </c>
      <c r="Q7" s="47" t="e">
        <f>Q2*$V$6+Q3*$U$6+$W$6</f>
        <v>#N/A</v>
      </c>
    </row>
    <row r="8" spans="1:23" x14ac:dyDescent="0.3">
      <c r="A8" s="97" t="s">
        <v>134</v>
      </c>
      <c r="B8" s="97" t="s">
        <v>304</v>
      </c>
      <c r="C8" s="40" t="s">
        <v>85</v>
      </c>
      <c r="D8" s="97" t="s">
        <v>64</v>
      </c>
      <c r="G8" s="10" t="e">
        <f>G7+G5</f>
        <v>#N/A</v>
      </c>
      <c r="H8" s="10" t="e">
        <f t="shared" ref="H8:P8" si="4">H7+H5</f>
        <v>#N/A</v>
      </c>
      <c r="I8" s="10" t="e">
        <f t="shared" si="4"/>
        <v>#N/A</v>
      </c>
      <c r="J8" s="10" t="e">
        <f t="shared" si="4"/>
        <v>#N/A</v>
      </c>
      <c r="K8" s="10" t="e">
        <f t="shared" si="4"/>
        <v>#N/A</v>
      </c>
      <c r="L8" s="10" t="e">
        <f t="shared" si="4"/>
        <v>#N/A</v>
      </c>
      <c r="M8" s="10" t="e">
        <f t="shared" si="4"/>
        <v>#N/A</v>
      </c>
      <c r="N8" s="10" t="e">
        <f t="shared" si="4"/>
        <v>#N/A</v>
      </c>
      <c r="O8" s="10" t="e">
        <f t="shared" si="4"/>
        <v>#N/A</v>
      </c>
      <c r="P8" s="10" t="e">
        <f t="shared" si="4"/>
        <v>#N/A</v>
      </c>
      <c r="Q8" s="10" t="e">
        <f>Q7+Q5</f>
        <v>#N/A</v>
      </c>
      <c r="S8" s="10" t="e">
        <f>TREND($G$8:$Q$8,$G$1:$Q$1,S$1)</f>
        <v>#VALUE!</v>
      </c>
      <c r="T8" s="10" t="e">
        <f>TREND($G$8:$Q$8,$G$1:$Q$1,T$1)</f>
        <v>#VALUE!</v>
      </c>
    </row>
    <row r="9" spans="1:23" x14ac:dyDescent="0.3">
      <c r="A9" s="97" t="s">
        <v>134</v>
      </c>
      <c r="B9" s="97" t="s">
        <v>304</v>
      </c>
      <c r="C9" s="40" t="s">
        <v>164</v>
      </c>
      <c r="G9" s="8" t="e">
        <f>G8/G4</f>
        <v>#N/A</v>
      </c>
      <c r="H9" s="8" t="e">
        <f>H8/H4</f>
        <v>#N/A</v>
      </c>
      <c r="I9" s="8" t="e">
        <f t="shared" ref="I9:Q9" si="5">I8/I4</f>
        <v>#N/A</v>
      </c>
      <c r="J9" s="8" t="e">
        <f t="shared" si="5"/>
        <v>#N/A</v>
      </c>
      <c r="K9" s="8" t="e">
        <f t="shared" si="5"/>
        <v>#N/A</v>
      </c>
      <c r="L9" s="8" t="e">
        <f t="shared" si="5"/>
        <v>#N/A</v>
      </c>
      <c r="M9" s="8" t="e">
        <f t="shared" si="5"/>
        <v>#N/A</v>
      </c>
      <c r="N9" s="8" t="e">
        <f t="shared" si="5"/>
        <v>#N/A</v>
      </c>
      <c r="O9" s="8" t="e">
        <f t="shared" si="5"/>
        <v>#N/A</v>
      </c>
      <c r="P9" s="8" t="e">
        <f t="shared" si="5"/>
        <v>#N/A</v>
      </c>
      <c r="Q9" s="8" t="e">
        <f t="shared" si="5"/>
        <v>#N/A</v>
      </c>
    </row>
    <row r="10" spans="1:23" x14ac:dyDescent="0.3">
      <c r="A10" s="97" t="s">
        <v>134</v>
      </c>
      <c r="B10" s="97" t="s">
        <v>304</v>
      </c>
      <c r="C10" s="97" t="s">
        <v>174</v>
      </c>
      <c r="G10" s="8" t="e">
        <f>G5/G4</f>
        <v>#DIV/0!</v>
      </c>
      <c r="H10" s="8" t="e">
        <f>H5/H4</f>
        <v>#DIV/0!</v>
      </c>
      <c r="I10" s="8" t="e">
        <f t="shared" ref="I10:Q10" si="6">I5/I4</f>
        <v>#DIV/0!</v>
      </c>
      <c r="J10" s="8" t="e">
        <f t="shared" si="6"/>
        <v>#DIV/0!</v>
      </c>
      <c r="K10" s="8" t="e">
        <f t="shared" si="6"/>
        <v>#DIV/0!</v>
      </c>
      <c r="L10" s="8" t="e">
        <f t="shared" si="6"/>
        <v>#DIV/0!</v>
      </c>
      <c r="M10" s="8" t="e">
        <f t="shared" si="6"/>
        <v>#DIV/0!</v>
      </c>
      <c r="N10" s="8" t="e">
        <f t="shared" si="6"/>
        <v>#DIV/0!</v>
      </c>
      <c r="O10" s="8" t="e">
        <f t="shared" si="6"/>
        <v>#DIV/0!</v>
      </c>
      <c r="P10" s="8" t="e">
        <f t="shared" si="6"/>
        <v>#DIV/0!</v>
      </c>
      <c r="Q10" s="8" t="e">
        <f t="shared" si="6"/>
        <v>#VALUE!</v>
      </c>
      <c r="R10" s="8"/>
      <c r="S10" s="8"/>
      <c r="T10" s="8" t="s">
        <v>173</v>
      </c>
      <c r="U10" s="8" t="e">
        <f>AVERAGE(G10:Q10)</f>
        <v>#DIV/0!</v>
      </c>
    </row>
    <row r="12" spans="1:23" x14ac:dyDescent="0.3">
      <c r="C12" s="40"/>
    </row>
    <row r="13" spans="1:23" x14ac:dyDescent="0.3">
      <c r="C13" s="63" t="s">
        <v>297</v>
      </c>
      <c r="D13" s="97" t="s">
        <v>296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5" spans="1:23" x14ac:dyDescent="0.3">
      <c r="C15" s="97" t="s">
        <v>247</v>
      </c>
    </row>
    <row r="16" spans="1:23" x14ac:dyDescent="0.3">
      <c r="C16" s="22" t="s">
        <v>72</v>
      </c>
      <c r="G16" s="23" t="s">
        <v>16</v>
      </c>
      <c r="H16" s="23" t="s">
        <v>17</v>
      </c>
      <c r="I16" s="23" t="s">
        <v>18</v>
      </c>
      <c r="J16" s="23" t="s">
        <v>19</v>
      </c>
      <c r="K16" s="23" t="s">
        <v>20</v>
      </c>
      <c r="L16" s="23" t="s">
        <v>21</v>
      </c>
      <c r="M16" s="23" t="s">
        <v>22</v>
      </c>
      <c r="N16" s="23" t="s">
        <v>23</v>
      </c>
      <c r="O16" s="23" t="s">
        <v>24</v>
      </c>
      <c r="P16" s="23" t="s">
        <v>25</v>
      </c>
    </row>
    <row r="17" spans="3:18" x14ac:dyDescent="0.3">
      <c r="C17" s="24" t="s">
        <v>73</v>
      </c>
      <c r="G17" s="25"/>
      <c r="H17" s="25"/>
      <c r="I17" s="25"/>
      <c r="J17" s="25"/>
      <c r="K17" s="25"/>
      <c r="L17" s="26"/>
      <c r="M17" s="26"/>
      <c r="N17" s="26"/>
      <c r="O17" s="26"/>
      <c r="P17" s="26"/>
    </row>
    <row r="18" spans="3:18" x14ac:dyDescent="0.3">
      <c r="C18" s="24" t="s">
        <v>74</v>
      </c>
      <c r="G18" s="43"/>
      <c r="H18" s="43"/>
      <c r="I18" s="43"/>
      <c r="J18" s="43"/>
      <c r="K18" s="43"/>
      <c r="L18" s="43"/>
      <c r="M18" s="43"/>
      <c r="N18" s="43"/>
      <c r="O18" s="42"/>
      <c r="P18" s="43"/>
    </row>
    <row r="19" spans="3:18" x14ac:dyDescent="0.3">
      <c r="C19" s="24" t="s">
        <v>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3:18" x14ac:dyDescent="0.3">
      <c r="C20" s="24" t="s">
        <v>76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3:18" x14ac:dyDescent="0.3">
      <c r="C21" s="24" t="s">
        <v>77</v>
      </c>
      <c r="G21" s="25"/>
      <c r="H21" s="25"/>
      <c r="I21" s="25"/>
      <c r="J21" s="25"/>
      <c r="K21" s="25"/>
      <c r="L21" s="26"/>
      <c r="M21" s="27"/>
      <c r="N21" s="26"/>
      <c r="O21" s="27"/>
      <c r="P21" s="27"/>
    </row>
    <row r="22" spans="3:18" x14ac:dyDescent="0.3">
      <c r="R22" s="97" t="s">
        <v>78</v>
      </c>
    </row>
    <row r="23" spans="3:18" x14ac:dyDescent="0.3">
      <c r="C23" s="97" t="s">
        <v>167</v>
      </c>
      <c r="G23" s="8" t="e">
        <f>G20/(G20+G18)</f>
        <v>#DIV/0!</v>
      </c>
      <c r="H23" s="8" t="e">
        <f t="shared" ref="H23:P23" si="7">H20/(H20+H18)</f>
        <v>#DIV/0!</v>
      </c>
      <c r="I23" s="8" t="e">
        <f t="shared" si="7"/>
        <v>#DIV/0!</v>
      </c>
      <c r="J23" s="8" t="e">
        <f t="shared" si="7"/>
        <v>#DIV/0!</v>
      </c>
      <c r="K23" s="8" t="e">
        <f t="shared" si="7"/>
        <v>#DIV/0!</v>
      </c>
      <c r="L23" s="8" t="e">
        <f t="shared" si="7"/>
        <v>#DIV/0!</v>
      </c>
      <c r="M23" s="8" t="e">
        <f t="shared" si="7"/>
        <v>#DIV/0!</v>
      </c>
      <c r="N23" s="8" t="e">
        <f t="shared" si="7"/>
        <v>#DIV/0!</v>
      </c>
      <c r="O23" s="8" t="e">
        <f t="shared" si="7"/>
        <v>#DIV/0!</v>
      </c>
      <c r="P23" s="8" t="e">
        <f t="shared" si="7"/>
        <v>#DIV/0!</v>
      </c>
      <c r="R23" s="8" t="e">
        <f>AVERAGE(G23:P23)</f>
        <v>#DIV/0!</v>
      </c>
    </row>
    <row r="27" spans="3:18" x14ac:dyDescent="0.3">
      <c r="R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94B3-2C1F-407D-A8BF-A8929E9D86F2}">
  <dimension ref="A1:W27"/>
  <sheetViews>
    <sheetView workbookViewId="0">
      <selection activeCell="E13" sqref="E13:Q13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5" width="9.5546875" style="97" customWidth="1"/>
    <col min="6" max="6" width="8.88671875" style="97"/>
    <col min="7" max="7" width="8.88671875" style="97" customWidth="1"/>
    <col min="8" max="16384" width="8.88671875" style="97"/>
  </cols>
  <sheetData>
    <row r="1" spans="1:23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2008</v>
      </c>
      <c r="F1" s="97">
        <v>2009</v>
      </c>
      <c r="G1" s="97">
        <v>2010</v>
      </c>
      <c r="H1" s="97">
        <v>2011</v>
      </c>
      <c r="I1" s="97">
        <v>2012</v>
      </c>
      <c r="J1" s="97">
        <v>2013</v>
      </c>
      <c r="K1" s="97">
        <v>2014</v>
      </c>
      <c r="L1" s="97">
        <v>2015</v>
      </c>
      <c r="M1" s="97">
        <v>2016</v>
      </c>
      <c r="N1" s="97">
        <v>2017</v>
      </c>
      <c r="O1" s="97">
        <v>2018</v>
      </c>
      <c r="P1" s="97">
        <v>2019</v>
      </c>
      <c r="Q1" s="97">
        <v>2020</v>
      </c>
      <c r="S1" s="97">
        <v>2025</v>
      </c>
      <c r="T1" s="97">
        <v>2030</v>
      </c>
    </row>
    <row r="2" spans="1:23" x14ac:dyDescent="0.3">
      <c r="A2" s="100" t="s">
        <v>135</v>
      </c>
      <c r="B2" s="97" t="s">
        <v>305</v>
      </c>
      <c r="C2" s="97" t="s">
        <v>60</v>
      </c>
      <c r="F2" s="35" t="e">
        <f>HLOOKUP(F$1,  HDD!$B$4:$AP$33,   MATCH($A$2, HDD!$A$4:$A$33,0), FALSE)</f>
        <v>#N/A</v>
      </c>
      <c r="G2" s="35" t="e">
        <f>HLOOKUP(G$1,  HDD!$B$4:$AP$33,   MATCH($A$2, HDD!$A$4:$A$33,0), FALSE)</f>
        <v>#N/A</v>
      </c>
      <c r="H2" s="35" t="e">
        <f>HLOOKUP(H$1,  HDD!$B$4:$AP$33,   MATCH($A$2, HDD!$A$4:$A$33,0), FALSE)</f>
        <v>#N/A</v>
      </c>
      <c r="I2" s="35" t="e">
        <f>HLOOKUP(I$1,  HDD!$B$4:$AP$33,   MATCH($A$2, HDD!$A$4:$A$33,0), FALSE)</f>
        <v>#N/A</v>
      </c>
      <c r="J2" s="35" t="e">
        <f>HLOOKUP(J$1,  HDD!$B$4:$AP$33,   MATCH($A$2, HDD!$A$4:$A$33,0), FALSE)</f>
        <v>#N/A</v>
      </c>
      <c r="K2" s="35" t="e">
        <f>HLOOKUP(K$1,  HDD!$B$4:$AP$33,   MATCH($A$2, HDD!$A$4:$A$33,0), FALSE)</f>
        <v>#N/A</v>
      </c>
      <c r="L2" s="35" t="e">
        <f>HLOOKUP(L$1,  HDD!$B$4:$AP$33,   MATCH($A$2, HDD!$A$4:$A$33,0), FALSE)</f>
        <v>#N/A</v>
      </c>
      <c r="M2" s="35" t="e">
        <f>HLOOKUP(M$1,  HDD!$B$4:$AP$33,   MATCH($A$2, HDD!$A$4:$A$33,0), FALSE)</f>
        <v>#N/A</v>
      </c>
      <c r="N2" s="35" t="e">
        <f>HLOOKUP(N$1,  HDD!$B$4:$AP$33,   MATCH($A$2, HDD!$A$4:$A$33,0), FALSE)</f>
        <v>#N/A</v>
      </c>
      <c r="O2" s="35" t="e">
        <f>HLOOKUP(O$1,  HDD!$B$4:$AP$33,   MATCH($A$2, HDD!$A$4:$A$33,0), FALSE)</f>
        <v>#N/A</v>
      </c>
      <c r="P2" s="35" t="e">
        <f>HLOOKUP(P$1,  HDD!$B$4:$AP$33,   MATCH($A$2, HDD!$A$4:$A$33,0), FALSE)</f>
        <v>#N/A</v>
      </c>
      <c r="Q2" s="35" t="e">
        <f>HLOOKUP(Q$1,  HDD!$B$4:$AP$33,   MATCH($A$2, HDD!$A$4:$A$33,0), FALSE)</f>
        <v>#N/A</v>
      </c>
      <c r="S2" s="35" t="e">
        <f>HLOOKUP(S$1,  HDD!$B$4:$AP$33,   MATCH($A$2, HDD!$A$4:$A$33,0), FALSE)</f>
        <v>#N/A</v>
      </c>
      <c r="T2" s="35" t="e">
        <f>HLOOKUP(T$1,  HDD!$B$4:$AP$33,   MATCH($A$2, HDD!$A$4:$A$33,0), FALSE)</f>
        <v>#N/A</v>
      </c>
    </row>
    <row r="3" spans="1:23" x14ac:dyDescent="0.3">
      <c r="A3" s="100" t="s">
        <v>135</v>
      </c>
      <c r="B3" s="97" t="s">
        <v>305</v>
      </c>
      <c r="C3" s="97" t="s">
        <v>61</v>
      </c>
      <c r="D3" s="97" t="s">
        <v>62</v>
      </c>
      <c r="G3" s="8">
        <f>HLOOKUP(G$1, Pop!$B$8:$P$62, MATCH($A$3, Pop!$A$8:$A$62,0), FALSE)/1000000</f>
        <v>62.510196999999998</v>
      </c>
      <c r="H3" s="8">
        <f>HLOOKUP(H$1, Pop!$B$8:$P$62, MATCH($A$3, Pop!$A$8:$A$62,0), FALSE)/1000000</f>
        <v>63.022531999999998</v>
      </c>
      <c r="I3" s="8">
        <f>HLOOKUP(I$1, Pop!$B$8:$P$62, MATCH($A$3, Pop!$A$8:$A$62,0), FALSE)/1000000</f>
        <v>63.495088000000003</v>
      </c>
      <c r="J3" s="8">
        <f>HLOOKUP(J$1, Pop!$B$8:$P$62, MATCH($A$3, Pop!$A$8:$A$62,0), FALSE)/1000000</f>
        <v>63.905341999999997</v>
      </c>
      <c r="K3" s="8">
        <f>HLOOKUP(K$1, Pop!$B$8:$P$62, MATCH($A$3, Pop!$A$8:$A$62,0), FALSE)/1000000</f>
        <v>64.351202999999998</v>
      </c>
      <c r="L3" s="8">
        <f>HLOOKUP(L$1, Pop!$B$8:$P$62, MATCH($A$3, Pop!$A$8:$A$62,0), FALSE)/1000000</f>
        <v>64.853392999999997</v>
      </c>
      <c r="M3" s="8">
        <f>HLOOKUP(M$1, Pop!$B$8:$P$62, MATCH($A$3, Pop!$A$8:$A$62,0), FALSE)/1000000</f>
        <v>65.379043999999993</v>
      </c>
      <c r="N3" s="8">
        <f>HLOOKUP(N$1, Pop!$B$8:$P$62, MATCH($A$3, Pop!$A$8:$A$62,0), FALSE)/1000000</f>
        <v>65.844142000000005</v>
      </c>
      <c r="O3" s="8">
        <f>HLOOKUP(O$1, Pop!$B$8:$P$62, MATCH($A$3, Pop!$A$8:$A$62,0), FALSE)/1000000</f>
        <v>66.273576000000006</v>
      </c>
      <c r="P3" s="8">
        <f>HLOOKUP(P$1, Pop!$B$8:$P$62, MATCH($A$3, Pop!$A$8:$A$62,0), FALSE)/1000000</f>
        <v>66.647112000000007</v>
      </c>
      <c r="Q3" s="8">
        <f>HLOOKUP(Q$1, Pop!$B$8:$P$62, MATCH($A$3, Pop!$A$8:$A$62,0), FALSE)/1000000</f>
        <v>67.025542000000002</v>
      </c>
      <c r="R3" s="8"/>
      <c r="S3" s="8">
        <f>HLOOKUP(S$1, Pop!$B$8:$P$62, MATCH($A$3, Pop!$A$8:$A$62,0), FALSE)/1000000</f>
        <v>69.420283727272746</v>
      </c>
      <c r="T3" s="8">
        <f>HLOOKUP(T$1, Pop!$B$8:$P$62, MATCH($A$3, Pop!$A$8:$A$62,0), FALSE)/1000000</f>
        <v>71.707372363636381</v>
      </c>
    </row>
    <row r="4" spans="1:23" x14ac:dyDescent="0.3">
      <c r="A4" s="100" t="s">
        <v>135</v>
      </c>
      <c r="B4" s="97" t="s">
        <v>305</v>
      </c>
      <c r="C4" s="97" t="s">
        <v>163</v>
      </c>
      <c r="D4" s="97" t="s">
        <v>64</v>
      </c>
      <c r="E4" s="10">
        <f t="shared" ref="E4:Q4" si="0">E13*1000/3600</f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0"/>
        <v>0</v>
      </c>
      <c r="N4" s="10">
        <f t="shared" si="0"/>
        <v>0</v>
      </c>
      <c r="O4" s="10">
        <f t="shared" si="0"/>
        <v>0</v>
      </c>
      <c r="P4" s="10">
        <f t="shared" si="0"/>
        <v>0</v>
      </c>
      <c r="Q4" s="10">
        <f t="shared" si="0"/>
        <v>0</v>
      </c>
    </row>
    <row r="5" spans="1:23" x14ac:dyDescent="0.3">
      <c r="A5" s="100" t="s">
        <v>135</v>
      </c>
      <c r="B5" s="97" t="s">
        <v>305</v>
      </c>
      <c r="C5" s="40" t="s">
        <v>80</v>
      </c>
      <c r="D5" s="97" t="s">
        <v>64</v>
      </c>
      <c r="G5" s="10" t="e">
        <f t="shared" ref="G5:O5" si="1">G20/$P$20*$P$5</f>
        <v>#DIV/0!</v>
      </c>
      <c r="H5" s="10" t="e">
        <f t="shared" si="1"/>
        <v>#DIV/0!</v>
      </c>
      <c r="I5" s="10" t="e">
        <f t="shared" si="1"/>
        <v>#DIV/0!</v>
      </c>
      <c r="J5" s="10" t="e">
        <f t="shared" si="1"/>
        <v>#DIV/0!</v>
      </c>
      <c r="K5" s="10" t="e">
        <f t="shared" si="1"/>
        <v>#DIV/0!</v>
      </c>
      <c r="L5" s="10" t="e">
        <f t="shared" si="1"/>
        <v>#DIV/0!</v>
      </c>
      <c r="M5" s="10" t="e">
        <f t="shared" si="1"/>
        <v>#DIV/0!</v>
      </c>
      <c r="N5" s="10" t="e">
        <f t="shared" si="1"/>
        <v>#DIV/0!</v>
      </c>
      <c r="O5" s="10" t="e">
        <f t="shared" si="1"/>
        <v>#DIV/0!</v>
      </c>
      <c r="P5" s="10">
        <f>$R$23*P4</f>
        <v>0</v>
      </c>
      <c r="Q5" s="10" t="e">
        <f>TREND(G5:P5,G1:P1,Q1)</f>
        <v>#VALUE!</v>
      </c>
      <c r="S5" s="10" t="e">
        <f>U10*S8</f>
        <v>#DIV/0!</v>
      </c>
      <c r="U5" s="97" t="s">
        <v>82</v>
      </c>
      <c r="V5" s="97" t="s">
        <v>83</v>
      </c>
      <c r="W5" s="97" t="s">
        <v>81</v>
      </c>
    </row>
    <row r="6" spans="1:23" x14ac:dyDescent="0.3">
      <c r="A6" s="100" t="s">
        <v>135</v>
      </c>
      <c r="B6" s="97" t="s">
        <v>305</v>
      </c>
      <c r="C6" s="40" t="s">
        <v>79</v>
      </c>
      <c r="D6" s="97" t="s">
        <v>64</v>
      </c>
      <c r="G6" s="10" t="e">
        <f>G4-G5</f>
        <v>#DIV/0!</v>
      </c>
      <c r="H6" s="10" t="e">
        <f t="shared" ref="H6:Q6" si="2">H4-H5</f>
        <v>#DIV/0!</v>
      </c>
      <c r="I6" s="10" t="e">
        <f t="shared" si="2"/>
        <v>#DIV/0!</v>
      </c>
      <c r="J6" s="10" t="e">
        <f t="shared" si="2"/>
        <v>#DIV/0!</v>
      </c>
      <c r="K6" s="10" t="e">
        <f t="shared" si="2"/>
        <v>#DIV/0!</v>
      </c>
      <c r="L6" s="10" t="e">
        <f t="shared" si="2"/>
        <v>#DIV/0!</v>
      </c>
      <c r="M6" s="10" t="e">
        <f t="shared" si="2"/>
        <v>#DIV/0!</v>
      </c>
      <c r="N6" s="10" t="e">
        <f t="shared" si="2"/>
        <v>#DIV/0!</v>
      </c>
      <c r="O6" s="10" t="e">
        <f t="shared" si="2"/>
        <v>#DIV/0!</v>
      </c>
      <c r="P6" s="10">
        <f t="shared" si="2"/>
        <v>0</v>
      </c>
      <c r="Q6" s="10" t="e">
        <f t="shared" si="2"/>
        <v>#VALUE!</v>
      </c>
      <c r="U6" s="97" t="e">
        <f t="array" ref="U6:W6">LINEST(G6:Q6,G2:Q3)</f>
        <v>#VALUE!</v>
      </c>
      <c r="V6" s="97" t="e">
        <v>#VALUE!</v>
      </c>
      <c r="W6" s="97" t="e">
        <v>#VALUE!</v>
      </c>
    </row>
    <row r="7" spans="1:23" x14ac:dyDescent="0.3">
      <c r="A7" s="100" t="s">
        <v>135</v>
      </c>
      <c r="B7" s="97" t="s">
        <v>305</v>
      </c>
      <c r="C7" s="40" t="s">
        <v>84</v>
      </c>
      <c r="D7" s="97" t="s">
        <v>64</v>
      </c>
      <c r="G7" s="47" t="e">
        <f t="shared" ref="G7:P7" si="3">G2*$V$6+G3*$U$6+$W$6</f>
        <v>#N/A</v>
      </c>
      <c r="H7" s="47" t="e">
        <f t="shared" si="3"/>
        <v>#N/A</v>
      </c>
      <c r="I7" s="47" t="e">
        <f t="shared" si="3"/>
        <v>#N/A</v>
      </c>
      <c r="J7" s="47" t="e">
        <f t="shared" si="3"/>
        <v>#N/A</v>
      </c>
      <c r="K7" s="47" t="e">
        <f t="shared" si="3"/>
        <v>#N/A</v>
      </c>
      <c r="L7" s="47" t="e">
        <f t="shared" si="3"/>
        <v>#N/A</v>
      </c>
      <c r="M7" s="47" t="e">
        <f t="shared" si="3"/>
        <v>#N/A</v>
      </c>
      <c r="N7" s="47" t="e">
        <f t="shared" si="3"/>
        <v>#N/A</v>
      </c>
      <c r="O7" s="47" t="e">
        <f t="shared" si="3"/>
        <v>#N/A</v>
      </c>
      <c r="P7" s="47" t="e">
        <f t="shared" si="3"/>
        <v>#N/A</v>
      </c>
      <c r="Q7" s="47" t="e">
        <f>Q2*$V$6+Q3*$U$6+$W$6</f>
        <v>#N/A</v>
      </c>
    </row>
    <row r="8" spans="1:23" x14ac:dyDescent="0.3">
      <c r="A8" s="100" t="s">
        <v>135</v>
      </c>
      <c r="B8" s="97" t="s">
        <v>305</v>
      </c>
      <c r="C8" s="40" t="s">
        <v>85</v>
      </c>
      <c r="D8" s="97" t="s">
        <v>64</v>
      </c>
      <c r="G8" s="10" t="e">
        <f>G7+G5</f>
        <v>#N/A</v>
      </c>
      <c r="H8" s="10" t="e">
        <f t="shared" ref="H8:P8" si="4">H7+H5</f>
        <v>#N/A</v>
      </c>
      <c r="I8" s="10" t="e">
        <f t="shared" si="4"/>
        <v>#N/A</v>
      </c>
      <c r="J8" s="10" t="e">
        <f t="shared" si="4"/>
        <v>#N/A</v>
      </c>
      <c r="K8" s="10" t="e">
        <f t="shared" si="4"/>
        <v>#N/A</v>
      </c>
      <c r="L8" s="10" t="e">
        <f t="shared" si="4"/>
        <v>#N/A</v>
      </c>
      <c r="M8" s="10" t="e">
        <f t="shared" si="4"/>
        <v>#N/A</v>
      </c>
      <c r="N8" s="10" t="e">
        <f t="shared" si="4"/>
        <v>#N/A</v>
      </c>
      <c r="O8" s="10" t="e">
        <f t="shared" si="4"/>
        <v>#N/A</v>
      </c>
      <c r="P8" s="10" t="e">
        <f t="shared" si="4"/>
        <v>#N/A</v>
      </c>
      <c r="Q8" s="10" t="e">
        <f>Q7+Q5</f>
        <v>#N/A</v>
      </c>
      <c r="S8" s="10" t="e">
        <f>TREND($G$8:$Q$8,$G$1:$Q$1,S$1)</f>
        <v>#VALUE!</v>
      </c>
      <c r="T8" s="10" t="e">
        <f>TREND($G$8:$Q$8,$G$1:$Q$1,T$1)</f>
        <v>#VALUE!</v>
      </c>
    </row>
    <row r="9" spans="1:23" x14ac:dyDescent="0.3">
      <c r="A9" s="100" t="s">
        <v>135</v>
      </c>
      <c r="B9" s="97" t="s">
        <v>305</v>
      </c>
      <c r="C9" s="40" t="s">
        <v>164</v>
      </c>
      <c r="G9" s="8" t="e">
        <f>G8/G4</f>
        <v>#N/A</v>
      </c>
      <c r="H9" s="8" t="e">
        <f>H8/H4</f>
        <v>#N/A</v>
      </c>
      <c r="I9" s="8" t="e">
        <f t="shared" ref="I9:Q9" si="5">I8/I4</f>
        <v>#N/A</v>
      </c>
      <c r="J9" s="8" t="e">
        <f t="shared" si="5"/>
        <v>#N/A</v>
      </c>
      <c r="K9" s="8" t="e">
        <f t="shared" si="5"/>
        <v>#N/A</v>
      </c>
      <c r="L9" s="8" t="e">
        <f t="shared" si="5"/>
        <v>#N/A</v>
      </c>
      <c r="M9" s="8" t="e">
        <f t="shared" si="5"/>
        <v>#N/A</v>
      </c>
      <c r="N9" s="8" t="e">
        <f t="shared" si="5"/>
        <v>#N/A</v>
      </c>
      <c r="O9" s="8" t="e">
        <f t="shared" si="5"/>
        <v>#N/A</v>
      </c>
      <c r="P9" s="8" t="e">
        <f t="shared" si="5"/>
        <v>#N/A</v>
      </c>
      <c r="Q9" s="8" t="e">
        <f t="shared" si="5"/>
        <v>#N/A</v>
      </c>
    </row>
    <row r="10" spans="1:23" x14ac:dyDescent="0.3">
      <c r="A10" s="100" t="s">
        <v>135</v>
      </c>
      <c r="B10" s="97" t="s">
        <v>305</v>
      </c>
      <c r="C10" s="97" t="s">
        <v>174</v>
      </c>
      <c r="G10" s="8" t="e">
        <f>G5/G4</f>
        <v>#DIV/0!</v>
      </c>
      <c r="H10" s="8" t="e">
        <f>H5/H4</f>
        <v>#DIV/0!</v>
      </c>
      <c r="I10" s="8" t="e">
        <f t="shared" ref="I10:Q10" si="6">I5/I4</f>
        <v>#DIV/0!</v>
      </c>
      <c r="J10" s="8" t="e">
        <f t="shared" si="6"/>
        <v>#DIV/0!</v>
      </c>
      <c r="K10" s="8" t="e">
        <f t="shared" si="6"/>
        <v>#DIV/0!</v>
      </c>
      <c r="L10" s="8" t="e">
        <f t="shared" si="6"/>
        <v>#DIV/0!</v>
      </c>
      <c r="M10" s="8" t="e">
        <f t="shared" si="6"/>
        <v>#DIV/0!</v>
      </c>
      <c r="N10" s="8" t="e">
        <f t="shared" si="6"/>
        <v>#DIV/0!</v>
      </c>
      <c r="O10" s="8" t="e">
        <f t="shared" si="6"/>
        <v>#DIV/0!</v>
      </c>
      <c r="P10" s="8" t="e">
        <f t="shared" si="6"/>
        <v>#DIV/0!</v>
      </c>
      <c r="Q10" s="8" t="e">
        <f t="shared" si="6"/>
        <v>#VALUE!</v>
      </c>
      <c r="R10" s="8"/>
      <c r="S10" s="8"/>
      <c r="T10" s="8" t="s">
        <v>173</v>
      </c>
      <c r="U10" s="8" t="e">
        <f>AVERAGE(G10:Q10)</f>
        <v>#DIV/0!</v>
      </c>
    </row>
    <row r="12" spans="1:23" x14ac:dyDescent="0.3">
      <c r="C12" s="40"/>
    </row>
    <row r="13" spans="1:23" x14ac:dyDescent="0.3">
      <c r="C13" s="63" t="s">
        <v>297</v>
      </c>
      <c r="D13" s="97" t="s">
        <v>296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5" spans="1:23" x14ac:dyDescent="0.3">
      <c r="C15" s="97" t="s">
        <v>247</v>
      </c>
    </row>
    <row r="16" spans="1:23" x14ac:dyDescent="0.3">
      <c r="C16" s="22" t="s">
        <v>72</v>
      </c>
      <c r="G16" s="23" t="s">
        <v>16</v>
      </c>
      <c r="H16" s="23" t="s">
        <v>17</v>
      </c>
      <c r="I16" s="23" t="s">
        <v>18</v>
      </c>
      <c r="J16" s="23" t="s">
        <v>19</v>
      </c>
      <c r="K16" s="23" t="s">
        <v>20</v>
      </c>
      <c r="L16" s="23" t="s">
        <v>21</v>
      </c>
      <c r="M16" s="23" t="s">
        <v>22</v>
      </c>
      <c r="N16" s="23" t="s">
        <v>23</v>
      </c>
      <c r="O16" s="23" t="s">
        <v>24</v>
      </c>
      <c r="P16" s="23" t="s">
        <v>25</v>
      </c>
    </row>
    <row r="17" spans="3:18" x14ac:dyDescent="0.3">
      <c r="C17" s="24" t="s">
        <v>73</v>
      </c>
      <c r="G17" s="101">
        <v>1905583.4439999999</v>
      </c>
      <c r="H17" s="101">
        <v>1581554.5589999999</v>
      </c>
      <c r="I17" s="101">
        <v>1714793.818</v>
      </c>
      <c r="J17" s="101">
        <v>1735753.226</v>
      </c>
      <c r="K17" s="101">
        <v>1499387.7279999999</v>
      </c>
      <c r="L17" s="102">
        <v>1560110.88</v>
      </c>
      <c r="M17" s="101">
        <v>1591238.8770000001</v>
      </c>
      <c r="N17" s="101">
        <v>1543501.7720000001</v>
      </c>
      <c r="O17" s="101">
        <v>1594761.5919999999</v>
      </c>
      <c r="P17" s="26"/>
    </row>
    <row r="18" spans="3:18" x14ac:dyDescent="0.3">
      <c r="C18" s="24" t="s">
        <v>74</v>
      </c>
      <c r="G18" s="101">
        <v>1315338.456</v>
      </c>
      <c r="H18" s="101">
        <v>975482.91700000002</v>
      </c>
      <c r="I18" s="101">
        <v>1078187.689</v>
      </c>
      <c r="J18" s="101">
        <v>1084281.263</v>
      </c>
      <c r="K18" s="101">
        <v>909282.31799999997</v>
      </c>
      <c r="L18" s="101">
        <v>964760.76100000006</v>
      </c>
      <c r="M18" s="101">
        <v>993103.35499999998</v>
      </c>
      <c r="N18" s="101">
        <v>970249.76199999999</v>
      </c>
      <c r="O18" s="101">
        <v>1012439.7659999999</v>
      </c>
      <c r="P18" s="43"/>
    </row>
    <row r="19" spans="3:18" x14ac:dyDescent="0.3">
      <c r="C19" s="24" t="s">
        <v>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3:18" x14ac:dyDescent="0.3">
      <c r="C20" s="24" t="s">
        <v>76</v>
      </c>
      <c r="G20" s="101">
        <v>270407.99300000002</v>
      </c>
      <c r="H20" s="101">
        <v>284576.09499999997</v>
      </c>
      <c r="I20" s="101">
        <v>298121.527</v>
      </c>
      <c r="J20" s="101">
        <v>309693.68800000002</v>
      </c>
      <c r="K20" s="101">
        <v>263711.842</v>
      </c>
      <c r="L20" s="102">
        <v>268727.77</v>
      </c>
      <c r="M20" s="101">
        <v>273275.08600000001</v>
      </c>
      <c r="N20" s="101">
        <v>251327.853</v>
      </c>
      <c r="O20" s="101">
        <v>262199.95400000003</v>
      </c>
      <c r="P20" s="43"/>
    </row>
    <row r="21" spans="3:18" x14ac:dyDescent="0.3">
      <c r="C21" s="24" t="s">
        <v>77</v>
      </c>
      <c r="G21" s="25"/>
      <c r="H21" s="25"/>
      <c r="I21" s="25"/>
      <c r="J21" s="25"/>
      <c r="K21" s="25"/>
      <c r="L21" s="26"/>
      <c r="M21" s="27"/>
      <c r="N21" s="26"/>
      <c r="O21" s="27"/>
      <c r="P21" s="27"/>
    </row>
    <row r="22" spans="3:18" x14ac:dyDescent="0.3">
      <c r="R22" s="97" t="s">
        <v>78</v>
      </c>
    </row>
    <row r="23" spans="3:18" x14ac:dyDescent="0.3">
      <c r="C23" s="97" t="s">
        <v>167</v>
      </c>
      <c r="G23" s="8">
        <f>G20/(G20+G18)</f>
        <v>0.17052410438662757</v>
      </c>
      <c r="H23" s="8">
        <f t="shared" ref="H23:O23" si="7">H20/(H20+H18)</f>
        <v>0.22584346628997401</v>
      </c>
      <c r="I23" s="8">
        <f t="shared" si="7"/>
        <v>0.21660940981448751</v>
      </c>
      <c r="J23" s="8">
        <f t="shared" si="7"/>
        <v>0.22216589170259773</v>
      </c>
      <c r="K23" s="8">
        <f t="shared" si="7"/>
        <v>0.22481939893034081</v>
      </c>
      <c r="L23" s="8">
        <f t="shared" si="7"/>
        <v>0.21785996646611708</v>
      </c>
      <c r="M23" s="8">
        <f t="shared" si="7"/>
        <v>0.21579259181339774</v>
      </c>
      <c r="N23" s="8">
        <f t="shared" si="7"/>
        <v>0.20574038842386613</v>
      </c>
      <c r="O23" s="8">
        <f t="shared" si="7"/>
        <v>0.20570514937350298</v>
      </c>
      <c r="P23" s="8"/>
      <c r="R23" s="8">
        <f>AVERAGE(G23:O23)</f>
        <v>0.21167337413343462</v>
      </c>
    </row>
    <row r="27" spans="3:18" x14ac:dyDescent="0.3">
      <c r="R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6055-8547-4EBA-AC41-440F717EE9A4}">
  <dimension ref="A1:W27"/>
  <sheetViews>
    <sheetView workbookViewId="0">
      <selection activeCell="E13" sqref="E13:Q13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5" width="9.5546875" style="97" customWidth="1"/>
    <col min="6" max="6" width="8.88671875" style="97"/>
    <col min="7" max="7" width="8.88671875" style="97" customWidth="1"/>
    <col min="8" max="16384" width="8.88671875" style="97"/>
  </cols>
  <sheetData>
    <row r="1" spans="1:23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2008</v>
      </c>
      <c r="F1" s="97">
        <v>2009</v>
      </c>
      <c r="G1" s="97">
        <v>2010</v>
      </c>
      <c r="H1" s="97">
        <v>2011</v>
      </c>
      <c r="I1" s="97">
        <v>2012</v>
      </c>
      <c r="J1" s="97">
        <v>2013</v>
      </c>
      <c r="K1" s="97">
        <v>2014</v>
      </c>
      <c r="L1" s="97">
        <v>2015</v>
      </c>
      <c r="M1" s="97">
        <v>2016</v>
      </c>
      <c r="N1" s="97">
        <v>2017</v>
      </c>
      <c r="O1" s="97">
        <v>2018</v>
      </c>
      <c r="P1" s="97">
        <v>2019</v>
      </c>
      <c r="Q1" s="97">
        <v>2020</v>
      </c>
      <c r="S1" s="97">
        <v>2025</v>
      </c>
      <c r="T1" s="97">
        <v>2030</v>
      </c>
    </row>
    <row r="2" spans="1:23" x14ac:dyDescent="0.3">
      <c r="A2" s="97" t="s">
        <v>44</v>
      </c>
      <c r="B2" s="97" t="s">
        <v>303</v>
      </c>
      <c r="C2" s="97" t="s">
        <v>60</v>
      </c>
      <c r="F2" s="35">
        <f>HLOOKUP(F$1,  HDD!$B$4:$AP$33,   MATCH($A$2, HDD!$A$4:$A$33,0), FALSE)</f>
        <v>2727.14</v>
      </c>
      <c r="G2" s="35">
        <f>HLOOKUP(G$1,  HDD!$B$4:$AP$33,   MATCH($A$2, HDD!$A$4:$A$33,0), FALSE)</f>
        <v>3311.71</v>
      </c>
      <c r="H2" s="35">
        <f>HLOOKUP(H$1,  HDD!$B$4:$AP$33,   MATCH($A$2, HDD!$A$4:$A$33,0), FALSE)</f>
        <v>2516.5700000000002</v>
      </c>
      <c r="I2" s="35">
        <f>HLOOKUP(I$1,  HDD!$B$4:$AP$33,   MATCH($A$2, HDD!$A$4:$A$33,0), FALSE)</f>
        <v>2817.13</v>
      </c>
      <c r="J2" s="35">
        <f>HLOOKUP(J$1,  HDD!$B$4:$AP$33,   MATCH($A$2, HDD!$A$4:$A$33,0), FALSE)</f>
        <v>3012.96</v>
      </c>
      <c r="K2" s="35">
        <f>HLOOKUP(K$1,  HDD!$B$4:$AP$33,   MATCH($A$2, HDD!$A$4:$A$33,0), FALSE)</f>
        <v>2282.08</v>
      </c>
      <c r="L2" s="35">
        <f>HLOOKUP(L$1,  HDD!$B$4:$AP$33,   MATCH($A$2, HDD!$A$4:$A$33,0), FALSE)</f>
        <v>2625.49</v>
      </c>
      <c r="M2" s="35">
        <f>HLOOKUP(M$1,  HDD!$B$4:$AP$33,   MATCH($A$2, HDD!$A$4:$A$33,0), FALSE)</f>
        <v>2679.86</v>
      </c>
      <c r="N2" s="35">
        <f>HLOOKUP(N$1,  HDD!$B$4:$AP$33,   MATCH($A$2, HDD!$A$4:$A$33,0), FALSE)</f>
        <v>2538.98</v>
      </c>
      <c r="O2" s="35">
        <f>HLOOKUP(O$1,  HDD!$B$4:$AP$33,   MATCH($A$2, HDD!$A$4:$A$33,0), FALSE)</f>
        <v>2528.64</v>
      </c>
      <c r="P2" s="35">
        <f>HLOOKUP(P$1,  HDD!$B$4:$AP$33,   MATCH($A$2, HDD!$A$4:$A$33,0), FALSE)</f>
        <v>2514.41</v>
      </c>
      <c r="Q2" s="35">
        <f>HLOOKUP(Q$1,  HDD!$B$4:$AP$33,   MATCH($A$2, HDD!$A$4:$A$33,0), FALSE)</f>
        <v>2386.31</v>
      </c>
      <c r="S2" s="35">
        <f>HLOOKUP(S$1,  HDD!$B$4:$AP$33,   MATCH($A$2, HDD!$A$4:$A$33,0), FALSE)</f>
        <v>2516.2767899159662</v>
      </c>
      <c r="T2" s="35">
        <f>HLOOKUP(T$1,  HDD!$B$4:$AP$33,   MATCH($A$2, HDD!$A$4:$A$33,0), FALSE)</f>
        <v>2465.5419439775906</v>
      </c>
    </row>
    <row r="3" spans="1:23" x14ac:dyDescent="0.3">
      <c r="A3" s="97" t="s">
        <v>44</v>
      </c>
      <c r="B3" s="97" t="s">
        <v>303</v>
      </c>
      <c r="C3" s="97" t="s">
        <v>61</v>
      </c>
      <c r="D3" s="97" t="s">
        <v>62</v>
      </c>
      <c r="G3" s="8">
        <f>HLOOKUP(G$1, Pop!$B$8:$P$62, MATCH($A$3, Pop!$A$8:$A$62,0), FALSE)/1000000</f>
        <v>16.574988999999999</v>
      </c>
      <c r="H3" s="8">
        <f>HLOOKUP(H$1, Pop!$B$8:$P$62, MATCH($A$3, Pop!$A$8:$A$62,0), FALSE)/1000000</f>
        <v>16.655798999999998</v>
      </c>
      <c r="I3" s="8">
        <f>HLOOKUP(I$1, Pop!$B$8:$P$62, MATCH($A$3, Pop!$A$8:$A$62,0), FALSE)/1000000</f>
        <v>16.730347999999999</v>
      </c>
      <c r="J3" s="8">
        <f>HLOOKUP(J$1, Pop!$B$8:$P$62, MATCH($A$3, Pop!$A$8:$A$62,0), FALSE)/1000000</f>
        <v>16.779575000000001</v>
      </c>
      <c r="K3" s="8">
        <f>HLOOKUP(K$1, Pop!$B$8:$P$62, MATCH($A$3, Pop!$A$8:$A$62,0), FALSE)/1000000</f>
        <v>16.829288999999999</v>
      </c>
      <c r="L3" s="8">
        <f>HLOOKUP(L$1, Pop!$B$8:$P$62, MATCH($A$3, Pop!$A$8:$A$62,0), FALSE)/1000000</f>
        <v>16.900725999999999</v>
      </c>
      <c r="M3" s="8">
        <f>HLOOKUP(M$1, Pop!$B$8:$P$62, MATCH($A$3, Pop!$A$8:$A$62,0), FALSE)/1000000</f>
        <v>16.979120000000002</v>
      </c>
      <c r="N3" s="8">
        <f>HLOOKUP(N$1, Pop!$B$8:$P$62, MATCH($A$3, Pop!$A$8:$A$62,0), FALSE)/1000000</f>
        <v>17.081506999999998</v>
      </c>
      <c r="O3" s="8">
        <f>HLOOKUP(O$1, Pop!$B$8:$P$62, MATCH($A$3, Pop!$A$8:$A$62,0), FALSE)/1000000</f>
        <v>17.181083999999998</v>
      </c>
      <c r="P3" s="8">
        <f>HLOOKUP(P$1, Pop!$B$8:$P$62, MATCH($A$3, Pop!$A$8:$A$62,0), FALSE)/1000000</f>
        <v>17.282163000000001</v>
      </c>
      <c r="Q3" s="8">
        <f>HLOOKUP(Q$1, Pop!$B$8:$P$62, MATCH($A$3, Pop!$A$8:$A$62,0), FALSE)/1000000</f>
        <v>17.407585000000001</v>
      </c>
      <c r="R3" s="8"/>
      <c r="S3" s="8">
        <f>HLOOKUP(S$1, Pop!$B$8:$P$62, MATCH($A$3, Pop!$A$8:$A$62,0), FALSE)/1000000</f>
        <v>17.751055000000001</v>
      </c>
      <c r="T3" s="8">
        <f>HLOOKUP(T$1, Pop!$B$8:$P$62, MATCH($A$3, Pop!$A$8:$A$62,0), FALSE)/1000000</f>
        <v>17.969884</v>
      </c>
    </row>
    <row r="4" spans="1:23" x14ac:dyDescent="0.3">
      <c r="A4" s="97" t="s">
        <v>44</v>
      </c>
      <c r="B4" s="97" t="s">
        <v>303</v>
      </c>
      <c r="C4" s="97" t="s">
        <v>163</v>
      </c>
      <c r="D4" s="97" t="s">
        <v>64</v>
      </c>
      <c r="E4" s="10">
        <f t="shared" ref="E4:Q4" si="0">E13*1000/3600</f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0"/>
        <v>0</v>
      </c>
      <c r="N4" s="10">
        <f t="shared" si="0"/>
        <v>0</v>
      </c>
      <c r="O4" s="10">
        <f t="shared" si="0"/>
        <v>0</v>
      </c>
      <c r="P4" s="10">
        <f t="shared" si="0"/>
        <v>0</v>
      </c>
      <c r="Q4" s="10">
        <f t="shared" si="0"/>
        <v>0</v>
      </c>
    </row>
    <row r="5" spans="1:23" x14ac:dyDescent="0.3">
      <c r="A5" s="97" t="s">
        <v>44</v>
      </c>
      <c r="B5" s="97" t="s">
        <v>303</v>
      </c>
      <c r="C5" s="40" t="s">
        <v>80</v>
      </c>
      <c r="D5" s="97" t="s">
        <v>64</v>
      </c>
      <c r="G5" s="10">
        <f t="shared" ref="G5:O5" si="1">G20/$P$20*$P$5</f>
        <v>0</v>
      </c>
      <c r="H5" s="10">
        <f t="shared" si="1"/>
        <v>0</v>
      </c>
      <c r="I5" s="10">
        <f t="shared" si="1"/>
        <v>0</v>
      </c>
      <c r="J5" s="10">
        <f t="shared" si="1"/>
        <v>0</v>
      </c>
      <c r="K5" s="10">
        <f t="shared" si="1"/>
        <v>0</v>
      </c>
      <c r="L5" s="10">
        <f t="shared" si="1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>$R$23*P4</f>
        <v>0</v>
      </c>
      <c r="Q5" s="10">
        <f>TREND(G5:P5,G1:P1,Q1)</f>
        <v>0</v>
      </c>
      <c r="S5" s="10" t="e">
        <f>U10*S8</f>
        <v>#DIV/0!</v>
      </c>
      <c r="U5" s="97" t="s">
        <v>82</v>
      </c>
      <c r="V5" s="97" t="s">
        <v>83</v>
      </c>
      <c r="W5" s="97" t="s">
        <v>81</v>
      </c>
    </row>
    <row r="6" spans="1:23" x14ac:dyDescent="0.3">
      <c r="A6" s="97" t="s">
        <v>44</v>
      </c>
      <c r="B6" s="97" t="s">
        <v>303</v>
      </c>
      <c r="C6" s="40" t="s">
        <v>79</v>
      </c>
      <c r="D6" s="97" t="s">
        <v>64</v>
      </c>
      <c r="G6" s="10">
        <f>G4-G5</f>
        <v>0</v>
      </c>
      <c r="H6" s="10">
        <f t="shared" ref="H6:Q6" si="2">H4-H5</f>
        <v>0</v>
      </c>
      <c r="I6" s="10">
        <f t="shared" si="2"/>
        <v>0</v>
      </c>
      <c r="J6" s="10">
        <f t="shared" si="2"/>
        <v>0</v>
      </c>
      <c r="K6" s="10">
        <f t="shared" si="2"/>
        <v>0</v>
      </c>
      <c r="L6" s="10">
        <f t="shared" si="2"/>
        <v>0</v>
      </c>
      <c r="M6" s="10">
        <f t="shared" si="2"/>
        <v>0</v>
      </c>
      <c r="N6" s="10">
        <f t="shared" si="2"/>
        <v>0</v>
      </c>
      <c r="O6" s="10">
        <f t="shared" si="2"/>
        <v>0</v>
      </c>
      <c r="P6" s="10">
        <f t="shared" si="2"/>
        <v>0</v>
      </c>
      <c r="Q6" s="10">
        <f t="shared" si="2"/>
        <v>0</v>
      </c>
      <c r="U6" s="97">
        <f t="array" ref="U6:W6">LINEST(G6:Q6,G2:Q3)</f>
        <v>0</v>
      </c>
      <c r="V6" s="97">
        <v>0</v>
      </c>
      <c r="W6" s="97">
        <v>0</v>
      </c>
    </row>
    <row r="7" spans="1:23" x14ac:dyDescent="0.3">
      <c r="A7" s="97" t="s">
        <v>44</v>
      </c>
      <c r="B7" s="97" t="s">
        <v>303</v>
      </c>
      <c r="C7" s="40" t="s">
        <v>84</v>
      </c>
      <c r="D7" s="97" t="s">
        <v>64</v>
      </c>
      <c r="G7" s="47">
        <f t="shared" ref="G7:P7" si="3">G2*$V$6+G3*$U$6+$W$6</f>
        <v>0</v>
      </c>
      <c r="H7" s="47">
        <f t="shared" si="3"/>
        <v>0</v>
      </c>
      <c r="I7" s="47">
        <f t="shared" si="3"/>
        <v>0</v>
      </c>
      <c r="J7" s="47">
        <f t="shared" si="3"/>
        <v>0</v>
      </c>
      <c r="K7" s="47">
        <f t="shared" si="3"/>
        <v>0</v>
      </c>
      <c r="L7" s="47">
        <f t="shared" si="3"/>
        <v>0</v>
      </c>
      <c r="M7" s="47">
        <f t="shared" si="3"/>
        <v>0</v>
      </c>
      <c r="N7" s="47">
        <f t="shared" si="3"/>
        <v>0</v>
      </c>
      <c r="O7" s="47">
        <f t="shared" si="3"/>
        <v>0</v>
      </c>
      <c r="P7" s="47">
        <f t="shared" si="3"/>
        <v>0</v>
      </c>
      <c r="Q7" s="47">
        <f>Q2*$V$6+Q3*$U$6+$W$6</f>
        <v>0</v>
      </c>
    </row>
    <row r="8" spans="1:23" x14ac:dyDescent="0.3">
      <c r="A8" s="97" t="s">
        <v>44</v>
      </c>
      <c r="B8" s="97" t="s">
        <v>303</v>
      </c>
      <c r="C8" s="40" t="s">
        <v>85</v>
      </c>
      <c r="D8" s="97" t="s">
        <v>64</v>
      </c>
      <c r="G8" s="10">
        <f>G7+G5</f>
        <v>0</v>
      </c>
      <c r="H8" s="10">
        <f t="shared" ref="H8:P8" si="4">H7+H5</f>
        <v>0</v>
      </c>
      <c r="I8" s="10">
        <f t="shared" si="4"/>
        <v>0</v>
      </c>
      <c r="J8" s="10">
        <f t="shared" si="4"/>
        <v>0</v>
      </c>
      <c r="K8" s="10">
        <f t="shared" si="4"/>
        <v>0</v>
      </c>
      <c r="L8" s="10">
        <f t="shared" si="4"/>
        <v>0</v>
      </c>
      <c r="M8" s="10">
        <f t="shared" si="4"/>
        <v>0</v>
      </c>
      <c r="N8" s="10">
        <f t="shared" si="4"/>
        <v>0</v>
      </c>
      <c r="O8" s="10">
        <f t="shared" si="4"/>
        <v>0</v>
      </c>
      <c r="P8" s="10">
        <f t="shared" si="4"/>
        <v>0</v>
      </c>
      <c r="Q8" s="10">
        <f>Q7+Q5</f>
        <v>0</v>
      </c>
      <c r="S8" s="10">
        <f>TREND($G$8:$Q$8,$G$1:$Q$1,S$1)</f>
        <v>0</v>
      </c>
      <c r="T8" s="10">
        <f>TREND($G$8:$Q$8,$G$1:$Q$1,T$1)</f>
        <v>0</v>
      </c>
    </row>
    <row r="9" spans="1:23" x14ac:dyDescent="0.3">
      <c r="A9" s="97" t="s">
        <v>44</v>
      </c>
      <c r="B9" s="97" t="s">
        <v>303</v>
      </c>
      <c r="C9" s="40" t="s">
        <v>164</v>
      </c>
      <c r="G9" s="8" t="e">
        <f>G8/G4</f>
        <v>#DIV/0!</v>
      </c>
      <c r="H9" s="8" t="e">
        <f>H8/H4</f>
        <v>#DIV/0!</v>
      </c>
      <c r="I9" s="8" t="e">
        <f t="shared" ref="I9:Q9" si="5">I8/I4</f>
        <v>#DIV/0!</v>
      </c>
      <c r="J9" s="8" t="e">
        <f t="shared" si="5"/>
        <v>#DIV/0!</v>
      </c>
      <c r="K9" s="8" t="e">
        <f t="shared" si="5"/>
        <v>#DIV/0!</v>
      </c>
      <c r="L9" s="8" t="e">
        <f t="shared" si="5"/>
        <v>#DIV/0!</v>
      </c>
      <c r="M9" s="8" t="e">
        <f t="shared" si="5"/>
        <v>#DIV/0!</v>
      </c>
      <c r="N9" s="8" t="e">
        <f t="shared" si="5"/>
        <v>#DIV/0!</v>
      </c>
      <c r="O9" s="8" t="e">
        <f t="shared" si="5"/>
        <v>#DIV/0!</v>
      </c>
      <c r="P9" s="8" t="e">
        <f t="shared" si="5"/>
        <v>#DIV/0!</v>
      </c>
      <c r="Q9" s="8" t="e">
        <f t="shared" si="5"/>
        <v>#DIV/0!</v>
      </c>
    </row>
    <row r="10" spans="1:23" x14ac:dyDescent="0.3">
      <c r="A10" s="97" t="s">
        <v>44</v>
      </c>
      <c r="B10" s="97" t="s">
        <v>303</v>
      </c>
      <c r="C10" s="97" t="s">
        <v>174</v>
      </c>
      <c r="G10" s="8" t="e">
        <f>G5/G4</f>
        <v>#DIV/0!</v>
      </c>
      <c r="H10" s="8" t="e">
        <f>H5/H4</f>
        <v>#DIV/0!</v>
      </c>
      <c r="I10" s="8" t="e">
        <f t="shared" ref="I10:Q10" si="6">I5/I4</f>
        <v>#DIV/0!</v>
      </c>
      <c r="J10" s="8" t="e">
        <f t="shared" si="6"/>
        <v>#DIV/0!</v>
      </c>
      <c r="K10" s="8" t="e">
        <f t="shared" si="6"/>
        <v>#DIV/0!</v>
      </c>
      <c r="L10" s="8" t="e">
        <f t="shared" si="6"/>
        <v>#DIV/0!</v>
      </c>
      <c r="M10" s="8" t="e">
        <f t="shared" si="6"/>
        <v>#DIV/0!</v>
      </c>
      <c r="N10" s="8" t="e">
        <f t="shared" si="6"/>
        <v>#DIV/0!</v>
      </c>
      <c r="O10" s="8" t="e">
        <f t="shared" si="6"/>
        <v>#DIV/0!</v>
      </c>
      <c r="P10" s="8" t="e">
        <f t="shared" si="6"/>
        <v>#DIV/0!</v>
      </c>
      <c r="Q10" s="8" t="e">
        <f t="shared" si="6"/>
        <v>#DIV/0!</v>
      </c>
      <c r="R10" s="8"/>
      <c r="S10" s="8"/>
      <c r="T10" s="8" t="s">
        <v>173</v>
      </c>
      <c r="U10" s="8" t="e">
        <f>AVERAGE(G10:Q10)</f>
        <v>#DIV/0!</v>
      </c>
    </row>
    <row r="12" spans="1:23" x14ac:dyDescent="0.3">
      <c r="C12" s="40"/>
    </row>
    <row r="13" spans="1:23" x14ac:dyDescent="0.3">
      <c r="C13" s="63" t="s">
        <v>297</v>
      </c>
      <c r="D13" s="97" t="s">
        <v>296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5" spans="1:23" x14ac:dyDescent="0.3">
      <c r="C15" s="97" t="s">
        <v>247</v>
      </c>
    </row>
    <row r="16" spans="1:23" x14ac:dyDescent="0.3">
      <c r="C16" s="22" t="s">
        <v>72</v>
      </c>
      <c r="G16" s="23" t="s">
        <v>16</v>
      </c>
      <c r="H16" s="23" t="s">
        <v>17</v>
      </c>
      <c r="I16" s="23" t="s">
        <v>18</v>
      </c>
      <c r="J16" s="23" t="s">
        <v>19</v>
      </c>
      <c r="K16" s="23" t="s">
        <v>20</v>
      </c>
      <c r="L16" s="23" t="s">
        <v>21</v>
      </c>
      <c r="M16" s="23" t="s">
        <v>22</v>
      </c>
      <c r="N16" s="23" t="s">
        <v>23</v>
      </c>
      <c r="O16" s="23" t="s">
        <v>24</v>
      </c>
      <c r="P16" s="23" t="s">
        <v>25</v>
      </c>
    </row>
    <row r="17" spans="3:18" x14ac:dyDescent="0.3">
      <c r="C17" s="24" t="s">
        <v>73</v>
      </c>
      <c r="G17" s="101">
        <v>522520.005</v>
      </c>
      <c r="H17" s="101">
        <v>430445.11700000003</v>
      </c>
      <c r="I17" s="101">
        <v>454971.77100000001</v>
      </c>
      <c r="J17" s="101">
        <v>477820.39199999999</v>
      </c>
      <c r="K17" s="101">
        <v>381707.43699999998</v>
      </c>
      <c r="L17" s="101">
        <v>399721.88199999998</v>
      </c>
      <c r="M17" s="101">
        <v>411924.04100000003</v>
      </c>
      <c r="N17" s="101">
        <v>403102.07299999997</v>
      </c>
      <c r="O17" s="101">
        <v>403848.72100000002</v>
      </c>
      <c r="P17" s="101">
        <v>389699.20299999998</v>
      </c>
    </row>
    <row r="18" spans="3:18" x14ac:dyDescent="0.3">
      <c r="C18" s="24" t="s">
        <v>74</v>
      </c>
      <c r="G18" s="101">
        <v>373644.45299999998</v>
      </c>
      <c r="H18" s="101">
        <v>282370.48200000002</v>
      </c>
      <c r="I18" s="102">
        <v>305124.67</v>
      </c>
      <c r="J18" s="101">
        <v>327826.04800000001</v>
      </c>
      <c r="K18" s="101">
        <v>233770.163</v>
      </c>
      <c r="L18" s="101">
        <v>252175.14199999999</v>
      </c>
      <c r="M18" s="101">
        <v>264707.163</v>
      </c>
      <c r="N18" s="101">
        <v>256118.52299999999</v>
      </c>
      <c r="O18" s="101">
        <v>255989.079</v>
      </c>
      <c r="P18" s="101">
        <v>241021.38200000001</v>
      </c>
    </row>
    <row r="19" spans="3:18" x14ac:dyDescent="0.3">
      <c r="C19" s="24" t="s">
        <v>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3:18" x14ac:dyDescent="0.3">
      <c r="C20" s="24" t="s">
        <v>76</v>
      </c>
      <c r="G20" s="101">
        <v>65885.773000000001</v>
      </c>
      <c r="H20" s="101">
        <v>65309.425000000003</v>
      </c>
      <c r="I20" s="102">
        <v>66114.61</v>
      </c>
      <c r="J20" s="101">
        <v>66420.684999999998</v>
      </c>
      <c r="K20" s="101">
        <v>66457.736000000004</v>
      </c>
      <c r="L20" s="101">
        <v>66981.490999999995</v>
      </c>
      <c r="M20" s="101">
        <v>67074.664999999994</v>
      </c>
      <c r="N20" s="101">
        <v>67236.887000000002</v>
      </c>
      <c r="O20" s="101">
        <v>67409.740999999995</v>
      </c>
      <c r="P20" s="101">
        <v>67676.778000000006</v>
      </c>
    </row>
    <row r="21" spans="3:18" x14ac:dyDescent="0.3">
      <c r="C21" s="24" t="s">
        <v>77</v>
      </c>
      <c r="G21" s="25"/>
      <c r="H21" s="25"/>
      <c r="I21" s="25"/>
      <c r="J21" s="25"/>
      <c r="K21" s="25"/>
      <c r="L21" s="26"/>
      <c r="M21" s="27"/>
      <c r="N21" s="26"/>
      <c r="O21" s="27"/>
      <c r="P21" s="27"/>
    </row>
    <row r="22" spans="3:18" x14ac:dyDescent="0.3">
      <c r="R22" s="97" t="s">
        <v>78</v>
      </c>
    </row>
    <row r="23" spans="3:18" x14ac:dyDescent="0.3">
      <c r="C23" s="97" t="s">
        <v>167</v>
      </c>
      <c r="G23" s="8">
        <f>G20/(G20+G18)</f>
        <v>0.14990043710896006</v>
      </c>
      <c r="H23" s="8">
        <f t="shared" ref="H23:P23" si="7">H20/(H20+H18)</f>
        <v>0.18784354138704945</v>
      </c>
      <c r="I23" s="8">
        <f t="shared" si="7"/>
        <v>0.17809163405337927</v>
      </c>
      <c r="J23" s="8">
        <f t="shared" si="7"/>
        <v>0.16847491542815143</v>
      </c>
      <c r="K23" s="8">
        <f t="shared" si="7"/>
        <v>0.22135762939206396</v>
      </c>
      <c r="L23" s="8">
        <f t="shared" si="7"/>
        <v>0.20987027708115971</v>
      </c>
      <c r="M23" s="8">
        <f t="shared" si="7"/>
        <v>0.20216497511129511</v>
      </c>
      <c r="N23" s="8">
        <f t="shared" si="7"/>
        <v>0.20793493759699275</v>
      </c>
      <c r="O23" s="8">
        <f t="shared" si="7"/>
        <v>0.20844151812304074</v>
      </c>
      <c r="P23" s="8">
        <f t="shared" si="7"/>
        <v>0.2192328519224086</v>
      </c>
      <c r="R23" s="8">
        <f>AVERAGE(G23:P23)</f>
        <v>0.19533127172045012</v>
      </c>
    </row>
    <row r="27" spans="3:18" x14ac:dyDescent="0.3">
      <c r="R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2B46-4D1F-42A0-B952-1F29761A80BB}">
  <dimension ref="A1:W27"/>
  <sheetViews>
    <sheetView workbookViewId="0">
      <selection activeCell="Q4" sqref="Q4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5" width="9.5546875" style="97" customWidth="1"/>
    <col min="6" max="6" width="8.88671875" style="97"/>
    <col min="7" max="7" width="8.88671875" style="97" customWidth="1"/>
    <col min="8" max="16384" width="8.88671875" style="97"/>
  </cols>
  <sheetData>
    <row r="1" spans="1:23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2008</v>
      </c>
      <c r="F1" s="97">
        <v>2009</v>
      </c>
      <c r="G1" s="97">
        <v>2010</v>
      </c>
      <c r="H1" s="97">
        <v>2011</v>
      </c>
      <c r="I1" s="97">
        <v>2012</v>
      </c>
      <c r="J1" s="97">
        <v>2013</v>
      </c>
      <c r="K1" s="97">
        <v>2014</v>
      </c>
      <c r="L1" s="97">
        <v>2015</v>
      </c>
      <c r="M1" s="97">
        <v>2016</v>
      </c>
      <c r="N1" s="97">
        <v>2017</v>
      </c>
      <c r="O1" s="97">
        <v>2018</v>
      </c>
      <c r="P1" s="97">
        <v>2019</v>
      </c>
      <c r="Q1" s="97">
        <v>2020</v>
      </c>
      <c r="S1" s="97">
        <v>2025</v>
      </c>
      <c r="T1" s="97">
        <v>2030</v>
      </c>
    </row>
    <row r="2" spans="1:23" x14ac:dyDescent="0.3">
      <c r="A2" s="97" t="s">
        <v>35</v>
      </c>
      <c r="B2" s="97" t="s">
        <v>302</v>
      </c>
      <c r="C2" s="97" t="s">
        <v>60</v>
      </c>
      <c r="F2" s="35">
        <f>HLOOKUP(F$1,  HDD!$B$4:$AP$33,   MATCH($A$2, HDD!$A$4:$A$33,0), FALSE)</f>
        <v>2384.9299999999998</v>
      </c>
      <c r="G2" s="35">
        <f>HLOOKUP(G$1,  HDD!$B$4:$AP$33,   MATCH($A$2, HDD!$A$4:$A$33,0), FALSE)</f>
        <v>2756.06</v>
      </c>
      <c r="H2" s="35">
        <f>HLOOKUP(H$1,  HDD!$B$4:$AP$33,   MATCH($A$2, HDD!$A$4:$A$33,0), FALSE)</f>
        <v>2057.4899999999998</v>
      </c>
      <c r="I2" s="35">
        <f>HLOOKUP(I$1,  HDD!$B$4:$AP$33,   MATCH($A$2, HDD!$A$4:$A$33,0), FALSE)</f>
        <v>2439.2800000000002</v>
      </c>
      <c r="J2" s="35">
        <f>HLOOKUP(J$1,  HDD!$B$4:$AP$33,   MATCH($A$2, HDD!$A$4:$A$33,0), FALSE)</f>
        <v>2637.51</v>
      </c>
      <c r="K2" s="35">
        <f>HLOOKUP(K$1,  HDD!$B$4:$AP$33,   MATCH($A$2, HDD!$A$4:$A$33,0), FALSE)</f>
        <v>2080.89</v>
      </c>
      <c r="L2" s="35">
        <f>HLOOKUP(L$1,  HDD!$B$4:$AP$33,   MATCH($A$2, HDD!$A$4:$A$33,0), FALSE)</f>
        <v>2255.6999999999998</v>
      </c>
      <c r="M2" s="35">
        <f>HLOOKUP(M$1,  HDD!$B$4:$AP$33,   MATCH($A$2, HDD!$A$4:$A$33,0), FALSE)</f>
        <v>2397.9</v>
      </c>
      <c r="N2" s="35">
        <f>HLOOKUP(N$1,  HDD!$B$4:$AP$33,   MATCH($A$2, HDD!$A$4:$A$33,0), FALSE)</f>
        <v>2336</v>
      </c>
      <c r="O2" s="35">
        <f>HLOOKUP(O$1,  HDD!$B$4:$AP$33,   MATCH($A$2, HDD!$A$4:$A$33,0), FALSE)</f>
        <v>2181.92</v>
      </c>
      <c r="P2" s="35">
        <f>HLOOKUP(P$1,  HDD!$B$4:$AP$33,   MATCH($A$2, HDD!$A$4:$A$33,0), FALSE)</f>
        <v>2246.9499999999998</v>
      </c>
      <c r="Q2" s="35">
        <f>HLOOKUP(Q$1,  HDD!$B$4:$AP$33,   MATCH($A$2, HDD!$A$4:$A$33,0), FALSE)</f>
        <v>2037.95</v>
      </c>
      <c r="S2" s="35">
        <f>HLOOKUP(S$1,  HDD!$B$4:$AP$33,   MATCH($A$2, HDD!$A$4:$A$33,0), FALSE)</f>
        <v>2228.8649579831927</v>
      </c>
      <c r="T2" s="35">
        <f>HLOOKUP(T$1,  HDD!$B$4:$AP$33,   MATCH($A$2, HDD!$A$4:$A$33,0), FALSE)</f>
        <v>2189.4315126050424</v>
      </c>
    </row>
    <row r="3" spans="1:23" x14ac:dyDescent="0.3">
      <c r="A3" s="97" t="s">
        <v>35</v>
      </c>
      <c r="B3" s="97" t="s">
        <v>302</v>
      </c>
      <c r="C3" s="97" t="s">
        <v>61</v>
      </c>
      <c r="D3" s="97" t="s">
        <v>62</v>
      </c>
      <c r="G3" s="8">
        <f>HLOOKUP(G$1, Pop!$B$8:$P$62, MATCH($A$3, Pop!$A$8:$A$62,0), FALSE)/1000000</f>
        <v>64.658856</v>
      </c>
      <c r="H3" s="8">
        <f>HLOOKUP(H$1, Pop!$B$8:$P$62, MATCH($A$3, Pop!$A$8:$A$62,0), FALSE)/1000000</f>
        <v>64.978720999999993</v>
      </c>
      <c r="I3" s="8">
        <f>HLOOKUP(I$1, Pop!$B$8:$P$62, MATCH($A$3, Pop!$A$8:$A$62,0), FALSE)/1000000</f>
        <v>65.276983000000001</v>
      </c>
      <c r="J3" s="8">
        <f>HLOOKUP(J$1, Pop!$B$8:$P$62, MATCH($A$3, Pop!$A$8:$A$62,0), FALSE)/1000000</f>
        <v>65.600350000000006</v>
      </c>
      <c r="K3" s="8">
        <f>HLOOKUP(K$1, Pop!$B$8:$P$62, MATCH($A$3, Pop!$A$8:$A$62,0), FALSE)/1000000</f>
        <v>66.165980000000005</v>
      </c>
      <c r="L3" s="8">
        <f>HLOOKUP(L$1, Pop!$B$8:$P$62, MATCH($A$3, Pop!$A$8:$A$62,0), FALSE)/1000000</f>
        <v>66.458152999999996</v>
      </c>
      <c r="M3" s="8">
        <f>HLOOKUP(M$1, Pop!$B$8:$P$62, MATCH($A$3, Pop!$A$8:$A$62,0), FALSE)/1000000</f>
        <v>66.638390999999999</v>
      </c>
      <c r="N3" s="8">
        <f>HLOOKUP(N$1, Pop!$B$8:$P$62, MATCH($A$3, Pop!$A$8:$A$62,0), FALSE)/1000000</f>
        <v>66.809815999999998</v>
      </c>
      <c r="O3" s="8">
        <f>HLOOKUP(O$1, Pop!$B$8:$P$62, MATCH($A$3, Pop!$A$8:$A$62,0), FALSE)/1000000</f>
        <v>67.026223999999999</v>
      </c>
      <c r="P3" s="8">
        <f>HLOOKUP(P$1, Pop!$B$8:$P$62, MATCH($A$3, Pop!$A$8:$A$62,0), FALSE)/1000000</f>
        <v>67.290470999999997</v>
      </c>
      <c r="Q3" s="8">
        <f>HLOOKUP(Q$1, Pop!$B$8:$P$62, MATCH($A$3, Pop!$A$8:$A$62,0), FALSE)/1000000</f>
        <v>67.485530999999995</v>
      </c>
      <c r="R3" s="8"/>
      <c r="S3" s="8">
        <f>HLOOKUP(S$1, Pop!$B$8:$P$62, MATCH($A$3, Pop!$A$8:$A$62,0), FALSE)/1000000</f>
        <v>68.036807999999994</v>
      </c>
      <c r="T3" s="8">
        <f>HLOOKUP(T$1, Pop!$B$8:$P$62, MATCH($A$3, Pop!$A$8:$A$62,0), FALSE)/1000000</f>
        <v>68.749399999999994</v>
      </c>
    </row>
    <row r="4" spans="1:23" x14ac:dyDescent="0.3">
      <c r="A4" s="97" t="s">
        <v>35</v>
      </c>
      <c r="B4" s="97" t="s">
        <v>302</v>
      </c>
      <c r="C4" s="97" t="s">
        <v>163</v>
      </c>
      <c r="D4" s="97" t="s">
        <v>64</v>
      </c>
      <c r="E4" s="10"/>
      <c r="F4" s="10"/>
      <c r="G4" s="10"/>
      <c r="H4" s="10">
        <v>21802</v>
      </c>
      <c r="I4" s="10"/>
      <c r="J4" s="10">
        <v>23920</v>
      </c>
      <c r="K4" s="10"/>
      <c r="L4" s="10">
        <v>22769</v>
      </c>
      <c r="M4" s="10"/>
      <c r="N4" s="10">
        <v>25078</v>
      </c>
      <c r="O4" s="10"/>
      <c r="P4" s="10">
        <v>25560</v>
      </c>
      <c r="Q4" s="10"/>
    </row>
    <row r="5" spans="1:23" x14ac:dyDescent="0.3">
      <c r="A5" s="97" t="s">
        <v>35</v>
      </c>
      <c r="B5" s="97" t="s">
        <v>302</v>
      </c>
      <c r="C5" s="40" t="s">
        <v>80</v>
      </c>
      <c r="D5" s="97" t="s">
        <v>64</v>
      </c>
      <c r="G5" s="10">
        <f t="shared" ref="G5:O5" si="0">G20/$P$20*$P$5</f>
        <v>2872.1873498184759</v>
      </c>
      <c r="H5" s="10">
        <f t="shared" si="0"/>
        <v>2486.0142209301966</v>
      </c>
      <c r="I5" s="10">
        <f t="shared" si="0"/>
        <v>2508.5150442966606</v>
      </c>
      <c r="J5" s="10">
        <f t="shared" si="0"/>
        <v>2363.4300025443417</v>
      </c>
      <c r="K5" s="10">
        <f t="shared" si="0"/>
        <v>2327.259567904267</v>
      </c>
      <c r="L5" s="10">
        <f t="shared" si="0"/>
        <v>2326.3706333156374</v>
      </c>
      <c r="M5" s="10">
        <f t="shared" si="0"/>
        <v>2505.5974335360775</v>
      </c>
      <c r="N5" s="10">
        <f t="shared" si="0"/>
        <v>2247.4917704781092</v>
      </c>
      <c r="O5" s="10">
        <f t="shared" si="0"/>
        <v>2280.6438053132588</v>
      </c>
      <c r="P5" s="10">
        <f>$R$23*P4</f>
        <v>2306.7567576539659</v>
      </c>
      <c r="Q5" s="10">
        <f>TREND(G5:P5,G1:P1,Q1)</f>
        <v>2175.5609502622538</v>
      </c>
      <c r="S5" s="10" t="e">
        <f>U10*S8</f>
        <v>#DIV/0!</v>
      </c>
      <c r="U5" s="97" t="s">
        <v>82</v>
      </c>
      <c r="V5" s="97" t="s">
        <v>83</v>
      </c>
      <c r="W5" s="97" t="s">
        <v>81</v>
      </c>
    </row>
    <row r="6" spans="1:23" x14ac:dyDescent="0.3">
      <c r="A6" s="97" t="s">
        <v>35</v>
      </c>
      <c r="B6" s="97" t="s">
        <v>302</v>
      </c>
      <c r="C6" s="40" t="s">
        <v>79</v>
      </c>
      <c r="D6" s="97" t="s">
        <v>64</v>
      </c>
      <c r="G6" s="10">
        <f>G4-G5</f>
        <v>-2872.1873498184759</v>
      </c>
      <c r="H6" s="10">
        <f t="shared" ref="H6:Q6" si="1">H4-H5</f>
        <v>19315.985779069804</v>
      </c>
      <c r="I6" s="10">
        <f t="shared" si="1"/>
        <v>-2508.5150442966606</v>
      </c>
      <c r="J6" s="10">
        <f t="shared" si="1"/>
        <v>21556.569997455659</v>
      </c>
      <c r="K6" s="10">
        <f t="shared" si="1"/>
        <v>-2327.259567904267</v>
      </c>
      <c r="L6" s="10">
        <f t="shared" si="1"/>
        <v>20442.629366684363</v>
      </c>
      <c r="M6" s="10">
        <f t="shared" si="1"/>
        <v>-2505.5974335360775</v>
      </c>
      <c r="N6" s="10">
        <f t="shared" si="1"/>
        <v>22830.508229521889</v>
      </c>
      <c r="O6" s="10">
        <f t="shared" si="1"/>
        <v>-2280.6438053132588</v>
      </c>
      <c r="P6" s="10">
        <f t="shared" si="1"/>
        <v>23253.243242346034</v>
      </c>
      <c r="Q6" s="10">
        <f t="shared" si="1"/>
        <v>-2175.5609502622538</v>
      </c>
      <c r="U6" s="97">
        <f t="array" ref="U6:W6">LINEST(G6:Q6,G2:Q3)</f>
        <v>1000.3680223018553</v>
      </c>
      <c r="V6" s="97">
        <v>1.4943163193522282</v>
      </c>
      <c r="W6" s="97">
        <v>-61265.938133221309</v>
      </c>
    </row>
    <row r="7" spans="1:23" x14ac:dyDescent="0.3">
      <c r="A7" s="97" t="s">
        <v>35</v>
      </c>
      <c r="B7" s="97" t="s">
        <v>302</v>
      </c>
      <c r="C7" s="40" t="s">
        <v>84</v>
      </c>
      <c r="D7" s="97" t="s">
        <v>64</v>
      </c>
      <c r="G7" s="47">
        <f t="shared" ref="G7:P7" si="2">G2*$V$6+G3*$U$6+$W$6</f>
        <v>7535.1392029130366</v>
      </c>
      <c r="H7" s="47">
        <f t="shared" si="2"/>
        <v>6811.2373691567336</v>
      </c>
      <c r="I7" s="47">
        <f t="shared" si="2"/>
        <v>7680.1241637900239</v>
      </c>
      <c r="J7" s="47">
        <f t="shared" si="2"/>
        <v>8299.8284940429003</v>
      </c>
      <c r="K7" s="47">
        <f t="shared" si="2"/>
        <v>8033.9003088196623</v>
      </c>
      <c r="L7" s="47">
        <f t="shared" si="2"/>
        <v>8587.4022707856057</v>
      </c>
      <c r="M7" s="47">
        <f t="shared" si="2"/>
        <v>8980.198383001145</v>
      </c>
      <c r="N7" s="47">
        <f t="shared" si="2"/>
        <v>9059.1882910563436</v>
      </c>
      <c r="O7" s="47">
        <f t="shared" si="2"/>
        <v>9045.4316755408508</v>
      </c>
      <c r="P7" s="47">
        <f t="shared" si="2"/>
        <v>9406.9513145775272</v>
      </c>
      <c r="Q7" s="47">
        <f>Q2*$V$6+Q3*$U$6+$W$6</f>
        <v>9289.7709902631032</v>
      </c>
    </row>
    <row r="8" spans="1:23" x14ac:dyDescent="0.3">
      <c r="A8" s="97" t="s">
        <v>35</v>
      </c>
      <c r="B8" s="97" t="s">
        <v>302</v>
      </c>
      <c r="C8" s="40" t="s">
        <v>85</v>
      </c>
      <c r="D8" s="97" t="s">
        <v>64</v>
      </c>
      <c r="G8" s="10">
        <f>G7+G5</f>
        <v>10407.326552731512</v>
      </c>
      <c r="H8" s="10">
        <f t="shared" ref="H8:P8" si="3">H7+H5</f>
        <v>9297.2515900869294</v>
      </c>
      <c r="I8" s="10">
        <f t="shared" si="3"/>
        <v>10188.639208086684</v>
      </c>
      <c r="J8" s="10">
        <f t="shared" si="3"/>
        <v>10663.258496587241</v>
      </c>
      <c r="K8" s="10">
        <f t="shared" si="3"/>
        <v>10361.15987672393</v>
      </c>
      <c r="L8" s="10">
        <f t="shared" si="3"/>
        <v>10913.772904101243</v>
      </c>
      <c r="M8" s="10">
        <f t="shared" si="3"/>
        <v>11485.795816537222</v>
      </c>
      <c r="N8" s="10">
        <f t="shared" si="3"/>
        <v>11306.680061534453</v>
      </c>
      <c r="O8" s="10">
        <f t="shared" si="3"/>
        <v>11326.07548085411</v>
      </c>
      <c r="P8" s="10">
        <f t="shared" si="3"/>
        <v>11713.708072231493</v>
      </c>
      <c r="Q8" s="10">
        <f>Q7+Q5</f>
        <v>11465.331940525357</v>
      </c>
      <c r="S8" s="10">
        <f>TREND($G$8:$Q$8,$G$1:$Q$1,S$1)</f>
        <v>12718.967341414362</v>
      </c>
      <c r="T8" s="10">
        <f>TREND($G$8:$Q$8,$G$1:$Q$1,T$1)</f>
        <v>13663.496466666984</v>
      </c>
    </row>
    <row r="9" spans="1:23" x14ac:dyDescent="0.3">
      <c r="A9" s="97" t="s">
        <v>35</v>
      </c>
      <c r="B9" s="97" t="s">
        <v>302</v>
      </c>
      <c r="C9" s="40" t="s">
        <v>164</v>
      </c>
      <c r="G9" s="8" t="e">
        <f>G8/G4</f>
        <v>#DIV/0!</v>
      </c>
      <c r="H9" s="8">
        <f>H8/H4</f>
        <v>0.42644030777391656</v>
      </c>
      <c r="I9" s="8" t="e">
        <f t="shared" ref="I9:Q9" si="4">I8/I4</f>
        <v>#DIV/0!</v>
      </c>
      <c r="J9" s="8">
        <f t="shared" si="4"/>
        <v>0.44578839868675757</v>
      </c>
      <c r="K9" s="8" t="e">
        <f t="shared" si="4"/>
        <v>#DIV/0!</v>
      </c>
      <c r="L9" s="8">
        <f t="shared" si="4"/>
        <v>0.47932596530814892</v>
      </c>
      <c r="M9" s="8" t="e">
        <f t="shared" si="4"/>
        <v>#DIV/0!</v>
      </c>
      <c r="N9" s="8">
        <f t="shared" si="4"/>
        <v>0.45086051764632157</v>
      </c>
      <c r="O9" s="8" t="e">
        <f t="shared" si="4"/>
        <v>#DIV/0!</v>
      </c>
      <c r="P9" s="8">
        <f t="shared" si="4"/>
        <v>0.45828278842846215</v>
      </c>
      <c r="Q9" s="8" t="e">
        <f t="shared" si="4"/>
        <v>#DIV/0!</v>
      </c>
    </row>
    <row r="10" spans="1:23" x14ac:dyDescent="0.3">
      <c r="A10" s="97" t="s">
        <v>35</v>
      </c>
      <c r="B10" s="97" t="s">
        <v>302</v>
      </c>
      <c r="C10" s="97" t="s">
        <v>174</v>
      </c>
      <c r="G10" s="8" t="e">
        <f>G5/G4</f>
        <v>#DIV/0!</v>
      </c>
      <c r="H10" s="8">
        <f>H5/H4</f>
        <v>0.11402688840153181</v>
      </c>
      <c r="I10" s="8" t="e">
        <f t="shared" ref="I10:Q10" si="5">I5/I4</f>
        <v>#DIV/0!</v>
      </c>
      <c r="J10" s="8">
        <f t="shared" si="5"/>
        <v>9.8805602113057764E-2</v>
      </c>
      <c r="K10" s="8" t="e">
        <f t="shared" si="5"/>
        <v>#DIV/0!</v>
      </c>
      <c r="L10" s="8">
        <f t="shared" si="5"/>
        <v>0.10217271875425524</v>
      </c>
      <c r="M10" s="8" t="e">
        <f t="shared" si="5"/>
        <v>#DIV/0!</v>
      </c>
      <c r="N10" s="8">
        <f t="shared" si="5"/>
        <v>8.9620056243644192E-2</v>
      </c>
      <c r="O10" s="8" t="e">
        <f t="shared" si="5"/>
        <v>#DIV/0!</v>
      </c>
      <c r="P10" s="8">
        <f t="shared" si="5"/>
        <v>9.0248699438731067E-2</v>
      </c>
      <c r="Q10" s="8" t="e">
        <f t="shared" si="5"/>
        <v>#DIV/0!</v>
      </c>
      <c r="R10" s="8"/>
      <c r="S10" s="8"/>
      <c r="T10" s="8" t="s">
        <v>173</v>
      </c>
      <c r="U10" s="8" t="e">
        <f>AVERAGE(G10:Q10)</f>
        <v>#DIV/0!</v>
      </c>
    </row>
    <row r="12" spans="1:23" x14ac:dyDescent="0.3">
      <c r="C12" s="40"/>
    </row>
    <row r="13" spans="1:23" x14ac:dyDescent="0.3">
      <c r="C13" s="63" t="s">
        <v>297</v>
      </c>
      <c r="D13" s="97" t="s">
        <v>296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5" spans="1:23" x14ac:dyDescent="0.3">
      <c r="C15" s="97" t="s">
        <v>247</v>
      </c>
    </row>
    <row r="16" spans="1:23" x14ac:dyDescent="0.3">
      <c r="C16" s="22" t="s">
        <v>72</v>
      </c>
      <c r="G16" s="23" t="s">
        <v>16</v>
      </c>
      <c r="H16" s="23" t="s">
        <v>17</v>
      </c>
      <c r="I16" s="23" t="s">
        <v>18</v>
      </c>
      <c r="J16" s="23" t="s">
        <v>19</v>
      </c>
      <c r="K16" s="23" t="s">
        <v>20</v>
      </c>
      <c r="L16" s="23" t="s">
        <v>21</v>
      </c>
      <c r="M16" s="23" t="s">
        <v>22</v>
      </c>
      <c r="N16" s="23" t="s">
        <v>23</v>
      </c>
      <c r="O16" s="23" t="s">
        <v>24</v>
      </c>
      <c r="P16" s="23" t="s">
        <v>25</v>
      </c>
    </row>
    <row r="17" spans="3:18" x14ac:dyDescent="0.3">
      <c r="C17" s="24" t="s">
        <v>73</v>
      </c>
      <c r="G17" s="83">
        <v>1901125.4580000001</v>
      </c>
      <c r="H17" s="83">
        <v>1668779.527</v>
      </c>
      <c r="I17" s="83">
        <v>1839262.2279999999</v>
      </c>
      <c r="J17" s="83">
        <v>1930655.317</v>
      </c>
      <c r="K17" s="83">
        <v>1591792.314</v>
      </c>
      <c r="L17" s="83">
        <v>1681615.2409999999</v>
      </c>
      <c r="M17" s="83">
        <v>1763542.3589999999</v>
      </c>
      <c r="N17" s="83">
        <v>1732906.8189999999</v>
      </c>
      <c r="O17" s="83">
        <v>1675271.4639999999</v>
      </c>
      <c r="P17" s="83">
        <v>1668294.0220000001</v>
      </c>
    </row>
    <row r="18" spans="3:18" x14ac:dyDescent="0.3">
      <c r="C18" s="24" t="s">
        <v>74</v>
      </c>
      <c r="G18" s="83">
        <v>1348210.9820000001</v>
      </c>
      <c r="H18" s="83">
        <v>1100456.4779999999</v>
      </c>
      <c r="I18" s="83">
        <v>1255230.7890000001</v>
      </c>
      <c r="J18" s="83">
        <v>1334244.9839999999</v>
      </c>
      <c r="K18" s="83">
        <v>1018310.8540000001</v>
      </c>
      <c r="L18" s="83">
        <v>1104372.9680000001</v>
      </c>
      <c r="M18" s="83">
        <v>1180210.585</v>
      </c>
      <c r="N18" s="83">
        <v>1146239.9539999999</v>
      </c>
      <c r="O18" s="83">
        <v>1091216.2290000001</v>
      </c>
      <c r="P18" s="83">
        <v>1089110.598</v>
      </c>
    </row>
    <row r="19" spans="3:18" x14ac:dyDescent="0.3">
      <c r="C19" s="24" t="s">
        <v>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3:18" x14ac:dyDescent="0.3">
      <c r="C20" s="24" t="s">
        <v>76</v>
      </c>
      <c r="G20" s="101">
        <v>136757.196</v>
      </c>
      <c r="H20" s="101">
        <v>118369.83199999999</v>
      </c>
      <c r="I20" s="101">
        <v>119441.193</v>
      </c>
      <c r="J20" s="102">
        <v>112533.07</v>
      </c>
      <c r="K20" s="102">
        <v>110810.84</v>
      </c>
      <c r="L20" s="101">
        <v>110768.514</v>
      </c>
      <c r="M20" s="101">
        <v>119302.273</v>
      </c>
      <c r="N20" s="101">
        <v>107012.75199999999</v>
      </c>
      <c r="O20" s="101">
        <v>108591.26300000001</v>
      </c>
      <c r="P20" s="101">
        <v>109834.613</v>
      </c>
    </row>
    <row r="21" spans="3:18" x14ac:dyDescent="0.3">
      <c r="C21" s="24" t="s">
        <v>77</v>
      </c>
      <c r="G21" s="25"/>
      <c r="H21" s="25"/>
      <c r="I21" s="25"/>
      <c r="J21" s="25"/>
      <c r="K21" s="25"/>
      <c r="L21" s="26"/>
      <c r="M21" s="27"/>
      <c r="N21" s="26"/>
      <c r="O21" s="27"/>
      <c r="P21" s="27"/>
    </row>
    <row r="22" spans="3:18" x14ac:dyDescent="0.3">
      <c r="R22" s="97" t="s">
        <v>78</v>
      </c>
    </row>
    <row r="23" spans="3:18" x14ac:dyDescent="0.3">
      <c r="C23" s="97" t="s">
        <v>167</v>
      </c>
      <c r="G23" s="8">
        <f>G20/(G20+G18)</f>
        <v>9.2094361364826488E-2</v>
      </c>
      <c r="H23" s="8">
        <f t="shared" ref="H23:P23" si="6">H20/(H20+H18)</f>
        <v>9.711788384351501E-2</v>
      </c>
      <c r="I23" s="8">
        <f t="shared" si="6"/>
        <v>8.6887049830044472E-2</v>
      </c>
      <c r="J23" s="8">
        <f t="shared" si="6"/>
        <v>7.7781847525867989E-2</v>
      </c>
      <c r="K23" s="8">
        <f t="shared" si="6"/>
        <v>9.8138969952338881E-2</v>
      </c>
      <c r="L23" s="8">
        <f t="shared" si="6"/>
        <v>9.1156886371524581E-2</v>
      </c>
      <c r="M23" s="8">
        <f t="shared" si="6"/>
        <v>9.1805380966842265E-2</v>
      </c>
      <c r="N23" s="8">
        <f t="shared" si="6"/>
        <v>8.5388007931418736E-2</v>
      </c>
      <c r="O23" s="8">
        <f t="shared" si="6"/>
        <v>9.0507238639580018E-2</v>
      </c>
      <c r="P23" s="8">
        <f t="shared" si="6"/>
        <v>9.1609367961352162E-2</v>
      </c>
      <c r="R23" s="8">
        <f>AVERAGE(G23:P23)</f>
        <v>9.0248699438731067E-2</v>
      </c>
    </row>
    <row r="27" spans="3:18" x14ac:dyDescent="0.3">
      <c r="R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1402-4583-42EE-8BE0-FAA617EA4FA3}">
  <dimension ref="A1:W27"/>
  <sheetViews>
    <sheetView workbookViewId="0">
      <selection activeCell="E13" sqref="E13:Q13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5" width="9.5546875" style="97" customWidth="1"/>
    <col min="6" max="6" width="8.88671875" style="97"/>
    <col min="7" max="7" width="8.88671875" style="97" customWidth="1"/>
    <col min="8" max="16384" width="8.88671875" style="97"/>
  </cols>
  <sheetData>
    <row r="1" spans="1:23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2008</v>
      </c>
      <c r="F1" s="97">
        <v>2009</v>
      </c>
      <c r="G1" s="97">
        <v>2010</v>
      </c>
      <c r="H1" s="97">
        <v>2011</v>
      </c>
      <c r="I1" s="97">
        <v>2012</v>
      </c>
      <c r="J1" s="97">
        <v>2013</v>
      </c>
      <c r="K1" s="97">
        <v>2014</v>
      </c>
      <c r="L1" s="97">
        <v>2015</v>
      </c>
      <c r="M1" s="97">
        <v>2016</v>
      </c>
      <c r="N1" s="97">
        <v>2017</v>
      </c>
      <c r="O1" s="97">
        <v>2018</v>
      </c>
      <c r="P1" s="97">
        <v>2019</v>
      </c>
      <c r="Q1" s="97">
        <v>2020</v>
      </c>
      <c r="S1" s="97">
        <v>2025</v>
      </c>
      <c r="T1" s="97">
        <v>2030</v>
      </c>
    </row>
    <row r="2" spans="1:23" x14ac:dyDescent="0.3">
      <c r="A2" s="97" t="s">
        <v>49</v>
      </c>
      <c r="B2" s="97" t="s">
        <v>301</v>
      </c>
      <c r="C2" s="97" t="s">
        <v>60</v>
      </c>
      <c r="F2" s="35">
        <f>HLOOKUP(F$1,  HDD!$B$4:$AP$33,   MATCH($A$2, HDD!$A$4:$A$33,0), FALSE)</f>
        <v>1720.56</v>
      </c>
      <c r="G2" s="35">
        <f>HLOOKUP(G$1,  HDD!$B$4:$AP$33,   MATCH($A$2, HDD!$A$4:$A$33,0), FALSE)</f>
        <v>1953.46</v>
      </c>
      <c r="H2" s="35">
        <f>HLOOKUP(H$1,  HDD!$B$4:$AP$33,   MATCH($A$2, HDD!$A$4:$A$33,0), FALSE)</f>
        <v>1572.46</v>
      </c>
      <c r="I2" s="35">
        <f>HLOOKUP(I$1,  HDD!$B$4:$AP$33,   MATCH($A$2, HDD!$A$4:$A$33,0), FALSE)</f>
        <v>1873.15</v>
      </c>
      <c r="J2" s="35">
        <f>HLOOKUP(J$1,  HDD!$B$4:$AP$33,   MATCH($A$2, HDD!$A$4:$A$33,0), FALSE)</f>
        <v>1921.25</v>
      </c>
      <c r="K2" s="35">
        <f>HLOOKUP(K$1,  HDD!$B$4:$AP$33,   MATCH($A$2, HDD!$A$4:$A$33,0), FALSE)</f>
        <v>1554.36</v>
      </c>
      <c r="L2" s="35">
        <f>HLOOKUP(L$1,  HDD!$B$4:$AP$33,   MATCH($A$2, HDD!$A$4:$A$33,0), FALSE)</f>
        <v>1610.6</v>
      </c>
      <c r="M2" s="35">
        <f>HLOOKUP(M$1,  HDD!$B$4:$AP$33,   MATCH($A$2, HDD!$A$4:$A$33,0), FALSE)</f>
        <v>1724.77</v>
      </c>
      <c r="N2" s="35">
        <f>HLOOKUP(N$1,  HDD!$B$4:$AP$33,   MATCH($A$2, HDD!$A$4:$A$33,0), FALSE)</f>
        <v>1606.48</v>
      </c>
      <c r="O2" s="35">
        <f>HLOOKUP(O$1,  HDD!$B$4:$AP$33,   MATCH($A$2, HDD!$A$4:$A$33,0), FALSE)</f>
        <v>1796.63</v>
      </c>
      <c r="P2" s="35">
        <f>HLOOKUP(P$1,  HDD!$B$4:$AP$33,   MATCH($A$2, HDD!$A$4:$A$33,0), FALSE)</f>
        <v>1670.72</v>
      </c>
      <c r="Q2" s="35">
        <f>HLOOKUP(Q$1,  HDD!$B$4:$AP$33,   MATCH($A$2, HDD!$A$4:$A$33,0), FALSE)</f>
        <v>1553.94</v>
      </c>
      <c r="S2" s="35">
        <f>HLOOKUP(S$1,  HDD!$B$4:$AP$33,   MATCH($A$2, HDD!$A$4:$A$33,0), FALSE)</f>
        <v>1659.0839411764719</v>
      </c>
      <c r="T2" s="35">
        <f>HLOOKUP(T$1,  HDD!$B$4:$AP$33,   MATCH($A$2, HDD!$A$4:$A$33,0), FALSE)</f>
        <v>1630.984879551821</v>
      </c>
    </row>
    <row r="3" spans="1:23" x14ac:dyDescent="0.3">
      <c r="A3" s="97" t="s">
        <v>49</v>
      </c>
      <c r="B3" s="97" t="s">
        <v>301</v>
      </c>
      <c r="C3" s="97" t="s">
        <v>61</v>
      </c>
      <c r="D3" s="97" t="s">
        <v>62</v>
      </c>
      <c r="G3" s="8">
        <f>HLOOKUP(G$1, Pop!$B$8:$P$62, MATCH($A$3, Pop!$A$8:$A$62,0), FALSE)/1000000</f>
        <v>46.486618999999997</v>
      </c>
      <c r="H3" s="8">
        <f>HLOOKUP(H$1, Pop!$B$8:$P$62, MATCH($A$3, Pop!$A$8:$A$62,0), FALSE)/1000000</f>
        <v>46.667174000000003</v>
      </c>
      <c r="I3" s="8">
        <f>HLOOKUP(I$1, Pop!$B$8:$P$62, MATCH($A$3, Pop!$A$8:$A$62,0), FALSE)/1000000</f>
        <v>46.818218999999999</v>
      </c>
      <c r="J3" s="8">
        <f>HLOOKUP(J$1, Pop!$B$8:$P$62, MATCH($A$3, Pop!$A$8:$A$62,0), FALSE)/1000000</f>
        <v>46.727890000000002</v>
      </c>
      <c r="K3" s="8">
        <f>HLOOKUP(K$1, Pop!$B$8:$P$62, MATCH($A$3, Pop!$A$8:$A$62,0), FALSE)/1000000</f>
        <v>46.512199000000003</v>
      </c>
      <c r="L3" s="8">
        <f>HLOOKUP(L$1, Pop!$B$8:$P$62, MATCH($A$3, Pop!$A$8:$A$62,0), FALSE)/1000000</f>
        <v>46.449565</v>
      </c>
      <c r="M3" s="8">
        <f>HLOOKUP(M$1, Pop!$B$8:$P$62, MATCH($A$3, Pop!$A$8:$A$62,0), FALSE)/1000000</f>
        <v>46.440098999999996</v>
      </c>
      <c r="N3" s="8">
        <f>HLOOKUP(N$1, Pop!$B$8:$P$62, MATCH($A$3, Pop!$A$8:$A$62,0), FALSE)/1000000</f>
        <v>46.528024000000002</v>
      </c>
      <c r="O3" s="8">
        <f>HLOOKUP(O$1, Pop!$B$8:$P$62, MATCH($A$3, Pop!$A$8:$A$62,0), FALSE)/1000000</f>
        <v>46.658447000000002</v>
      </c>
      <c r="P3" s="8">
        <f>HLOOKUP(P$1, Pop!$B$8:$P$62, MATCH($A$3, Pop!$A$8:$A$62,0), FALSE)/1000000</f>
        <v>46.937060000000002</v>
      </c>
      <c r="Q3" s="8">
        <f>HLOOKUP(Q$1, Pop!$B$8:$P$62, MATCH($A$3, Pop!$A$8:$A$62,0), FALSE)/1000000</f>
        <v>47.332614</v>
      </c>
      <c r="R3" s="8"/>
      <c r="S3" s="8">
        <f>HLOOKUP(S$1, Pop!$B$8:$P$62, MATCH($A$3, Pop!$A$8:$A$62,0), FALSE)/1000000</f>
        <v>48.310619000000003</v>
      </c>
      <c r="T3" s="8">
        <f>HLOOKUP(T$1, Pop!$B$8:$P$62, MATCH($A$3, Pop!$A$8:$A$62,0), FALSE)/1000000</f>
        <v>48.746398999999997</v>
      </c>
    </row>
    <row r="4" spans="1:23" x14ac:dyDescent="0.3">
      <c r="A4" s="97" t="s">
        <v>49</v>
      </c>
      <c r="B4" s="97" t="s">
        <v>301</v>
      </c>
      <c r="C4" s="97" t="s">
        <v>163</v>
      </c>
      <c r="D4" s="97" t="s">
        <v>64</v>
      </c>
      <c r="E4" s="10">
        <f t="shared" ref="E4:Q4" si="0">E13*1000/3600</f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0"/>
        <v>0</v>
      </c>
      <c r="N4" s="10">
        <f t="shared" si="0"/>
        <v>0</v>
      </c>
      <c r="O4" s="10">
        <f t="shared" si="0"/>
        <v>0</v>
      </c>
      <c r="P4" s="10">
        <f t="shared" si="0"/>
        <v>0</v>
      </c>
      <c r="Q4" s="10">
        <f t="shared" si="0"/>
        <v>0</v>
      </c>
    </row>
    <row r="5" spans="1:23" x14ac:dyDescent="0.3">
      <c r="A5" s="97" t="s">
        <v>49</v>
      </c>
      <c r="B5" s="97" t="s">
        <v>301</v>
      </c>
      <c r="C5" s="40" t="s">
        <v>80</v>
      </c>
      <c r="D5" s="97" t="s">
        <v>64</v>
      </c>
      <c r="G5" s="10">
        <f t="shared" ref="G5:O5" si="1">G20/$P$20*$P$5</f>
        <v>0</v>
      </c>
      <c r="H5" s="10">
        <f t="shared" si="1"/>
        <v>0</v>
      </c>
      <c r="I5" s="10">
        <f t="shared" si="1"/>
        <v>0</v>
      </c>
      <c r="J5" s="10">
        <f t="shared" si="1"/>
        <v>0</v>
      </c>
      <c r="K5" s="10">
        <f t="shared" si="1"/>
        <v>0</v>
      </c>
      <c r="L5" s="10">
        <f t="shared" si="1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>$R$23*P4</f>
        <v>0</v>
      </c>
      <c r="Q5" s="10">
        <f>TREND(G5:P5,G1:P1,Q1)</f>
        <v>0</v>
      </c>
      <c r="S5" s="10" t="e">
        <f>U10*S8</f>
        <v>#DIV/0!</v>
      </c>
      <c r="U5" s="97" t="s">
        <v>82</v>
      </c>
      <c r="V5" s="97" t="s">
        <v>83</v>
      </c>
      <c r="W5" s="97" t="s">
        <v>81</v>
      </c>
    </row>
    <row r="6" spans="1:23" x14ac:dyDescent="0.3">
      <c r="A6" s="97" t="s">
        <v>49</v>
      </c>
      <c r="B6" s="97" t="s">
        <v>301</v>
      </c>
      <c r="C6" s="40" t="s">
        <v>79</v>
      </c>
      <c r="D6" s="97" t="s">
        <v>64</v>
      </c>
      <c r="G6" s="10">
        <f>G4-G5</f>
        <v>0</v>
      </c>
      <c r="H6" s="10">
        <f t="shared" ref="H6:Q6" si="2">H4-H5</f>
        <v>0</v>
      </c>
      <c r="I6" s="10">
        <f t="shared" si="2"/>
        <v>0</v>
      </c>
      <c r="J6" s="10">
        <f t="shared" si="2"/>
        <v>0</v>
      </c>
      <c r="K6" s="10">
        <f t="shared" si="2"/>
        <v>0</v>
      </c>
      <c r="L6" s="10">
        <f t="shared" si="2"/>
        <v>0</v>
      </c>
      <c r="M6" s="10">
        <f t="shared" si="2"/>
        <v>0</v>
      </c>
      <c r="N6" s="10">
        <f t="shared" si="2"/>
        <v>0</v>
      </c>
      <c r="O6" s="10">
        <f t="shared" si="2"/>
        <v>0</v>
      </c>
      <c r="P6" s="10">
        <f t="shared" si="2"/>
        <v>0</v>
      </c>
      <c r="Q6" s="10">
        <f t="shared" si="2"/>
        <v>0</v>
      </c>
      <c r="U6" s="97">
        <f t="array" ref="U6:W6">LINEST(G6:Q6,G2:Q3)</f>
        <v>0</v>
      </c>
      <c r="V6" s="97">
        <v>0</v>
      </c>
      <c r="W6" s="97">
        <v>0</v>
      </c>
    </row>
    <row r="7" spans="1:23" x14ac:dyDescent="0.3">
      <c r="A7" s="97" t="s">
        <v>49</v>
      </c>
      <c r="B7" s="97" t="s">
        <v>301</v>
      </c>
      <c r="C7" s="40" t="s">
        <v>84</v>
      </c>
      <c r="D7" s="97" t="s">
        <v>64</v>
      </c>
      <c r="G7" s="47">
        <f t="shared" ref="G7:P7" si="3">G2*$V$6+G3*$U$6+$W$6</f>
        <v>0</v>
      </c>
      <c r="H7" s="47">
        <f t="shared" si="3"/>
        <v>0</v>
      </c>
      <c r="I7" s="47">
        <f t="shared" si="3"/>
        <v>0</v>
      </c>
      <c r="J7" s="47">
        <f t="shared" si="3"/>
        <v>0</v>
      </c>
      <c r="K7" s="47">
        <f t="shared" si="3"/>
        <v>0</v>
      </c>
      <c r="L7" s="47">
        <f t="shared" si="3"/>
        <v>0</v>
      </c>
      <c r="M7" s="47">
        <f t="shared" si="3"/>
        <v>0</v>
      </c>
      <c r="N7" s="47">
        <f t="shared" si="3"/>
        <v>0</v>
      </c>
      <c r="O7" s="47">
        <f t="shared" si="3"/>
        <v>0</v>
      </c>
      <c r="P7" s="47">
        <f t="shared" si="3"/>
        <v>0</v>
      </c>
      <c r="Q7" s="47">
        <f>Q2*$V$6+Q3*$U$6+$W$6</f>
        <v>0</v>
      </c>
    </row>
    <row r="8" spans="1:23" x14ac:dyDescent="0.3">
      <c r="A8" s="97" t="s">
        <v>49</v>
      </c>
      <c r="B8" s="97" t="s">
        <v>301</v>
      </c>
      <c r="C8" s="40" t="s">
        <v>85</v>
      </c>
      <c r="D8" s="97" t="s">
        <v>64</v>
      </c>
      <c r="G8" s="10">
        <f>G7+G5</f>
        <v>0</v>
      </c>
      <c r="H8" s="10">
        <f t="shared" ref="H8:P8" si="4">H7+H5</f>
        <v>0</v>
      </c>
      <c r="I8" s="10">
        <f t="shared" si="4"/>
        <v>0</v>
      </c>
      <c r="J8" s="10">
        <f t="shared" si="4"/>
        <v>0</v>
      </c>
      <c r="K8" s="10">
        <f t="shared" si="4"/>
        <v>0</v>
      </c>
      <c r="L8" s="10">
        <f t="shared" si="4"/>
        <v>0</v>
      </c>
      <c r="M8" s="10">
        <f t="shared" si="4"/>
        <v>0</v>
      </c>
      <c r="N8" s="10">
        <f t="shared" si="4"/>
        <v>0</v>
      </c>
      <c r="O8" s="10">
        <f t="shared" si="4"/>
        <v>0</v>
      </c>
      <c r="P8" s="10">
        <f t="shared" si="4"/>
        <v>0</v>
      </c>
      <c r="Q8" s="10">
        <f>Q7+Q5</f>
        <v>0</v>
      </c>
      <c r="S8" s="10">
        <f>TREND($G$8:$Q$8,$G$1:$Q$1,S$1)</f>
        <v>0</v>
      </c>
      <c r="T8" s="10">
        <f>TREND($G$8:$Q$8,$G$1:$Q$1,T$1)</f>
        <v>0</v>
      </c>
    </row>
    <row r="9" spans="1:23" x14ac:dyDescent="0.3">
      <c r="A9" s="97" t="s">
        <v>49</v>
      </c>
      <c r="B9" s="97" t="s">
        <v>301</v>
      </c>
      <c r="C9" s="40" t="s">
        <v>164</v>
      </c>
      <c r="G9" s="8" t="e">
        <f>G8/G4</f>
        <v>#DIV/0!</v>
      </c>
      <c r="H9" s="8" t="e">
        <f>H8/H4</f>
        <v>#DIV/0!</v>
      </c>
      <c r="I9" s="8" t="e">
        <f t="shared" ref="I9:Q9" si="5">I8/I4</f>
        <v>#DIV/0!</v>
      </c>
      <c r="J9" s="8" t="e">
        <f t="shared" si="5"/>
        <v>#DIV/0!</v>
      </c>
      <c r="K9" s="8" t="e">
        <f t="shared" si="5"/>
        <v>#DIV/0!</v>
      </c>
      <c r="L9" s="8" t="e">
        <f t="shared" si="5"/>
        <v>#DIV/0!</v>
      </c>
      <c r="M9" s="8" t="e">
        <f t="shared" si="5"/>
        <v>#DIV/0!</v>
      </c>
      <c r="N9" s="8" t="e">
        <f t="shared" si="5"/>
        <v>#DIV/0!</v>
      </c>
      <c r="O9" s="8" t="e">
        <f t="shared" si="5"/>
        <v>#DIV/0!</v>
      </c>
      <c r="P9" s="8" t="e">
        <f t="shared" si="5"/>
        <v>#DIV/0!</v>
      </c>
      <c r="Q9" s="8" t="e">
        <f t="shared" si="5"/>
        <v>#DIV/0!</v>
      </c>
    </row>
    <row r="10" spans="1:23" x14ac:dyDescent="0.3">
      <c r="A10" s="97" t="s">
        <v>49</v>
      </c>
      <c r="B10" s="97" t="s">
        <v>301</v>
      </c>
      <c r="C10" s="97" t="s">
        <v>174</v>
      </c>
      <c r="G10" s="8" t="e">
        <f>G5/G4</f>
        <v>#DIV/0!</v>
      </c>
      <c r="H10" s="8" t="e">
        <f>H5/H4</f>
        <v>#DIV/0!</v>
      </c>
      <c r="I10" s="8" t="e">
        <f t="shared" ref="I10:Q10" si="6">I5/I4</f>
        <v>#DIV/0!</v>
      </c>
      <c r="J10" s="8" t="e">
        <f t="shared" si="6"/>
        <v>#DIV/0!</v>
      </c>
      <c r="K10" s="8" t="e">
        <f t="shared" si="6"/>
        <v>#DIV/0!</v>
      </c>
      <c r="L10" s="8" t="e">
        <f t="shared" si="6"/>
        <v>#DIV/0!</v>
      </c>
      <c r="M10" s="8" t="e">
        <f t="shared" si="6"/>
        <v>#DIV/0!</v>
      </c>
      <c r="N10" s="8" t="e">
        <f t="shared" si="6"/>
        <v>#DIV/0!</v>
      </c>
      <c r="O10" s="8" t="e">
        <f t="shared" si="6"/>
        <v>#DIV/0!</v>
      </c>
      <c r="P10" s="8" t="e">
        <f t="shared" si="6"/>
        <v>#DIV/0!</v>
      </c>
      <c r="Q10" s="8" t="e">
        <f t="shared" si="6"/>
        <v>#DIV/0!</v>
      </c>
      <c r="R10" s="8"/>
      <c r="S10" s="8"/>
      <c r="T10" s="8" t="s">
        <v>173</v>
      </c>
      <c r="U10" s="8" t="e">
        <f>AVERAGE(G10:Q10)</f>
        <v>#DIV/0!</v>
      </c>
    </row>
    <row r="12" spans="1:23" x14ac:dyDescent="0.3">
      <c r="C12" s="40"/>
    </row>
    <row r="13" spans="1:23" x14ac:dyDescent="0.3">
      <c r="C13" s="63" t="s">
        <v>297</v>
      </c>
      <c r="D13" s="97" t="s">
        <v>296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5" spans="1:23" x14ac:dyDescent="0.3">
      <c r="C15" s="97" t="s">
        <v>247</v>
      </c>
    </row>
    <row r="16" spans="1:23" x14ac:dyDescent="0.3">
      <c r="C16" s="22" t="s">
        <v>72</v>
      </c>
      <c r="G16" s="23" t="s">
        <v>16</v>
      </c>
      <c r="H16" s="23" t="s">
        <v>17</v>
      </c>
      <c r="I16" s="23" t="s">
        <v>18</v>
      </c>
      <c r="J16" s="23" t="s">
        <v>19</v>
      </c>
      <c r="K16" s="23" t="s">
        <v>20</v>
      </c>
      <c r="L16" s="23" t="s">
        <v>21</v>
      </c>
      <c r="M16" s="23" t="s">
        <v>22</v>
      </c>
      <c r="N16" s="23" t="s">
        <v>23</v>
      </c>
      <c r="O16" s="23" t="s">
        <v>24</v>
      </c>
      <c r="P16" s="23" t="s">
        <v>25</v>
      </c>
    </row>
    <row r="17" spans="3:18" x14ac:dyDescent="0.3">
      <c r="C17" s="24" t="s">
        <v>73</v>
      </c>
      <c r="G17" s="101">
        <v>710959.65700000001</v>
      </c>
      <c r="H17" s="101">
        <v>656419.995</v>
      </c>
      <c r="I17" s="101">
        <v>652130.00399999996</v>
      </c>
      <c r="J17" s="102">
        <v>625114.56999999995</v>
      </c>
      <c r="K17" s="101">
        <v>620535.228</v>
      </c>
      <c r="L17" s="101">
        <v>628329.23199999996</v>
      </c>
      <c r="M17" s="101">
        <v>637059.31400000001</v>
      </c>
      <c r="N17" s="102">
        <v>612366.93999999994</v>
      </c>
      <c r="O17" s="102">
        <v>628556.41</v>
      </c>
      <c r="P17" s="101">
        <v>617314.21900000004</v>
      </c>
    </row>
    <row r="18" spans="3:18" x14ac:dyDescent="0.3">
      <c r="C18" s="24" t="s">
        <v>74</v>
      </c>
      <c r="G18" s="101">
        <v>305417.75900000002</v>
      </c>
      <c r="H18" s="101">
        <v>273931.12699999998</v>
      </c>
      <c r="I18" s="101">
        <v>271258.46399999998</v>
      </c>
      <c r="J18" s="101">
        <v>267135.38299999997</v>
      </c>
      <c r="K18" s="101">
        <v>268486.25300000003</v>
      </c>
      <c r="L18" s="101">
        <v>279088.005</v>
      </c>
      <c r="M18" s="102">
        <v>278059.93</v>
      </c>
      <c r="N18" s="101">
        <v>263855.484</v>
      </c>
      <c r="O18" s="101">
        <v>268222.57199999999</v>
      </c>
      <c r="P18" s="101">
        <v>261964.071</v>
      </c>
    </row>
    <row r="19" spans="3:18" x14ac:dyDescent="0.3">
      <c r="C19" s="24" t="s">
        <v>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3:18" x14ac:dyDescent="0.3">
      <c r="C20" s="24" t="s">
        <v>76</v>
      </c>
      <c r="G20" s="101">
        <v>136757.196</v>
      </c>
      <c r="H20" s="101">
        <v>118369.83199999999</v>
      </c>
      <c r="I20" s="101">
        <v>119441.193</v>
      </c>
      <c r="J20" s="102">
        <v>112533.07</v>
      </c>
      <c r="K20" s="102">
        <v>110810.84</v>
      </c>
      <c r="L20" s="101">
        <v>110768.514</v>
      </c>
      <c r="M20" s="101">
        <v>119302.273</v>
      </c>
      <c r="N20" s="101">
        <v>107012.75199999999</v>
      </c>
      <c r="O20" s="101">
        <v>108591.26300000001</v>
      </c>
      <c r="P20" s="101">
        <v>109834.613</v>
      </c>
    </row>
    <row r="21" spans="3:18" x14ac:dyDescent="0.3">
      <c r="C21" s="24" t="s">
        <v>77</v>
      </c>
      <c r="G21" s="25"/>
      <c r="H21" s="25"/>
      <c r="I21" s="25"/>
      <c r="J21" s="25"/>
      <c r="K21" s="25"/>
      <c r="L21" s="26"/>
      <c r="M21" s="27"/>
      <c r="N21" s="26"/>
      <c r="O21" s="27"/>
      <c r="P21" s="27"/>
    </row>
    <row r="22" spans="3:18" x14ac:dyDescent="0.3">
      <c r="R22" s="97" t="s">
        <v>78</v>
      </c>
    </row>
    <row r="23" spans="3:18" x14ac:dyDescent="0.3">
      <c r="C23" s="97" t="s">
        <v>167</v>
      </c>
      <c r="G23" s="8">
        <f>G20/(G20+G18)</f>
        <v>0.30928299862664088</v>
      </c>
      <c r="H23" s="8">
        <f t="shared" ref="H23:P23" si="7">H20/(H20+H18)</f>
        <v>0.30173220147544938</v>
      </c>
      <c r="I23" s="8">
        <f t="shared" si="7"/>
        <v>0.30571102600174538</v>
      </c>
      <c r="J23" s="8">
        <f t="shared" si="7"/>
        <v>0.29639826303925232</v>
      </c>
      <c r="K23" s="8">
        <f t="shared" si="7"/>
        <v>0.29214787575500872</v>
      </c>
      <c r="L23" s="8">
        <f t="shared" si="7"/>
        <v>0.28412636085739024</v>
      </c>
      <c r="M23" s="8">
        <f t="shared" si="7"/>
        <v>0.30023558380563942</v>
      </c>
      <c r="N23" s="8">
        <f t="shared" si="7"/>
        <v>0.28854655538631785</v>
      </c>
      <c r="O23" s="8">
        <f t="shared" si="7"/>
        <v>0.28818279190837037</v>
      </c>
      <c r="P23" s="8">
        <f t="shared" si="7"/>
        <v>0.29541420593086337</v>
      </c>
      <c r="R23" s="8">
        <f>AVERAGE(G23:P23)</f>
        <v>0.29617778627866781</v>
      </c>
    </row>
    <row r="27" spans="3:18" x14ac:dyDescent="0.3">
      <c r="R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134F-9EF1-4673-B923-C3C8E3AF205A}">
  <dimension ref="A1:W27"/>
  <sheetViews>
    <sheetView topLeftCell="C1" workbookViewId="0">
      <selection activeCell="E13" sqref="E13:Q13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5" width="9.5546875" style="97" customWidth="1"/>
    <col min="6" max="6" width="8.88671875" style="97"/>
    <col min="7" max="7" width="8.88671875" style="97" customWidth="1"/>
    <col min="8" max="16384" width="8.88671875" style="97"/>
  </cols>
  <sheetData>
    <row r="1" spans="1:23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2008</v>
      </c>
      <c r="F1" s="97">
        <v>2009</v>
      </c>
      <c r="G1" s="97">
        <v>2010</v>
      </c>
      <c r="H1" s="97">
        <v>2011</v>
      </c>
      <c r="I1" s="97">
        <v>2012</v>
      </c>
      <c r="J1" s="97">
        <v>2013</v>
      </c>
      <c r="K1" s="97">
        <v>2014</v>
      </c>
      <c r="L1" s="97">
        <v>2015</v>
      </c>
      <c r="M1" s="97">
        <v>2016</v>
      </c>
      <c r="N1" s="97">
        <v>2017</v>
      </c>
      <c r="O1" s="97">
        <v>2018</v>
      </c>
      <c r="P1" s="97">
        <v>2019</v>
      </c>
      <c r="Q1" s="97">
        <v>2020</v>
      </c>
      <c r="S1" s="97">
        <v>2025</v>
      </c>
      <c r="T1" s="97">
        <v>2030</v>
      </c>
    </row>
    <row r="2" spans="1:23" x14ac:dyDescent="0.3">
      <c r="A2" s="97" t="s">
        <v>27</v>
      </c>
      <c r="B2" s="97" t="s">
        <v>300</v>
      </c>
      <c r="C2" s="97" t="s">
        <v>60</v>
      </c>
      <c r="F2" s="35">
        <f>HLOOKUP(F$1,  HDD!$B$4:$AP$33,   MATCH($A$2, HDD!$A$4:$A$33,0), FALSE)</f>
        <v>2692.13</v>
      </c>
      <c r="G2" s="35">
        <f>HLOOKUP(G$1,  HDD!$B$4:$AP$33,   MATCH($A$2, HDD!$A$4:$A$33,0), FALSE)</f>
        <v>3193.64</v>
      </c>
      <c r="H2" s="35">
        <f>HLOOKUP(H$1,  HDD!$B$4:$AP$33,   MATCH($A$2, HDD!$A$4:$A$33,0), FALSE)</f>
        <v>2404.6799999999998</v>
      </c>
      <c r="I2" s="35">
        <f>HLOOKUP(I$1,  HDD!$B$4:$AP$33,   MATCH($A$2, HDD!$A$4:$A$33,0), FALSE)</f>
        <v>2766.54</v>
      </c>
      <c r="J2" s="35">
        <f>HLOOKUP(J$1,  HDD!$B$4:$AP$33,   MATCH($A$2, HDD!$A$4:$A$33,0), FALSE)</f>
        <v>3021.71</v>
      </c>
      <c r="K2" s="35">
        <f>HLOOKUP(K$1,  HDD!$B$4:$AP$33,   MATCH($A$2, HDD!$A$4:$A$33,0), FALSE)</f>
        <v>2323.21</v>
      </c>
      <c r="L2" s="35">
        <f>HLOOKUP(L$1,  HDD!$B$4:$AP$33,   MATCH($A$2, HDD!$A$4:$A$33,0), FALSE)</f>
        <v>2632.63</v>
      </c>
      <c r="M2" s="35">
        <f>HLOOKUP(M$1,  HDD!$B$4:$AP$33,   MATCH($A$2, HDD!$A$4:$A$33,0), FALSE)</f>
        <v>2695.22</v>
      </c>
      <c r="N2" s="35">
        <f>HLOOKUP(N$1,  HDD!$B$4:$AP$33,   MATCH($A$2, HDD!$A$4:$A$33,0), FALSE)</f>
        <v>2584.09</v>
      </c>
      <c r="O2" s="35">
        <f>HLOOKUP(O$1,  HDD!$B$4:$AP$33,   MATCH($A$2, HDD!$A$4:$A$33,0), FALSE)</f>
        <v>2511.15</v>
      </c>
      <c r="P2" s="35">
        <f>HLOOKUP(P$1,  HDD!$B$4:$AP$33,   MATCH($A$2, HDD!$A$4:$A$33,0), FALSE)</f>
        <v>2532.36</v>
      </c>
      <c r="Q2" s="35">
        <f>HLOOKUP(Q$1,  HDD!$B$4:$AP$33,   MATCH($A$2, HDD!$A$4:$A$33,0), FALSE)</f>
        <v>2339.71</v>
      </c>
      <c r="S2" s="35">
        <f>HLOOKUP(S$1,  HDD!$B$4:$AP$33,   MATCH($A$2, HDD!$A$4:$A$33,0), FALSE)</f>
        <v>2525.2108739495779</v>
      </c>
      <c r="T2" s="35">
        <f>HLOOKUP(T$1,  HDD!$B$4:$AP$33,   MATCH($A$2, HDD!$A$4:$A$33,0), FALSE)</f>
        <v>2482.1567282913165</v>
      </c>
    </row>
    <row r="3" spans="1:23" x14ac:dyDescent="0.3">
      <c r="A3" s="97" t="s">
        <v>27</v>
      </c>
      <c r="B3" s="97" t="s">
        <v>300</v>
      </c>
      <c r="C3" s="97" t="s">
        <v>61</v>
      </c>
      <c r="D3" s="97" t="s">
        <v>62</v>
      </c>
      <c r="G3" s="8">
        <f>HLOOKUP(G$1, Pop!$B$8:$P$62, MATCH($A$3, Pop!$A$8:$A$62,0), FALSE)/1000000</f>
        <v>10.839905</v>
      </c>
      <c r="H3" s="8">
        <f>HLOOKUP(H$1, Pop!$B$8:$P$62, MATCH($A$3, Pop!$A$8:$A$62,0), FALSE)/1000000</f>
        <v>11.000638</v>
      </c>
      <c r="I3" s="8">
        <f>HLOOKUP(I$1, Pop!$B$8:$P$62, MATCH($A$3, Pop!$A$8:$A$62,0), FALSE)/1000000</f>
        <v>11.075889</v>
      </c>
      <c r="J3" s="8">
        <f>HLOOKUP(J$1, Pop!$B$8:$P$62, MATCH($A$3, Pop!$A$8:$A$62,0), FALSE)/1000000</f>
        <v>11.137974</v>
      </c>
      <c r="K3" s="8">
        <f>HLOOKUP(K$1, Pop!$B$8:$P$62, MATCH($A$3, Pop!$A$8:$A$62,0), FALSE)/1000000</f>
        <v>11.18084</v>
      </c>
      <c r="L3" s="8">
        <f>HLOOKUP(L$1, Pop!$B$8:$P$62, MATCH($A$3, Pop!$A$8:$A$62,0), FALSE)/1000000</f>
        <v>11.237273999999999</v>
      </c>
      <c r="M3" s="8">
        <f>HLOOKUP(M$1, Pop!$B$8:$P$62, MATCH($A$3, Pop!$A$8:$A$62,0), FALSE)/1000000</f>
        <v>11.311116999999999</v>
      </c>
      <c r="N3" s="8">
        <f>HLOOKUP(N$1, Pop!$B$8:$P$62, MATCH($A$3, Pop!$A$8:$A$62,0), FALSE)/1000000</f>
        <v>11.351727</v>
      </c>
      <c r="O3" s="8">
        <f>HLOOKUP(O$1, Pop!$B$8:$P$62, MATCH($A$3, Pop!$A$8:$A$62,0), FALSE)/1000000</f>
        <v>11.398588999999999</v>
      </c>
      <c r="P3" s="8">
        <f>HLOOKUP(P$1, Pop!$B$8:$P$62, MATCH($A$3, Pop!$A$8:$A$62,0), FALSE)/1000000</f>
        <v>11.455519000000001</v>
      </c>
      <c r="Q3" s="8">
        <f>HLOOKUP(Q$1, Pop!$B$8:$P$62, MATCH($A$3, Pop!$A$8:$A$62,0), FALSE)/1000000</f>
        <v>11.52244</v>
      </c>
      <c r="R3" s="8"/>
      <c r="S3" s="8">
        <f>HLOOKUP(S$1, Pop!$B$8:$P$62, MATCH($A$3, Pop!$A$8:$A$62,0), FALSE)/1000000</f>
        <v>11.661206</v>
      </c>
      <c r="T3" s="8">
        <f>HLOOKUP(T$1, Pop!$B$8:$P$62, MATCH($A$3, Pop!$A$8:$A$62,0), FALSE)/1000000</f>
        <v>11.757989999999999</v>
      </c>
    </row>
    <row r="4" spans="1:23" x14ac:dyDescent="0.3">
      <c r="A4" s="97" t="s">
        <v>27</v>
      </c>
      <c r="B4" s="97" t="s">
        <v>300</v>
      </c>
      <c r="C4" s="97" t="s">
        <v>163</v>
      </c>
      <c r="D4" s="97" t="s">
        <v>64</v>
      </c>
      <c r="E4" s="10">
        <f t="shared" ref="E4:Q4" si="0">E13*1000/3600</f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0"/>
        <v>0</v>
      </c>
      <c r="N4" s="10">
        <f t="shared" si="0"/>
        <v>0</v>
      </c>
      <c r="O4" s="10">
        <f t="shared" si="0"/>
        <v>0</v>
      </c>
      <c r="P4" s="10">
        <f t="shared" si="0"/>
        <v>0</v>
      </c>
      <c r="Q4" s="10">
        <f t="shared" si="0"/>
        <v>0</v>
      </c>
    </row>
    <row r="5" spans="1:23" x14ac:dyDescent="0.3">
      <c r="A5" s="97" t="s">
        <v>27</v>
      </c>
      <c r="B5" s="97" t="s">
        <v>300</v>
      </c>
      <c r="C5" s="40" t="s">
        <v>80</v>
      </c>
      <c r="D5" s="97" t="s">
        <v>64</v>
      </c>
      <c r="G5" s="10">
        <f t="shared" ref="G5:L5" si="1">TREND($M$5:$P$5,$M$1:$P$1,G1)</f>
        <v>0</v>
      </c>
      <c r="H5" s="10">
        <f t="shared" si="1"/>
        <v>0</v>
      </c>
      <c r="I5" s="10">
        <f t="shared" si="1"/>
        <v>0</v>
      </c>
      <c r="J5" s="10">
        <f t="shared" si="1"/>
        <v>0</v>
      </c>
      <c r="K5" s="10">
        <f t="shared" si="1"/>
        <v>0</v>
      </c>
      <c r="L5" s="10">
        <f t="shared" si="1"/>
        <v>0</v>
      </c>
      <c r="M5" s="10">
        <f>M20/$P$20*$P$5</f>
        <v>0</v>
      </c>
      <c r="N5" s="10">
        <f t="shared" ref="N5" si="2">N20/$P$20*$P$5</f>
        <v>0</v>
      </c>
      <c r="O5" s="10">
        <f>O20/$P$20*$P$5</f>
        <v>0</v>
      </c>
      <c r="P5" s="10">
        <f>$R$23*P4</f>
        <v>0</v>
      </c>
      <c r="Q5" s="10">
        <f>TREND($M$5:$P$5,$M$1:$P$1,Q1)</f>
        <v>0</v>
      </c>
      <c r="S5" s="10" t="e">
        <f>U10*S8</f>
        <v>#DIV/0!</v>
      </c>
      <c r="U5" s="97" t="s">
        <v>82</v>
      </c>
      <c r="V5" s="97" t="s">
        <v>83</v>
      </c>
      <c r="W5" s="97" t="s">
        <v>81</v>
      </c>
    </row>
    <row r="6" spans="1:23" x14ac:dyDescent="0.3">
      <c r="A6" s="97" t="s">
        <v>27</v>
      </c>
      <c r="B6" s="97" t="s">
        <v>300</v>
      </c>
      <c r="C6" s="40" t="s">
        <v>79</v>
      </c>
      <c r="D6" s="97" t="s">
        <v>64</v>
      </c>
      <c r="G6" s="10">
        <f>G4-G5</f>
        <v>0</v>
      </c>
      <c r="H6" s="10">
        <f t="shared" ref="H6:Q6" si="3">H4-H5</f>
        <v>0</v>
      </c>
      <c r="I6" s="10">
        <f t="shared" si="3"/>
        <v>0</v>
      </c>
      <c r="J6" s="10">
        <f t="shared" si="3"/>
        <v>0</v>
      </c>
      <c r="K6" s="10">
        <f t="shared" si="3"/>
        <v>0</v>
      </c>
      <c r="L6" s="10">
        <f t="shared" si="3"/>
        <v>0</v>
      </c>
      <c r="M6" s="10">
        <f t="shared" si="3"/>
        <v>0</v>
      </c>
      <c r="N6" s="10">
        <f t="shared" si="3"/>
        <v>0</v>
      </c>
      <c r="O6" s="10">
        <f t="shared" si="3"/>
        <v>0</v>
      </c>
      <c r="P6" s="10">
        <f t="shared" si="3"/>
        <v>0</v>
      </c>
      <c r="Q6" s="10">
        <f t="shared" si="3"/>
        <v>0</v>
      </c>
      <c r="U6" s="97">
        <f t="array" ref="U6:W6">LINEST(G6:Q6,G2:Q3)</f>
        <v>0</v>
      </c>
      <c r="V6" s="97">
        <v>0</v>
      </c>
      <c r="W6" s="97">
        <v>0</v>
      </c>
    </row>
    <row r="7" spans="1:23" x14ac:dyDescent="0.3">
      <c r="A7" s="97" t="s">
        <v>27</v>
      </c>
      <c r="B7" s="97" t="s">
        <v>300</v>
      </c>
      <c r="C7" s="40" t="s">
        <v>84</v>
      </c>
      <c r="D7" s="97" t="s">
        <v>64</v>
      </c>
      <c r="G7" s="47">
        <f t="shared" ref="G7:P7" si="4">G2*$V$6+G3*$U$6+$W$6</f>
        <v>0</v>
      </c>
      <c r="H7" s="47">
        <f t="shared" si="4"/>
        <v>0</v>
      </c>
      <c r="I7" s="47">
        <f t="shared" si="4"/>
        <v>0</v>
      </c>
      <c r="J7" s="47">
        <f t="shared" si="4"/>
        <v>0</v>
      </c>
      <c r="K7" s="47">
        <f t="shared" si="4"/>
        <v>0</v>
      </c>
      <c r="L7" s="47">
        <f t="shared" si="4"/>
        <v>0</v>
      </c>
      <c r="M7" s="47">
        <f t="shared" si="4"/>
        <v>0</v>
      </c>
      <c r="N7" s="47">
        <f t="shared" si="4"/>
        <v>0</v>
      </c>
      <c r="O7" s="47">
        <f t="shared" si="4"/>
        <v>0</v>
      </c>
      <c r="P7" s="47">
        <f t="shared" si="4"/>
        <v>0</v>
      </c>
      <c r="Q7" s="47">
        <f>Q2*$V$6+Q3*$U$6+$W$6</f>
        <v>0</v>
      </c>
    </row>
    <row r="8" spans="1:23" x14ac:dyDescent="0.3">
      <c r="A8" s="97" t="s">
        <v>27</v>
      </c>
      <c r="B8" s="97" t="s">
        <v>300</v>
      </c>
      <c r="C8" s="40" t="s">
        <v>85</v>
      </c>
      <c r="D8" s="97" t="s">
        <v>64</v>
      </c>
      <c r="G8" s="10">
        <f>G7+G5</f>
        <v>0</v>
      </c>
      <c r="H8" s="10">
        <f t="shared" ref="H8:P8" si="5">H7+H5</f>
        <v>0</v>
      </c>
      <c r="I8" s="10">
        <f t="shared" si="5"/>
        <v>0</v>
      </c>
      <c r="J8" s="10">
        <f t="shared" si="5"/>
        <v>0</v>
      </c>
      <c r="K8" s="10">
        <f t="shared" si="5"/>
        <v>0</v>
      </c>
      <c r="L8" s="10">
        <f t="shared" si="5"/>
        <v>0</v>
      </c>
      <c r="M8" s="10">
        <f t="shared" si="5"/>
        <v>0</v>
      </c>
      <c r="N8" s="10">
        <f t="shared" si="5"/>
        <v>0</v>
      </c>
      <c r="O8" s="10">
        <f t="shared" si="5"/>
        <v>0</v>
      </c>
      <c r="P8" s="10">
        <f t="shared" si="5"/>
        <v>0</v>
      </c>
      <c r="Q8" s="10">
        <f>Q7+Q5</f>
        <v>0</v>
      </c>
      <c r="S8" s="10">
        <f>TREND($G$8:$Q$8,$G$1:$Q$1,S$1)</f>
        <v>0</v>
      </c>
      <c r="T8" s="10">
        <f>TREND($G$8:$Q$8,$G$1:$Q$1,T$1)</f>
        <v>0</v>
      </c>
    </row>
    <row r="9" spans="1:23" x14ac:dyDescent="0.3">
      <c r="A9" s="97" t="s">
        <v>27</v>
      </c>
      <c r="B9" s="97" t="s">
        <v>300</v>
      </c>
      <c r="C9" s="40" t="s">
        <v>164</v>
      </c>
      <c r="G9" s="8" t="e">
        <f>G8/G4</f>
        <v>#DIV/0!</v>
      </c>
      <c r="H9" s="8" t="e">
        <f>H8/H4</f>
        <v>#DIV/0!</v>
      </c>
      <c r="I9" s="8" t="e">
        <f t="shared" ref="I9:Q9" si="6">I8/I4</f>
        <v>#DIV/0!</v>
      </c>
      <c r="J9" s="8" t="e">
        <f t="shared" si="6"/>
        <v>#DIV/0!</v>
      </c>
      <c r="K9" s="8" t="e">
        <f t="shared" si="6"/>
        <v>#DIV/0!</v>
      </c>
      <c r="L9" s="8" t="e">
        <f t="shared" si="6"/>
        <v>#DIV/0!</v>
      </c>
      <c r="M9" s="8" t="e">
        <f t="shared" si="6"/>
        <v>#DIV/0!</v>
      </c>
      <c r="N9" s="8" t="e">
        <f t="shared" si="6"/>
        <v>#DIV/0!</v>
      </c>
      <c r="O9" s="8" t="e">
        <f t="shared" si="6"/>
        <v>#DIV/0!</v>
      </c>
      <c r="P9" s="8" t="e">
        <f t="shared" si="6"/>
        <v>#DIV/0!</v>
      </c>
      <c r="Q9" s="8" t="e">
        <f t="shared" si="6"/>
        <v>#DIV/0!</v>
      </c>
    </row>
    <row r="10" spans="1:23" x14ac:dyDescent="0.3">
      <c r="A10" s="97" t="s">
        <v>27</v>
      </c>
      <c r="B10" s="97" t="s">
        <v>300</v>
      </c>
      <c r="C10" s="97" t="s">
        <v>174</v>
      </c>
      <c r="G10" s="8" t="e">
        <f>G5/G4</f>
        <v>#DIV/0!</v>
      </c>
      <c r="H10" s="8" t="e">
        <f>H5/H4</f>
        <v>#DIV/0!</v>
      </c>
      <c r="I10" s="8" t="e">
        <f t="shared" ref="I10:Q10" si="7">I5/I4</f>
        <v>#DIV/0!</v>
      </c>
      <c r="J10" s="8" t="e">
        <f t="shared" si="7"/>
        <v>#DIV/0!</v>
      </c>
      <c r="K10" s="8" t="e">
        <f t="shared" si="7"/>
        <v>#DIV/0!</v>
      </c>
      <c r="L10" s="8" t="e">
        <f t="shared" si="7"/>
        <v>#DIV/0!</v>
      </c>
      <c r="M10" s="8" t="e">
        <f t="shared" si="7"/>
        <v>#DIV/0!</v>
      </c>
      <c r="N10" s="8" t="e">
        <f t="shared" si="7"/>
        <v>#DIV/0!</v>
      </c>
      <c r="O10" s="8" t="e">
        <f t="shared" si="7"/>
        <v>#DIV/0!</v>
      </c>
      <c r="P10" s="8" t="e">
        <f t="shared" si="7"/>
        <v>#DIV/0!</v>
      </c>
      <c r="Q10" s="8" t="e">
        <f t="shared" si="7"/>
        <v>#DIV/0!</v>
      </c>
      <c r="R10" s="8"/>
      <c r="S10" s="8"/>
      <c r="T10" s="8" t="s">
        <v>173</v>
      </c>
      <c r="U10" s="8" t="e">
        <f>AVERAGE(G10:Q10)</f>
        <v>#DIV/0!</v>
      </c>
    </row>
    <row r="12" spans="1:23" x14ac:dyDescent="0.3">
      <c r="C12" s="40"/>
    </row>
    <row r="13" spans="1:23" x14ac:dyDescent="0.3">
      <c r="C13" s="63" t="s">
        <v>297</v>
      </c>
      <c r="D13" s="97" t="s">
        <v>296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5" spans="1:23" x14ac:dyDescent="0.3">
      <c r="C15" s="97" t="s">
        <v>247</v>
      </c>
    </row>
    <row r="16" spans="1:23" x14ac:dyDescent="0.3">
      <c r="C16" s="22" t="s">
        <v>72</v>
      </c>
      <c r="G16" s="23" t="s">
        <v>16</v>
      </c>
      <c r="H16" s="23" t="s">
        <v>17</v>
      </c>
      <c r="I16" s="23" t="s">
        <v>18</v>
      </c>
      <c r="J16" s="23" t="s">
        <v>19</v>
      </c>
      <c r="K16" s="23" t="s">
        <v>20</v>
      </c>
      <c r="L16" s="23" t="s">
        <v>21</v>
      </c>
      <c r="M16" s="23" t="s">
        <v>22</v>
      </c>
      <c r="N16" s="23" t="s">
        <v>23</v>
      </c>
      <c r="O16" s="23" t="s">
        <v>24</v>
      </c>
      <c r="P16" s="23" t="s">
        <v>25</v>
      </c>
    </row>
    <row r="17" spans="3:18" x14ac:dyDescent="0.3">
      <c r="C17" s="24" t="s">
        <v>73</v>
      </c>
      <c r="G17" s="25"/>
      <c r="H17" s="25"/>
      <c r="I17" s="25"/>
      <c r="J17" s="25"/>
      <c r="K17" s="25"/>
      <c r="L17" s="26"/>
      <c r="M17" s="101">
        <v>348070.59299999999</v>
      </c>
      <c r="N17" s="101">
        <v>342513.40700000001</v>
      </c>
      <c r="O17" s="101">
        <v>339894.804</v>
      </c>
      <c r="P17" s="101">
        <v>330735.93599999999</v>
      </c>
    </row>
    <row r="18" spans="3:18" x14ac:dyDescent="0.3">
      <c r="C18" s="24" t="s">
        <v>74</v>
      </c>
      <c r="G18" s="43"/>
      <c r="H18" s="43"/>
      <c r="I18" s="43"/>
      <c r="J18" s="43"/>
      <c r="K18" s="43"/>
      <c r="L18" s="43"/>
      <c r="M18" s="101">
        <v>256638.17800000001</v>
      </c>
      <c r="N18" s="101">
        <v>252282.003</v>
      </c>
      <c r="O18" s="101">
        <v>249947.356</v>
      </c>
      <c r="P18" s="101">
        <v>241984.231</v>
      </c>
    </row>
    <row r="19" spans="3:18" x14ac:dyDescent="0.3">
      <c r="C19" s="24" t="s">
        <v>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3:18" x14ac:dyDescent="0.3">
      <c r="C20" s="24" t="s">
        <v>76</v>
      </c>
      <c r="G20" s="43"/>
      <c r="H20" s="43"/>
      <c r="I20" s="43"/>
      <c r="J20" s="43"/>
      <c r="K20" s="43"/>
      <c r="L20" s="43"/>
      <c r="M20" s="101">
        <v>40794.423999999999</v>
      </c>
      <c r="N20" s="102">
        <v>40365.360000000001</v>
      </c>
      <c r="O20" s="102">
        <v>39971.81</v>
      </c>
      <c r="P20" s="101">
        <v>39514.606</v>
      </c>
    </row>
    <row r="21" spans="3:18" x14ac:dyDescent="0.3">
      <c r="C21" s="24" t="s">
        <v>77</v>
      </c>
      <c r="G21" s="25"/>
      <c r="H21" s="25"/>
      <c r="I21" s="25"/>
      <c r="J21" s="25"/>
      <c r="K21" s="25"/>
      <c r="L21" s="26"/>
      <c r="M21" s="27"/>
      <c r="N21" s="26"/>
      <c r="O21" s="27"/>
      <c r="P21" s="27"/>
    </row>
    <row r="22" spans="3:18" x14ac:dyDescent="0.3">
      <c r="R22" s="97" t="s">
        <v>78</v>
      </c>
    </row>
    <row r="23" spans="3:18" x14ac:dyDescent="0.3">
      <c r="C23" s="97" t="s">
        <v>167</v>
      </c>
      <c r="G23" s="8"/>
      <c r="H23" s="8"/>
      <c r="I23" s="8"/>
      <c r="J23" s="8"/>
      <c r="K23" s="8"/>
      <c r="L23" s="8"/>
      <c r="M23" s="8">
        <f t="shared" ref="M23:P23" si="8">M20/(M20+M18)</f>
        <v>0.13715518650507585</v>
      </c>
      <c r="N23" s="8">
        <f t="shared" si="8"/>
        <v>0.1379317400512507</v>
      </c>
      <c r="O23" s="8">
        <f t="shared" si="8"/>
        <v>0.13787225781409707</v>
      </c>
      <c r="P23" s="8">
        <f t="shared" si="8"/>
        <v>0.14037218207050708</v>
      </c>
      <c r="R23" s="8">
        <f>AVERAGE(M23:P23)</f>
        <v>0.13833284161023268</v>
      </c>
    </row>
    <row r="27" spans="3:18" x14ac:dyDescent="0.3">
      <c r="R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3B2C-9E8D-40EB-BD95-08AD3F76C881}">
  <dimension ref="A1:W27"/>
  <sheetViews>
    <sheetView workbookViewId="0">
      <selection activeCell="G4" sqref="G4"/>
    </sheetView>
  </sheetViews>
  <sheetFormatPr defaultColWidth="8.88671875" defaultRowHeight="14.4" x14ac:dyDescent="0.3"/>
  <cols>
    <col min="1" max="2" width="8.88671875" style="97"/>
    <col min="3" max="3" width="23.6640625" style="97" customWidth="1"/>
    <col min="4" max="5" width="9.5546875" style="97" customWidth="1"/>
    <col min="6" max="6" width="8.88671875" style="97"/>
    <col min="7" max="7" width="8.88671875" style="97" customWidth="1"/>
    <col min="8" max="16384" width="8.88671875" style="97"/>
  </cols>
  <sheetData>
    <row r="1" spans="1:23" x14ac:dyDescent="0.3">
      <c r="A1" s="97" t="s">
        <v>68</v>
      </c>
      <c r="B1" s="97" t="s">
        <v>69</v>
      </c>
      <c r="C1" s="97" t="s">
        <v>70</v>
      </c>
      <c r="D1" s="97" t="s">
        <v>71</v>
      </c>
      <c r="E1" s="97">
        <v>2008</v>
      </c>
      <c r="F1" s="97">
        <v>2009</v>
      </c>
      <c r="G1" s="97">
        <v>2010</v>
      </c>
      <c r="H1" s="97">
        <v>2011</v>
      </c>
      <c r="I1" s="97">
        <v>2012</v>
      </c>
      <c r="J1" s="97">
        <v>2013</v>
      </c>
      <c r="K1" s="97">
        <v>2014</v>
      </c>
      <c r="L1" s="97">
        <v>2015</v>
      </c>
      <c r="M1" s="97">
        <v>2016</v>
      </c>
      <c r="N1" s="97">
        <v>2017</v>
      </c>
      <c r="O1" s="97">
        <v>2018</v>
      </c>
      <c r="P1" s="97">
        <v>2019</v>
      </c>
      <c r="Q1" s="97">
        <v>2020</v>
      </c>
      <c r="S1" s="97">
        <v>2025</v>
      </c>
      <c r="T1" s="97">
        <v>2030</v>
      </c>
    </row>
    <row r="2" spans="1:23" x14ac:dyDescent="0.3">
      <c r="A2" s="97" t="s">
        <v>26</v>
      </c>
      <c r="B2" s="97" t="s">
        <v>294</v>
      </c>
      <c r="C2" s="97" t="s">
        <v>60</v>
      </c>
      <c r="F2" s="35">
        <f>HLOOKUP(F$1,  HDD!$B$4:$AP$33,   MATCH($A$2, HDD!$A$4:$A$33,0), FALSE)</f>
        <v>3504.84</v>
      </c>
      <c r="G2" s="35">
        <f>HLOOKUP(G$1,  HDD!$B$4:$AP$33,   MATCH($A$2, HDD!$A$4:$A$33,0), FALSE)</f>
        <v>3905.88</v>
      </c>
      <c r="H2" s="35">
        <f>HLOOKUP(H$1,  HDD!$B$4:$AP$33,   MATCH($A$2, HDD!$A$4:$A$33,0), FALSE)</f>
        <v>3409.28</v>
      </c>
      <c r="I2" s="35">
        <f>HLOOKUP(I$1,  HDD!$B$4:$AP$33,   MATCH($A$2, HDD!$A$4:$A$33,0), FALSE)</f>
        <v>3552.85</v>
      </c>
      <c r="J2" s="35">
        <f>HLOOKUP(J$1,  HDD!$B$4:$AP$33,   MATCH($A$2, HDD!$A$4:$A$33,0), FALSE)</f>
        <v>3635.43</v>
      </c>
      <c r="K2" s="35">
        <f>HLOOKUP(K$1,  HDD!$B$4:$AP$33,   MATCH($A$2, HDD!$A$4:$A$33,0), FALSE)</f>
        <v>3126.98</v>
      </c>
      <c r="L2" s="35">
        <f>HLOOKUP(L$1,  HDD!$B$4:$AP$33,   MATCH($A$2, HDD!$A$4:$A$33,0), FALSE)</f>
        <v>3316.42</v>
      </c>
      <c r="M2" s="35">
        <f>HLOOKUP(M$1,  HDD!$B$4:$AP$33,   MATCH($A$2, HDD!$A$4:$A$33,0), FALSE)</f>
        <v>3419.3</v>
      </c>
      <c r="N2" s="35">
        <f>HLOOKUP(N$1,  HDD!$B$4:$AP$33,   MATCH($A$2, HDD!$A$4:$A$33,0), FALSE)</f>
        <v>3498.07</v>
      </c>
      <c r="O2" s="35">
        <f>HLOOKUP(O$1,  HDD!$B$4:$AP$33,   MATCH($A$2, HDD!$A$4:$A$33,0), FALSE)</f>
        <v>3193.65</v>
      </c>
      <c r="P2" s="35">
        <f>HLOOKUP(P$1,  HDD!$B$4:$AP$33,   MATCH($A$2, HDD!$A$4:$A$33,0), FALSE)</f>
        <v>3279.5</v>
      </c>
      <c r="Q2" s="35">
        <f>HLOOKUP(Q$1,  HDD!$B$4:$AP$33,   MATCH($A$2, HDD!$A$4:$A$33,0), FALSE)</f>
        <v>3322.79</v>
      </c>
      <c r="S2" s="35">
        <f>HLOOKUP(S$1,  HDD!$B$4:$AP$33,   MATCH($A$2, HDD!$A$4:$A$33,0), FALSE)</f>
        <v>3309.5974537815127</v>
      </c>
      <c r="T2" s="35">
        <f>HLOOKUP(T$1,  HDD!$B$4:$AP$33,   MATCH($A$2, HDD!$A$4:$A$33,0), FALSE)</f>
        <v>3240.8090924369753</v>
      </c>
    </row>
    <row r="3" spans="1:23" x14ac:dyDescent="0.3">
      <c r="A3" s="97" t="s">
        <v>26</v>
      </c>
      <c r="B3" s="97" t="s">
        <v>294</v>
      </c>
      <c r="C3" s="97" t="s">
        <v>61</v>
      </c>
      <c r="D3" s="97" t="s">
        <v>62</v>
      </c>
      <c r="G3" s="8">
        <f>HLOOKUP(G$1, Pop!$B$8:$P$62, MATCH($A$3, Pop!$A$8:$A$62,0), FALSE)/1000000</f>
        <v>8.3516429999999993</v>
      </c>
      <c r="H3" s="8">
        <f>HLOOKUP(H$1, Pop!$B$8:$P$62, MATCH($A$3, Pop!$A$8:$A$62,0), FALSE)/1000000</f>
        <v>8.3751639999999998</v>
      </c>
      <c r="I3" s="8">
        <f>HLOOKUP(I$1, Pop!$B$8:$P$62, MATCH($A$3, Pop!$A$8:$A$62,0), FALSE)/1000000</f>
        <v>8.4081209999999995</v>
      </c>
      <c r="J3" s="8">
        <f>HLOOKUP(J$1, Pop!$B$8:$P$62, MATCH($A$3, Pop!$A$8:$A$62,0), FALSE)/1000000</f>
        <v>8.4518599999999999</v>
      </c>
      <c r="K3" s="8">
        <f>HLOOKUP(K$1, Pop!$B$8:$P$62, MATCH($A$3, Pop!$A$8:$A$62,0), FALSE)/1000000</f>
        <v>8.5077859999999994</v>
      </c>
      <c r="L3" s="8">
        <f>HLOOKUP(L$1, Pop!$B$8:$P$62, MATCH($A$3, Pop!$A$8:$A$62,0), FALSE)/1000000</f>
        <v>8.5849259999999994</v>
      </c>
      <c r="M3" s="8">
        <f>HLOOKUP(M$1, Pop!$B$8:$P$62, MATCH($A$3, Pop!$A$8:$A$62,0), FALSE)/1000000</f>
        <v>8.7004710000000003</v>
      </c>
      <c r="N3" s="8">
        <f>HLOOKUP(N$1, Pop!$B$8:$P$62, MATCH($A$3, Pop!$A$8:$A$62,0), FALSE)/1000000</f>
        <v>8.7728649999999995</v>
      </c>
      <c r="O3" s="8">
        <f>HLOOKUP(O$1, Pop!$B$8:$P$62, MATCH($A$3, Pop!$A$8:$A$62,0), FALSE)/1000000</f>
        <v>8.8222670000000001</v>
      </c>
      <c r="P3" s="8">
        <f>HLOOKUP(P$1, Pop!$B$8:$P$62, MATCH($A$3, Pop!$A$8:$A$62,0), FALSE)/1000000</f>
        <v>8.8587749999999996</v>
      </c>
      <c r="Q3" s="8">
        <f>HLOOKUP(Q$1, Pop!$B$8:$P$62, MATCH($A$3, Pop!$A$8:$A$62,0), FALSE)/1000000</f>
        <v>8.9010639999999999</v>
      </c>
      <c r="R3" s="8"/>
      <c r="S3" s="8">
        <f>HLOOKUP(S$1, Pop!$B$8:$P$62, MATCH($A$3, Pop!$A$8:$A$62,0), FALSE)/1000000</f>
        <v>9.0290079999999993</v>
      </c>
      <c r="T3" s="8">
        <f>HLOOKUP(T$1, Pop!$B$8:$P$62, MATCH($A$3, Pop!$A$8:$A$62,0), FALSE)/1000000</f>
        <v>9.1490010000000002</v>
      </c>
    </row>
    <row r="4" spans="1:23" x14ac:dyDescent="0.3">
      <c r="A4" s="97" t="s">
        <v>26</v>
      </c>
      <c r="B4" s="97" t="s">
        <v>294</v>
      </c>
      <c r="C4" s="97" t="s">
        <v>163</v>
      </c>
      <c r="D4" s="97" t="s">
        <v>64</v>
      </c>
      <c r="E4" s="10">
        <f t="shared" ref="E4:Q4" si="0">E13*1000/3600</f>
        <v>9779.1666666666661</v>
      </c>
      <c r="F4" s="10">
        <f t="shared" si="0"/>
        <v>10503.333333333334</v>
      </c>
      <c r="G4" s="10">
        <f t="shared" si="0"/>
        <v>11420</v>
      </c>
      <c r="H4" s="10">
        <f t="shared" si="0"/>
        <v>11533.055555555555</v>
      </c>
      <c r="I4" s="10">
        <f t="shared" si="0"/>
        <v>12060.277777777777</v>
      </c>
      <c r="J4" s="10">
        <f t="shared" si="0"/>
        <v>11424.722222222223</v>
      </c>
      <c r="K4" s="10">
        <f t="shared" si="0"/>
        <v>10626.111111111111</v>
      </c>
      <c r="L4" s="10">
        <f t="shared" si="0"/>
        <v>10566.666666666666</v>
      </c>
      <c r="M4" s="10">
        <f t="shared" si="0"/>
        <v>11082.777777777777</v>
      </c>
      <c r="N4" s="10">
        <f t="shared" si="0"/>
        <v>11353.888888888889</v>
      </c>
      <c r="O4" s="10">
        <f t="shared" si="0"/>
        <v>10836.388888888889</v>
      </c>
      <c r="P4" s="10">
        <f t="shared" si="0"/>
        <v>10912.222222222223</v>
      </c>
      <c r="Q4" s="10">
        <f t="shared" si="0"/>
        <v>10828.888888888889</v>
      </c>
    </row>
    <row r="5" spans="1:23" x14ac:dyDescent="0.3">
      <c r="A5" s="97" t="s">
        <v>26</v>
      </c>
      <c r="B5" s="97" t="s">
        <v>294</v>
      </c>
      <c r="C5" s="40" t="s">
        <v>80</v>
      </c>
      <c r="D5" s="97" t="s">
        <v>64</v>
      </c>
      <c r="G5" s="10">
        <f t="shared" ref="G5:O5" si="1">G20/$P$20*$P$5</f>
        <v>2005.704685140317</v>
      </c>
      <c r="H5" s="10">
        <f t="shared" si="1"/>
        <v>2015.0560191727493</v>
      </c>
      <c r="I5" s="10">
        <f t="shared" si="1"/>
        <v>2013.1297174719732</v>
      </c>
      <c r="J5" s="10">
        <f t="shared" si="1"/>
        <v>2048.9383236568683</v>
      </c>
      <c r="K5" s="10">
        <f t="shared" si="1"/>
        <v>2071.3307812888042</v>
      </c>
      <c r="L5" s="10">
        <f t="shared" si="1"/>
        <v>2043.6942752279313</v>
      </c>
      <c r="M5" s="10">
        <f t="shared" si="1"/>
        <v>2016.3111527062147</v>
      </c>
      <c r="N5" s="10">
        <f t="shared" si="1"/>
        <v>2012.4930841150492</v>
      </c>
      <c r="O5" s="10">
        <f t="shared" si="1"/>
        <v>1901.8488424860291</v>
      </c>
      <c r="P5" s="10">
        <f>$R$23*P4</f>
        <v>1910.2217062570592</v>
      </c>
      <c r="Q5" s="10">
        <f>TREND(G5:P5,G1:P1,Q1)</f>
        <v>1944.522917670507</v>
      </c>
      <c r="S5" s="10">
        <f>U10*S8</f>
        <v>1860.0905241946855</v>
      </c>
      <c r="U5" s="97" t="s">
        <v>82</v>
      </c>
      <c r="V5" s="97" t="s">
        <v>83</v>
      </c>
      <c r="W5" s="97" t="s">
        <v>81</v>
      </c>
    </row>
    <row r="6" spans="1:23" x14ac:dyDescent="0.3">
      <c r="A6" s="97" t="s">
        <v>26</v>
      </c>
      <c r="B6" s="97" t="s">
        <v>294</v>
      </c>
      <c r="C6" s="40" t="s">
        <v>79</v>
      </c>
      <c r="D6" s="97" t="s">
        <v>64</v>
      </c>
      <c r="G6" s="10">
        <f>G4-G5</f>
        <v>9414.2953148596825</v>
      </c>
      <c r="H6" s="10">
        <f t="shared" ref="H6:Q6" si="2">H4-H5</f>
        <v>9517.9995363828057</v>
      </c>
      <c r="I6" s="10">
        <f t="shared" si="2"/>
        <v>10047.148060305804</v>
      </c>
      <c r="J6" s="10">
        <f t="shared" si="2"/>
        <v>9375.7838985653543</v>
      </c>
      <c r="K6" s="10">
        <f t="shared" si="2"/>
        <v>8554.780329822308</v>
      </c>
      <c r="L6" s="10">
        <f t="shared" si="2"/>
        <v>8522.9723914387341</v>
      </c>
      <c r="M6" s="10">
        <f t="shared" si="2"/>
        <v>9066.4666250715636</v>
      </c>
      <c r="N6" s="10">
        <f t="shared" si="2"/>
        <v>9341.3958047738397</v>
      </c>
      <c r="O6" s="10">
        <f t="shared" si="2"/>
        <v>8934.5400464028589</v>
      </c>
      <c r="P6" s="10">
        <f t="shared" si="2"/>
        <v>9002.0005159651628</v>
      </c>
      <c r="Q6" s="10">
        <f t="shared" si="2"/>
        <v>8884.3659712183817</v>
      </c>
      <c r="U6" s="97">
        <f t="array" ref="U6:W6">LINEST(G6:Q6,G2:Q3)</f>
        <v>-334.81669464947879</v>
      </c>
      <c r="V6" s="97">
        <v>1.1553145481193372</v>
      </c>
      <c r="W6" s="97">
        <v>8079.2063148818306</v>
      </c>
    </row>
    <row r="7" spans="1:23" x14ac:dyDescent="0.3">
      <c r="A7" s="97" t="s">
        <v>26</v>
      </c>
      <c r="B7" s="97" t="s">
        <v>294</v>
      </c>
      <c r="C7" s="40" t="s">
        <v>84</v>
      </c>
      <c r="D7" s="97" t="s">
        <v>64</v>
      </c>
      <c r="G7" s="47">
        <f t="shared" ref="G7:P7" si="3">G2*$V$6+G3*$U$6+$W$6</f>
        <v>9795.4567979377316</v>
      </c>
      <c r="H7" s="47">
        <f t="shared" si="3"/>
        <v>9213.8523698668178</v>
      </c>
      <c r="I7" s="47">
        <f t="shared" si="3"/>
        <v>9368.6863257347468</v>
      </c>
      <c r="J7" s="47">
        <f t="shared" si="3"/>
        <v>9449.4476537111677</v>
      </c>
      <c r="K7" s="47">
        <f t="shared" si="3"/>
        <v>8843.3030132549247</v>
      </c>
      <c r="L7" s="47">
        <f t="shared" si="3"/>
        <v>9036.3380414253916</v>
      </c>
      <c r="M7" s="47">
        <f t="shared" si="3"/>
        <v>9116.5104071526348</v>
      </c>
      <c r="N7" s="47">
        <f t="shared" si="3"/>
        <v>9183.2758143155406</v>
      </c>
      <c r="O7" s="47">
        <f t="shared" si="3"/>
        <v>8815.0343452279794</v>
      </c>
      <c r="P7" s="47">
        <f t="shared" si="3"/>
        <v>8901.9946112957605</v>
      </c>
      <c r="Q7" s="47">
        <f>Q2*$V$6+Q3*$U$6+$W$6</f>
        <v>8937.8491148838148</v>
      </c>
    </row>
    <row r="8" spans="1:23" x14ac:dyDescent="0.3">
      <c r="A8" s="97" t="s">
        <v>26</v>
      </c>
      <c r="B8" s="97" t="s">
        <v>294</v>
      </c>
      <c r="C8" s="40" t="s">
        <v>85</v>
      </c>
      <c r="D8" s="97" t="s">
        <v>64</v>
      </c>
      <c r="G8" s="10">
        <f>G7+G5</f>
        <v>11801.161483078049</v>
      </c>
      <c r="H8" s="10">
        <f t="shared" ref="H8:P8" si="4">H7+H5</f>
        <v>11228.908389039567</v>
      </c>
      <c r="I8" s="10">
        <f t="shared" si="4"/>
        <v>11381.81604320672</v>
      </c>
      <c r="J8" s="10">
        <f t="shared" si="4"/>
        <v>11498.385977368036</v>
      </c>
      <c r="K8" s="10">
        <f t="shared" si="4"/>
        <v>10914.63379454373</v>
      </c>
      <c r="L8" s="10">
        <f t="shared" si="4"/>
        <v>11080.032316653324</v>
      </c>
      <c r="M8" s="10">
        <f t="shared" si="4"/>
        <v>11132.82155985885</v>
      </c>
      <c r="N8" s="10">
        <f t="shared" si="4"/>
        <v>11195.76889843059</v>
      </c>
      <c r="O8" s="10">
        <f t="shared" si="4"/>
        <v>10716.883187714009</v>
      </c>
      <c r="P8" s="10">
        <f t="shared" si="4"/>
        <v>10812.21631755282</v>
      </c>
      <c r="Q8" s="10">
        <f>Q7+Q5</f>
        <v>10882.372032554322</v>
      </c>
      <c r="S8" s="10">
        <f>TREND($G$8:$Q$8,$G$1:$Q$1,S$1)</f>
        <v>10363.858136581519</v>
      </c>
      <c r="T8" s="10">
        <f>TREND($G$8:$Q$8,$G$1:$Q$1,T$1)</f>
        <v>9971.0144775995286</v>
      </c>
    </row>
    <row r="9" spans="1:23" x14ac:dyDescent="0.3">
      <c r="A9" s="97" t="s">
        <v>26</v>
      </c>
      <c r="B9" s="97" t="s">
        <v>294</v>
      </c>
      <c r="C9" s="40" t="s">
        <v>164</v>
      </c>
      <c r="G9" s="8">
        <f>G8/G4</f>
        <v>1.0333766622660288</v>
      </c>
      <c r="H9" s="8">
        <f>H8/H4</f>
        <v>0.9736282232361676</v>
      </c>
      <c r="I9" s="8">
        <f t="shared" ref="I9:Q9" si="5">I8/I4</f>
        <v>0.94374410381979856</v>
      </c>
      <c r="J9" s="8">
        <f t="shared" si="5"/>
        <v>1.0064477502133513</v>
      </c>
      <c r="K9" s="8">
        <f t="shared" si="5"/>
        <v>1.0271522366381929</v>
      </c>
      <c r="L9" s="8">
        <f t="shared" si="5"/>
        <v>1.0485834999987373</v>
      </c>
      <c r="M9" s="8">
        <f t="shared" si="5"/>
        <v>1.004515454797029</v>
      </c>
      <c r="N9" s="8">
        <f t="shared" si="5"/>
        <v>0.98607349499315267</v>
      </c>
      <c r="O9" s="8">
        <f t="shared" si="5"/>
        <v>0.98897181502064635</v>
      </c>
      <c r="P9" s="8">
        <f t="shared" si="5"/>
        <v>0.99083542264510105</v>
      </c>
      <c r="Q9" s="8">
        <f t="shared" si="5"/>
        <v>1.0049389317975466</v>
      </c>
    </row>
    <row r="10" spans="1:23" x14ac:dyDescent="0.3">
      <c r="A10" s="97" t="s">
        <v>26</v>
      </c>
      <c r="B10" s="97" t="s">
        <v>294</v>
      </c>
      <c r="C10" s="97" t="s">
        <v>174</v>
      </c>
      <c r="G10" s="8">
        <f>G5/G4</f>
        <v>0.17563088311211181</v>
      </c>
      <c r="H10" s="8">
        <f>H5/H4</f>
        <v>0.17472004790630549</v>
      </c>
      <c r="I10" s="8">
        <f t="shared" ref="I10:Q10" si="6">I5/I4</f>
        <v>0.16692233417553271</v>
      </c>
      <c r="J10" s="8">
        <f t="shared" si="6"/>
        <v>0.17934250687263795</v>
      </c>
      <c r="K10" s="8">
        <f t="shared" si="6"/>
        <v>0.19492839474668519</v>
      </c>
      <c r="L10" s="8">
        <f t="shared" si="6"/>
        <v>0.19340955286068751</v>
      </c>
      <c r="M10" s="8">
        <f t="shared" si="6"/>
        <v>0.18193193016548131</v>
      </c>
      <c r="N10" s="8">
        <f t="shared" si="6"/>
        <v>0.1772514337430684</v>
      </c>
      <c r="O10" s="8">
        <f t="shared" si="6"/>
        <v>0.1755057761387738</v>
      </c>
      <c r="P10" s="8">
        <f t="shared" si="6"/>
        <v>0.17505340959488375</v>
      </c>
      <c r="Q10" s="8">
        <f t="shared" si="6"/>
        <v>0.17956809213045929</v>
      </c>
      <c r="R10" s="8"/>
      <c r="S10" s="8"/>
      <c r="T10" s="8" t="s">
        <v>173</v>
      </c>
      <c r="U10" s="8">
        <f>AVERAGE(G10:Q10)</f>
        <v>0.17947857831332972</v>
      </c>
    </row>
    <row r="12" spans="1:23" x14ac:dyDescent="0.3">
      <c r="C12" s="40" t="s">
        <v>295</v>
      </c>
    </row>
    <row r="13" spans="1:23" x14ac:dyDescent="0.3">
      <c r="C13" s="63" t="s">
        <v>297</v>
      </c>
      <c r="D13" s="97" t="s">
        <v>296</v>
      </c>
      <c r="E13" s="97">
        <v>35205</v>
      </c>
      <c r="F13" s="54">
        <v>37812</v>
      </c>
      <c r="G13" s="54">
        <v>41112</v>
      </c>
      <c r="H13" s="54">
        <v>41519</v>
      </c>
      <c r="I13" s="54">
        <v>43417</v>
      </c>
      <c r="J13" s="54">
        <v>41129</v>
      </c>
      <c r="K13" s="54">
        <v>38254</v>
      </c>
      <c r="L13" s="54">
        <v>38040</v>
      </c>
      <c r="M13" s="54">
        <v>39898</v>
      </c>
      <c r="N13" s="54">
        <v>40874</v>
      </c>
      <c r="O13" s="54">
        <v>39011</v>
      </c>
      <c r="P13" s="54">
        <v>39284</v>
      </c>
      <c r="Q13" s="54">
        <v>38984</v>
      </c>
    </row>
    <row r="15" spans="1:23" x14ac:dyDescent="0.3">
      <c r="C15" s="97" t="s">
        <v>247</v>
      </c>
    </row>
    <row r="16" spans="1:23" x14ac:dyDescent="0.3">
      <c r="C16" s="22" t="s">
        <v>72</v>
      </c>
      <c r="G16" s="23" t="s">
        <v>16</v>
      </c>
      <c r="H16" s="23" t="s">
        <v>17</v>
      </c>
      <c r="I16" s="23" t="s">
        <v>18</v>
      </c>
      <c r="J16" s="23" t="s">
        <v>19</v>
      </c>
      <c r="K16" s="23" t="s">
        <v>20</v>
      </c>
      <c r="L16" s="23" t="s">
        <v>21</v>
      </c>
      <c r="M16" s="23" t="s">
        <v>22</v>
      </c>
      <c r="N16" s="23" t="s">
        <v>23</v>
      </c>
      <c r="O16" s="23" t="s">
        <v>24</v>
      </c>
      <c r="P16" s="23" t="s">
        <v>25</v>
      </c>
    </row>
    <row r="17" spans="3:18" x14ac:dyDescent="0.3">
      <c r="C17" s="24" t="s">
        <v>73</v>
      </c>
      <c r="G17" s="25">
        <v>296011.75900000002</v>
      </c>
      <c r="H17" s="25">
        <v>274577.08299999998</v>
      </c>
      <c r="I17" s="25">
        <v>279812.538</v>
      </c>
      <c r="J17" s="25">
        <v>290104.696</v>
      </c>
      <c r="K17" s="25">
        <v>261676.43100000001</v>
      </c>
      <c r="L17" s="26">
        <v>278096.42200000002</v>
      </c>
      <c r="M17" s="26">
        <v>289630.261</v>
      </c>
      <c r="N17" s="26">
        <v>291556.45400000003</v>
      </c>
      <c r="O17" s="26">
        <v>274235.989</v>
      </c>
      <c r="P17" s="26">
        <v>280643.902</v>
      </c>
    </row>
    <row r="18" spans="3:18" x14ac:dyDescent="0.3">
      <c r="C18" s="24" t="s">
        <v>74</v>
      </c>
      <c r="G18" s="43">
        <v>210740.52299999999</v>
      </c>
      <c r="H18" s="43">
        <v>190178.56</v>
      </c>
      <c r="I18" s="43">
        <v>195397.04</v>
      </c>
      <c r="J18" s="43">
        <v>204928.71900000001</v>
      </c>
      <c r="K18" s="43">
        <v>177941.81599999999</v>
      </c>
      <c r="L18" s="43">
        <v>193501.58900000001</v>
      </c>
      <c r="M18" s="43">
        <v>203410.15900000001</v>
      </c>
      <c r="N18" s="43">
        <v>205031.745</v>
      </c>
      <c r="O18" s="42">
        <v>190211.01500000001</v>
      </c>
      <c r="P18" s="43">
        <v>195347.878</v>
      </c>
    </row>
    <row r="19" spans="3:18" x14ac:dyDescent="0.3">
      <c r="C19" s="24" t="s">
        <v>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3:18" x14ac:dyDescent="0.3">
      <c r="C20" s="24" t="s">
        <v>76</v>
      </c>
      <c r="G20" s="43">
        <v>41699.837</v>
      </c>
      <c r="H20" s="43">
        <v>41894.256999999998</v>
      </c>
      <c r="I20" s="43">
        <v>41854.207999999999</v>
      </c>
      <c r="J20" s="43">
        <v>42598.690999999999</v>
      </c>
      <c r="K20" s="43">
        <v>43064.243999999999</v>
      </c>
      <c r="L20" s="43">
        <v>42489.663999999997</v>
      </c>
      <c r="M20" s="43">
        <v>41920.351999999999</v>
      </c>
      <c r="N20" s="43">
        <v>41840.972000000002</v>
      </c>
      <c r="O20" s="43">
        <v>39540.61</v>
      </c>
      <c r="P20" s="43">
        <v>39714.686999999998</v>
      </c>
    </row>
    <row r="21" spans="3:18" x14ac:dyDescent="0.3">
      <c r="C21" s="24" t="s">
        <v>77</v>
      </c>
      <c r="G21" s="25"/>
      <c r="H21" s="25"/>
      <c r="I21" s="25"/>
      <c r="J21" s="25"/>
      <c r="K21" s="25"/>
      <c r="L21" s="26"/>
      <c r="M21" s="27"/>
      <c r="N21" s="26"/>
      <c r="O21" s="27"/>
      <c r="P21" s="27"/>
    </row>
    <row r="22" spans="3:18" x14ac:dyDescent="0.3">
      <c r="R22" s="97" t="s">
        <v>78</v>
      </c>
    </row>
    <row r="23" spans="3:18" x14ac:dyDescent="0.3">
      <c r="C23" s="97" t="s">
        <v>167</v>
      </c>
      <c r="G23" s="8">
        <f>G20/(G20+G18)</f>
        <v>0.16518688612233004</v>
      </c>
      <c r="H23" s="8">
        <f t="shared" ref="H23:P23" si="7">H20/(H20+H18)</f>
        <v>0.18052203416826712</v>
      </c>
      <c r="I23" s="8">
        <f t="shared" si="7"/>
        <v>0.17641301511720603</v>
      </c>
      <c r="J23" s="8">
        <f t="shared" si="7"/>
        <v>0.17209686393922999</v>
      </c>
      <c r="K23" s="8">
        <f t="shared" si="7"/>
        <v>0.19485548948295806</v>
      </c>
      <c r="L23" s="8">
        <f t="shared" si="7"/>
        <v>0.18004762235827443</v>
      </c>
      <c r="M23" s="8">
        <f t="shared" si="7"/>
        <v>0.17087296573559901</v>
      </c>
      <c r="N23" s="8">
        <f t="shared" si="7"/>
        <v>0.16948398554709471</v>
      </c>
      <c r="O23" s="8">
        <f t="shared" si="7"/>
        <v>0.17210154661582916</v>
      </c>
      <c r="P23" s="8">
        <f t="shared" si="7"/>
        <v>0.16895368686204881</v>
      </c>
      <c r="R23" s="8">
        <f>AVERAGE(G23:P23)</f>
        <v>0.17505340959488375</v>
      </c>
    </row>
    <row r="27" spans="3:18" x14ac:dyDescent="0.3">
      <c r="R27" s="97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topLeftCell="B13" workbookViewId="0">
      <selection activeCell="A24" sqref="A24"/>
    </sheetView>
  </sheetViews>
  <sheetFormatPr defaultRowHeight="14.4" x14ac:dyDescent="0.3"/>
  <cols>
    <col min="2" max="2" width="8.88671875" style="9"/>
    <col min="3" max="3" width="23.6640625" customWidth="1"/>
    <col min="4" max="4" width="9.5546875" style="9" customWidth="1"/>
    <col min="6" max="6" width="8.88671875" customWidth="1"/>
  </cols>
  <sheetData>
    <row r="1" spans="1:22" x14ac:dyDescent="0.3">
      <c r="A1" t="s">
        <v>68</v>
      </c>
      <c r="B1" s="9" t="s">
        <v>69</v>
      </c>
      <c r="C1" t="s">
        <v>70</v>
      </c>
      <c r="D1" s="9" t="s">
        <v>71</v>
      </c>
      <c r="E1" s="9">
        <v>2009</v>
      </c>
      <c r="F1" s="9">
        <v>2010</v>
      </c>
      <c r="G1" s="9">
        <v>2011</v>
      </c>
      <c r="H1" s="9">
        <v>2012</v>
      </c>
      <c r="I1" s="9">
        <v>2013</v>
      </c>
      <c r="J1" s="9">
        <v>2014</v>
      </c>
      <c r="K1" s="9">
        <v>2015</v>
      </c>
      <c r="L1" s="9">
        <v>2016</v>
      </c>
      <c r="M1" s="9">
        <v>2017</v>
      </c>
      <c r="N1" s="9">
        <v>2018</v>
      </c>
      <c r="O1" s="9">
        <v>2019</v>
      </c>
      <c r="P1" s="9">
        <v>2020</v>
      </c>
      <c r="R1">
        <v>2025</v>
      </c>
      <c r="S1">
        <v>2030</v>
      </c>
    </row>
    <row r="2" spans="1:22" s="9" customFormat="1" x14ac:dyDescent="0.3">
      <c r="A2" s="9" t="s">
        <v>0</v>
      </c>
      <c r="B2" s="9" t="s">
        <v>162</v>
      </c>
      <c r="C2" s="9" t="s">
        <v>60</v>
      </c>
      <c r="E2" s="35">
        <f>HLOOKUP(E$1,  HDD!$B$4:$AP$33,   MATCH($A$2, HDD!$A$4:$A$33,0), FALSE)</f>
        <v>4150.4399999999996</v>
      </c>
      <c r="F2" s="35">
        <f>HLOOKUP(F$1,  HDD!$B$4:$AP$33,   MATCH($A$2, HDD!$A$4:$A$33,0), FALSE)</f>
        <v>4635.9799999999996</v>
      </c>
      <c r="G2" s="35">
        <f>HLOOKUP(G$1,  HDD!$B$4:$AP$33,   MATCH($A$2, HDD!$A$4:$A$33,0), FALSE)</f>
        <v>3937.92</v>
      </c>
      <c r="H2" s="35">
        <f>HLOOKUP(H$1,  HDD!$B$4:$AP$33,   MATCH($A$2, HDD!$A$4:$A$33,0), FALSE)</f>
        <v>4322.0200000000004</v>
      </c>
      <c r="I2" s="35">
        <f>HLOOKUP(I$1,  HDD!$B$4:$AP$33,   MATCH($A$2, HDD!$A$4:$A$33,0), FALSE)</f>
        <v>4036.79</v>
      </c>
      <c r="J2" s="35">
        <f>HLOOKUP(J$1,  HDD!$B$4:$AP$33,   MATCH($A$2, HDD!$A$4:$A$33,0), FALSE)</f>
        <v>3939.85</v>
      </c>
      <c r="K2" s="35">
        <f>HLOOKUP(K$1,  HDD!$B$4:$AP$33,   MATCH($A$2, HDD!$A$4:$A$33,0), FALSE)</f>
        <v>3657.39</v>
      </c>
      <c r="L2" s="35">
        <f>HLOOKUP(L$1,  HDD!$B$4:$AP$33,   MATCH($A$2, HDD!$A$4:$A$33,0), FALSE)</f>
        <v>4002.81</v>
      </c>
      <c r="M2" s="35">
        <f>HLOOKUP(M$1,  HDD!$B$4:$AP$33,   MATCH($A$2, HDD!$A$4:$A$33,0), FALSE)</f>
        <v>3997.38</v>
      </c>
      <c r="N2" s="35">
        <f>HLOOKUP(N$1,  HDD!$B$4:$AP$33,   MATCH($A$2, HDD!$A$4:$A$33,0), FALSE)</f>
        <v>3862.19</v>
      </c>
      <c r="O2" s="35">
        <f>HLOOKUP(O$1,  HDD!$B$4:$AP$33,   MATCH($A$2, HDD!$A$4:$A$33,0), FALSE)</f>
        <v>3622.92</v>
      </c>
      <c r="P2" s="35">
        <f>HLOOKUP(P$1,  HDD!$B$4:$AP$33,   MATCH($A$2, HDD!$A$4:$A$33,0), FALSE)</f>
        <v>3403.51</v>
      </c>
      <c r="R2" s="35">
        <f>HLOOKUP(R$1,  HDD!$B$4:$AP$33,   MATCH($A$2, HDD!$A$4:$A$33,0), FALSE)</f>
        <v>3805.6537142857123</v>
      </c>
      <c r="S2" s="35">
        <f>HLOOKUP(S$1,  HDD!$B$4:$AP$33,   MATCH($A$2, HDD!$A$4:$A$33,0), FALSE)</f>
        <v>3738.8994285714289</v>
      </c>
    </row>
    <row r="3" spans="1:22" s="9" customFormat="1" x14ac:dyDescent="0.3">
      <c r="A3" s="9" t="s">
        <v>0</v>
      </c>
      <c r="B3" s="9" t="s">
        <v>162</v>
      </c>
      <c r="C3" s="9" t="s">
        <v>61</v>
      </c>
      <c r="D3" s="9" t="s">
        <v>62</v>
      </c>
      <c r="F3" s="8">
        <f>HLOOKUP(F$1, Pop!$B$8:$P$62, MATCH($A$3, Pop!$A$8:$A$62,0), FALSE)/1000000</f>
        <v>2.1205039999999999</v>
      </c>
      <c r="G3" s="8">
        <f>HLOOKUP(G$1, Pop!$B$8:$P$62, MATCH($A$3, Pop!$A$8:$A$62,0), FALSE)/1000000</f>
        <v>2.074605</v>
      </c>
      <c r="H3" s="8">
        <f>HLOOKUP(H$1, Pop!$B$8:$P$62, MATCH($A$3, Pop!$A$8:$A$62,0), FALSE)/1000000</f>
        <v>2.044813</v>
      </c>
      <c r="I3" s="8">
        <f>HLOOKUP(I$1, Pop!$B$8:$P$62, MATCH($A$3, Pop!$A$8:$A$62,0), FALSE)/1000000</f>
        <v>2.023825</v>
      </c>
      <c r="J3" s="8">
        <f>HLOOKUP(J$1, Pop!$B$8:$P$62, MATCH($A$3, Pop!$A$8:$A$62,0), FALSE)/1000000</f>
        <v>2.001468</v>
      </c>
      <c r="K3" s="8">
        <f>HLOOKUP(K$1, Pop!$B$8:$P$62, MATCH($A$3, Pop!$A$8:$A$62,0), FALSE)/1000000</f>
        <v>1.9860960000000001</v>
      </c>
      <c r="L3" s="8">
        <f>HLOOKUP(L$1, Pop!$B$8:$P$62, MATCH($A$3, Pop!$A$8:$A$62,0), FALSE)/1000000</f>
        <v>1.9689570000000001</v>
      </c>
      <c r="M3" s="8">
        <f>HLOOKUP(M$1, Pop!$B$8:$P$62, MATCH($A$3, Pop!$A$8:$A$62,0), FALSE)/1000000</f>
        <v>1.950116</v>
      </c>
      <c r="N3" s="8">
        <f>HLOOKUP(N$1, Pop!$B$8:$P$62, MATCH($A$3, Pop!$A$8:$A$62,0), FALSE)/1000000</f>
        <v>1.9343790000000001</v>
      </c>
      <c r="O3" s="8">
        <f>HLOOKUP(O$1, Pop!$B$8:$P$62, MATCH($A$3, Pop!$A$8:$A$62,0), FALSE)/1000000</f>
        <v>1.9199679999999999</v>
      </c>
      <c r="P3" s="8">
        <f>HLOOKUP(P$1, Pop!$B$8:$P$62, MATCH($A$3, Pop!$A$8:$A$62,0), FALSE)/1000000</f>
        <v>1.907675</v>
      </c>
      <c r="Q3" s="8"/>
      <c r="R3" s="8">
        <f>HLOOKUP(R$1, Pop!$B$8:$P$62, MATCH($A$3, Pop!$A$8:$A$62,0), FALSE)/1000000</f>
        <v>1.81555</v>
      </c>
      <c r="S3" s="8">
        <f>HLOOKUP(S$1, Pop!$B$8:$P$62, MATCH($A$3, Pop!$A$8:$A$62,0), FALSE)/1000000</f>
        <v>1.7127460000000001</v>
      </c>
    </row>
    <row r="4" spans="1:22" x14ac:dyDescent="0.3">
      <c r="A4" t="s">
        <v>0</v>
      </c>
      <c r="B4" s="9" t="s">
        <v>162</v>
      </c>
      <c r="C4" t="s">
        <v>163</v>
      </c>
      <c r="D4" s="9" t="s">
        <v>64</v>
      </c>
      <c r="E4" s="10">
        <f>E13</f>
        <v>7308</v>
      </c>
      <c r="F4" s="10">
        <f t="shared" ref="F4:P4" si="0">F13</f>
        <v>7962</v>
      </c>
      <c r="G4" s="10">
        <f t="shared" si="0"/>
        <v>6944</v>
      </c>
      <c r="H4" s="10">
        <f t="shared" si="0"/>
        <v>7460</v>
      </c>
      <c r="I4" s="10">
        <f t="shared" si="0"/>
        <v>7291</v>
      </c>
      <c r="J4" s="10">
        <f t="shared" si="0"/>
        <v>7151</v>
      </c>
      <c r="K4" s="10">
        <f t="shared" si="0"/>
        <v>7072</v>
      </c>
      <c r="L4" s="10">
        <f t="shared" si="0"/>
        <v>8046</v>
      </c>
      <c r="M4" s="10">
        <f t="shared" si="0"/>
        <v>8330</v>
      </c>
      <c r="N4" s="10">
        <f t="shared" si="0"/>
        <v>8247</v>
      </c>
      <c r="O4" s="10">
        <f t="shared" si="0"/>
        <v>7948</v>
      </c>
      <c r="P4" s="10">
        <f t="shared" si="0"/>
        <v>7514</v>
      </c>
    </row>
    <row r="5" spans="1:22" s="9" customFormat="1" x14ac:dyDescent="0.3">
      <c r="A5" s="9" t="s">
        <v>0</v>
      </c>
      <c r="B5" s="9" t="s">
        <v>162</v>
      </c>
      <c r="C5" s="40" t="s">
        <v>80</v>
      </c>
      <c r="D5" s="9" t="s">
        <v>64</v>
      </c>
      <c r="F5" s="10">
        <f>F27/$O$27*$O$5</f>
        <v>1998.8135116543704</v>
      </c>
      <c r="G5" s="10">
        <f t="shared" ref="G5:N5" si="1">G27/$O$27*$O$5</f>
        <v>1858.337107104923</v>
      </c>
      <c r="H5" s="10">
        <f t="shared" si="1"/>
        <v>1926.9677696793758</v>
      </c>
      <c r="I5" s="10">
        <f t="shared" si="1"/>
        <v>1799.076281501184</v>
      </c>
      <c r="J5" s="10">
        <f t="shared" si="1"/>
        <v>1746.9963505692956</v>
      </c>
      <c r="K5" s="10">
        <f t="shared" si="1"/>
        <v>1606.4566807064073</v>
      </c>
      <c r="L5" s="10">
        <f t="shared" si="1"/>
        <v>1689.8533172531609</v>
      </c>
      <c r="M5" s="10">
        <f t="shared" si="1"/>
        <v>1743.1289062898047</v>
      </c>
      <c r="N5" s="10">
        <f t="shared" si="1"/>
        <v>1783.114273962326</v>
      </c>
      <c r="O5" s="10">
        <f>$Q$30*O4</f>
        <v>1731.9776908050337</v>
      </c>
      <c r="P5" s="10">
        <f>TREND(F5:O5,F1:O1,P1)</f>
        <v>1644.6226856460198</v>
      </c>
      <c r="R5" s="10">
        <f>T10*R8</f>
        <v>1913.6676536870025</v>
      </c>
      <c r="T5" t="s">
        <v>82</v>
      </c>
      <c r="U5" t="s">
        <v>83</v>
      </c>
      <c r="V5" t="s">
        <v>81</v>
      </c>
    </row>
    <row r="6" spans="1:22" s="9" customFormat="1" x14ac:dyDescent="0.3">
      <c r="A6" s="9" t="s">
        <v>0</v>
      </c>
      <c r="B6" s="9" t="s">
        <v>162</v>
      </c>
      <c r="C6" s="40" t="s">
        <v>79</v>
      </c>
      <c r="D6" s="9" t="s">
        <v>64</v>
      </c>
      <c r="F6" s="10">
        <f>F4-F5</f>
        <v>5963.1864883456292</v>
      </c>
      <c r="G6" s="10">
        <f t="shared" ref="G6:P6" si="2">G4-G5</f>
        <v>5085.6628928950768</v>
      </c>
      <c r="H6" s="10">
        <f t="shared" si="2"/>
        <v>5533.032230320624</v>
      </c>
      <c r="I6" s="10">
        <f t="shared" si="2"/>
        <v>5491.923718498816</v>
      </c>
      <c r="J6" s="10">
        <f t="shared" si="2"/>
        <v>5404.0036494307042</v>
      </c>
      <c r="K6" s="10">
        <f t="shared" si="2"/>
        <v>5465.5433192935925</v>
      </c>
      <c r="L6" s="10">
        <f t="shared" si="2"/>
        <v>6356.1466827468394</v>
      </c>
      <c r="M6" s="10">
        <f t="shared" si="2"/>
        <v>6586.8710937101951</v>
      </c>
      <c r="N6" s="10">
        <f t="shared" si="2"/>
        <v>6463.8857260376735</v>
      </c>
      <c r="O6" s="10">
        <f t="shared" si="2"/>
        <v>6216.0223091949665</v>
      </c>
      <c r="P6" s="10">
        <f t="shared" si="2"/>
        <v>5869.3773143539802</v>
      </c>
      <c r="T6" s="9">
        <f t="array" ref="T6:V6">LINEST(F6:P6,F2:P3)</f>
        <v>-11335.527529768904</v>
      </c>
      <c r="U6" s="9">
        <v>1.7884007083814291</v>
      </c>
      <c r="V6" s="9">
        <v>21400.082390077601</v>
      </c>
    </row>
    <row r="7" spans="1:22" s="9" customFormat="1" x14ac:dyDescent="0.3">
      <c r="A7" s="9" t="s">
        <v>0</v>
      </c>
      <c r="B7" s="9" t="s">
        <v>162</v>
      </c>
      <c r="C7" s="40" t="s">
        <v>84</v>
      </c>
      <c r="D7" s="9" t="s">
        <v>64</v>
      </c>
      <c r="F7" s="47">
        <f t="shared" ref="F7:O7" si="3">F2*$U$6+F3*$T$6+$V$6</f>
        <v>5654.0408371346603</v>
      </c>
      <c r="G7" s="47">
        <f t="shared" si="3"/>
        <v>4925.9192167307847</v>
      </c>
      <c r="H7" s="47">
        <f t="shared" si="3"/>
        <v>5950.5519649869639</v>
      </c>
      <c r="I7" s="47">
        <f t="shared" si="3"/>
        <v>5678.3564827301161</v>
      </c>
      <c r="J7" s="47">
        <f t="shared" si="3"/>
        <v>5758.4173070426659</v>
      </c>
      <c r="K7" s="47">
        <f t="shared" si="3"/>
        <v>5427.5153721408533</v>
      </c>
      <c r="L7" s="47">
        <f t="shared" si="3"/>
        <v>6239.5443511626763</v>
      </c>
      <c r="M7" s="47">
        <f t="shared" si="3"/>
        <v>6443.4060095045425</v>
      </c>
      <c r="N7" s="47">
        <f t="shared" si="3"/>
        <v>6380.019314474428</v>
      </c>
      <c r="O7" s="47">
        <f t="shared" si="3"/>
        <v>6115.4649642115055</v>
      </c>
      <c r="P7" s="47">
        <f>P2*$U$6+P3*$T$6+$V$6</f>
        <v>5862.4196047089863</v>
      </c>
    </row>
    <row r="8" spans="1:22" s="9" customFormat="1" x14ac:dyDescent="0.3">
      <c r="A8" s="9" t="s">
        <v>0</v>
      </c>
      <c r="B8" s="9" t="s">
        <v>162</v>
      </c>
      <c r="C8" s="40" t="s">
        <v>85</v>
      </c>
      <c r="D8" s="9" t="s">
        <v>64</v>
      </c>
      <c r="F8" s="10">
        <f>F7+F5</f>
        <v>7652.8543487890311</v>
      </c>
      <c r="G8" s="10">
        <f t="shared" ref="G8:O8" si="4">G7+G5</f>
        <v>6784.2563238357079</v>
      </c>
      <c r="H8" s="10">
        <f t="shared" si="4"/>
        <v>7877.5197346663399</v>
      </c>
      <c r="I8" s="10">
        <f t="shared" si="4"/>
        <v>7477.4327642313001</v>
      </c>
      <c r="J8" s="10">
        <f t="shared" si="4"/>
        <v>7505.4136576119618</v>
      </c>
      <c r="K8" s="10">
        <f t="shared" si="4"/>
        <v>7033.9720528472608</v>
      </c>
      <c r="L8" s="10">
        <f t="shared" si="4"/>
        <v>7929.397668415837</v>
      </c>
      <c r="M8" s="10">
        <f t="shared" si="4"/>
        <v>8186.5349157943474</v>
      </c>
      <c r="N8" s="10">
        <f t="shared" si="4"/>
        <v>8163.1335884367545</v>
      </c>
      <c r="O8" s="10">
        <f t="shared" si="4"/>
        <v>7847.442655016539</v>
      </c>
      <c r="P8" s="10">
        <f>P7+P5</f>
        <v>7507.0422903550061</v>
      </c>
      <c r="R8" s="10">
        <f>TREND($F$8:$P$8,$F$1:$P$1,R$1)</f>
        <v>8198.8831734358682</v>
      </c>
      <c r="S8" s="10">
        <f>TREND($F$8:$P$8,$F$1:$P$1,S$1)</f>
        <v>8481.7338510628906</v>
      </c>
    </row>
    <row r="9" spans="1:22" s="9" customFormat="1" x14ac:dyDescent="0.3">
      <c r="A9" s="9" t="s">
        <v>0</v>
      </c>
      <c r="B9" s="9" t="s">
        <v>162</v>
      </c>
      <c r="C9" s="40" t="s">
        <v>164</v>
      </c>
      <c r="F9" s="8">
        <f>F8/F4</f>
        <v>0.9611723623196472</v>
      </c>
      <c r="G9" s="8">
        <f>G8/G4</f>
        <v>0.97699543834039571</v>
      </c>
      <c r="H9" s="8">
        <f t="shared" ref="H9:P9" si="5">H8/H4</f>
        <v>1.0559677928507158</v>
      </c>
      <c r="I9" s="8">
        <f t="shared" si="5"/>
        <v>1.0255702598040461</v>
      </c>
      <c r="J9" s="8">
        <f t="shared" si="5"/>
        <v>1.0495614120559309</v>
      </c>
      <c r="K9" s="8">
        <f t="shared" si="5"/>
        <v>0.99462274502930725</v>
      </c>
      <c r="L9" s="8">
        <f t="shared" si="5"/>
        <v>0.9855080373372902</v>
      </c>
      <c r="M9" s="8">
        <f t="shared" si="5"/>
        <v>0.98277730081564796</v>
      </c>
      <c r="N9" s="8">
        <f t="shared" si="5"/>
        <v>0.98983067642012301</v>
      </c>
      <c r="O9" s="8">
        <f t="shared" si="5"/>
        <v>0.9873480944912606</v>
      </c>
      <c r="P9" s="8">
        <f t="shared" si="5"/>
        <v>0.99907403385081262</v>
      </c>
    </row>
    <row r="10" spans="1:22" s="9" customFormat="1" x14ac:dyDescent="0.3">
      <c r="A10" s="9" t="s">
        <v>0</v>
      </c>
      <c r="B10" s="9" t="s">
        <v>162</v>
      </c>
      <c r="C10" s="9" t="s">
        <v>174</v>
      </c>
      <c r="F10" s="8">
        <f>F5/F4</f>
        <v>0.25104414866294528</v>
      </c>
      <c r="G10" s="8">
        <f>G5/G4</f>
        <v>0.26761767095404998</v>
      </c>
      <c r="H10" s="8">
        <f t="shared" ref="H10:P10" si="6">H5/H4</f>
        <v>0.25830667153879033</v>
      </c>
      <c r="I10" s="8">
        <f t="shared" si="6"/>
        <v>0.24675302173929284</v>
      </c>
      <c r="J10" s="8">
        <f t="shared" si="6"/>
        <v>0.24430098595571187</v>
      </c>
      <c r="K10" s="8">
        <f t="shared" si="6"/>
        <v>0.22715733607273858</v>
      </c>
      <c r="L10" s="8">
        <f t="shared" si="6"/>
        <v>0.2100240265042457</v>
      </c>
      <c r="M10" s="8">
        <f t="shared" si="6"/>
        <v>0.20925917242374606</v>
      </c>
      <c r="N10" s="8">
        <f t="shared" si="6"/>
        <v>0.21621368666937382</v>
      </c>
      <c r="O10" s="8">
        <f t="shared" si="6"/>
        <v>0.21791365007612401</v>
      </c>
      <c r="P10" s="8">
        <f t="shared" si="6"/>
        <v>0.21887445909582376</v>
      </c>
      <c r="Q10" s="8"/>
      <c r="R10" s="8"/>
      <c r="S10" s="8" t="s">
        <v>173</v>
      </c>
      <c r="T10" s="8">
        <f>AVERAGE(F10:P10)</f>
        <v>0.23340589360844016</v>
      </c>
    </row>
    <row r="11" spans="1:22" s="9" customFormat="1" x14ac:dyDescent="0.3"/>
    <row r="12" spans="1:22" s="9" customFormat="1" x14ac:dyDescent="0.3">
      <c r="C12" s="40" t="s">
        <v>248</v>
      </c>
    </row>
    <row r="13" spans="1:22" s="9" customFormat="1" x14ac:dyDescent="0.3">
      <c r="C13" s="63" t="s">
        <v>246</v>
      </c>
      <c r="E13" s="54">
        <v>7308</v>
      </c>
      <c r="F13" s="54">
        <v>7962</v>
      </c>
      <c r="G13" s="54">
        <v>6944</v>
      </c>
      <c r="H13" s="54">
        <v>7460</v>
      </c>
      <c r="I13" s="54">
        <v>7291</v>
      </c>
      <c r="J13" s="54">
        <v>7151</v>
      </c>
      <c r="K13" s="54">
        <v>7072</v>
      </c>
      <c r="L13" s="54">
        <v>8046</v>
      </c>
      <c r="M13" s="54">
        <v>8330</v>
      </c>
      <c r="N13" s="54">
        <v>8247</v>
      </c>
      <c r="O13" s="54">
        <v>7948</v>
      </c>
      <c r="P13" s="54">
        <v>7514</v>
      </c>
    </row>
    <row r="14" spans="1:22" x14ac:dyDescent="0.3">
      <c r="C14" t="s">
        <v>111</v>
      </c>
      <c r="E14">
        <v>1042</v>
      </c>
      <c r="F14">
        <v>1124</v>
      </c>
      <c r="G14">
        <v>993</v>
      </c>
      <c r="H14">
        <v>1051</v>
      </c>
      <c r="I14">
        <v>1003</v>
      </c>
      <c r="J14">
        <v>936</v>
      </c>
      <c r="K14">
        <v>901</v>
      </c>
      <c r="L14">
        <v>956</v>
      </c>
      <c r="M14">
        <v>993</v>
      </c>
      <c r="N14">
        <v>970</v>
      </c>
      <c r="O14">
        <v>910</v>
      </c>
      <c r="P14">
        <v>851</v>
      </c>
    </row>
    <row r="15" spans="1:22" x14ac:dyDescent="0.3">
      <c r="C15" t="s">
        <v>112</v>
      </c>
      <c r="E15">
        <v>6169</v>
      </c>
      <c r="F15">
        <v>6687</v>
      </c>
      <c r="G15">
        <v>5804</v>
      </c>
      <c r="H15">
        <v>6220</v>
      </c>
      <c r="I15">
        <v>6027</v>
      </c>
      <c r="J15">
        <v>5871</v>
      </c>
      <c r="K15">
        <v>5861</v>
      </c>
      <c r="L15">
        <v>6760</v>
      </c>
      <c r="M15">
        <v>7034</v>
      </c>
      <c r="N15">
        <v>6998</v>
      </c>
      <c r="O15">
        <v>6757</v>
      </c>
      <c r="P15">
        <v>6452</v>
      </c>
    </row>
    <row r="16" spans="1:22" x14ac:dyDescent="0.3">
      <c r="C16" t="s">
        <v>113</v>
      </c>
      <c r="E16">
        <v>4512</v>
      </c>
      <c r="F16">
        <v>4895</v>
      </c>
      <c r="G16">
        <v>4269</v>
      </c>
      <c r="H16">
        <v>4477</v>
      </c>
      <c r="I16">
        <v>4283</v>
      </c>
      <c r="J16">
        <v>4078</v>
      </c>
      <c r="K16">
        <v>3917</v>
      </c>
      <c r="L16">
        <v>4297</v>
      </c>
      <c r="M16">
        <v>4332</v>
      </c>
      <c r="N16">
        <v>4315</v>
      </c>
      <c r="O16">
        <v>4272</v>
      </c>
      <c r="P16">
        <v>4034</v>
      </c>
    </row>
    <row r="17" spans="3:17" x14ac:dyDescent="0.3">
      <c r="C17" t="s">
        <v>114</v>
      </c>
      <c r="E17">
        <v>678</v>
      </c>
      <c r="F17">
        <v>668</v>
      </c>
      <c r="G17">
        <v>663</v>
      </c>
      <c r="H17">
        <v>663</v>
      </c>
      <c r="I17">
        <v>638</v>
      </c>
      <c r="J17">
        <v>631</v>
      </c>
      <c r="K17">
        <v>618</v>
      </c>
      <c r="L17">
        <v>619</v>
      </c>
      <c r="M17">
        <v>615</v>
      </c>
      <c r="N17">
        <v>633</v>
      </c>
      <c r="O17">
        <v>643</v>
      </c>
      <c r="P17">
        <v>635</v>
      </c>
    </row>
    <row r="18" spans="3:17" x14ac:dyDescent="0.3">
      <c r="C18" t="s">
        <v>115</v>
      </c>
      <c r="E18">
        <v>3644</v>
      </c>
      <c r="F18">
        <v>3297</v>
      </c>
      <c r="G18">
        <v>3210</v>
      </c>
      <c r="H18">
        <v>3046</v>
      </c>
      <c r="I18">
        <v>2639</v>
      </c>
      <c r="J18">
        <v>2589</v>
      </c>
      <c r="K18">
        <v>2524</v>
      </c>
      <c r="L18">
        <v>2565</v>
      </c>
      <c r="M18">
        <v>2254</v>
      </c>
      <c r="N18">
        <v>2360</v>
      </c>
      <c r="O18">
        <v>2095</v>
      </c>
      <c r="P18">
        <v>2245</v>
      </c>
    </row>
    <row r="19" spans="3:17" x14ac:dyDescent="0.3">
      <c r="C19" t="s">
        <v>116</v>
      </c>
      <c r="E19">
        <v>56</v>
      </c>
      <c r="F19">
        <v>71</v>
      </c>
      <c r="G19">
        <v>83</v>
      </c>
      <c r="H19">
        <v>132</v>
      </c>
      <c r="I19">
        <v>166</v>
      </c>
      <c r="J19">
        <v>175</v>
      </c>
      <c r="K19">
        <v>183</v>
      </c>
      <c r="L19">
        <v>198</v>
      </c>
      <c r="M19">
        <v>204</v>
      </c>
      <c r="N19">
        <v>175</v>
      </c>
      <c r="O19">
        <v>175</v>
      </c>
      <c r="P19">
        <v>162</v>
      </c>
    </row>
    <row r="20" spans="3:17" x14ac:dyDescent="0.3">
      <c r="C20" t="s">
        <v>117</v>
      </c>
      <c r="E20">
        <v>934</v>
      </c>
      <c r="F20">
        <v>948</v>
      </c>
      <c r="G20">
        <v>963</v>
      </c>
      <c r="H20">
        <v>1016</v>
      </c>
      <c r="I20">
        <v>1252</v>
      </c>
      <c r="J20">
        <v>1265</v>
      </c>
      <c r="K20">
        <v>1275</v>
      </c>
      <c r="L20">
        <v>1292</v>
      </c>
      <c r="M20">
        <v>1299</v>
      </c>
      <c r="N20">
        <v>1270</v>
      </c>
      <c r="O20">
        <v>1270</v>
      </c>
      <c r="P20">
        <v>1274</v>
      </c>
    </row>
    <row r="22" spans="3:17" x14ac:dyDescent="0.3">
      <c r="C22" t="s">
        <v>247</v>
      </c>
    </row>
    <row r="23" spans="3:17" x14ac:dyDescent="0.3">
      <c r="C23" s="22" t="s">
        <v>72</v>
      </c>
      <c r="F23" s="23" t="s">
        <v>16</v>
      </c>
      <c r="G23" s="23" t="s">
        <v>17</v>
      </c>
      <c r="H23" s="23" t="s">
        <v>18</v>
      </c>
      <c r="I23" s="23" t="s">
        <v>19</v>
      </c>
      <c r="J23" s="23" t="s">
        <v>20</v>
      </c>
      <c r="K23" s="23" t="s">
        <v>21</v>
      </c>
      <c r="L23" s="23" t="s">
        <v>22</v>
      </c>
      <c r="M23" s="23" t="s">
        <v>23</v>
      </c>
      <c r="N23" s="23" t="s">
        <v>24</v>
      </c>
      <c r="O23" s="23" t="s">
        <v>25</v>
      </c>
    </row>
    <row r="24" spans="3:17" x14ac:dyDescent="0.3">
      <c r="C24" s="24" t="s">
        <v>73</v>
      </c>
      <c r="F24" s="25">
        <v>58055.044999999998</v>
      </c>
      <c r="G24" s="25">
        <v>55417.025000000001</v>
      </c>
      <c r="H24" s="25">
        <v>57491.51</v>
      </c>
      <c r="I24" s="25">
        <v>52899.925000000003</v>
      </c>
      <c r="J24" s="25">
        <v>51689.205000000002</v>
      </c>
      <c r="K24" s="26">
        <v>46171.112999999998</v>
      </c>
      <c r="L24" s="26">
        <v>47765.055999999997</v>
      </c>
      <c r="M24" s="26">
        <v>49976.188000000002</v>
      </c>
      <c r="N24" s="26">
        <v>51420.946000000004</v>
      </c>
      <c r="O24" s="26">
        <v>49604.870999999999</v>
      </c>
    </row>
    <row r="25" spans="3:17" x14ac:dyDescent="0.3">
      <c r="C25" s="24" t="s">
        <v>74</v>
      </c>
      <c r="F25" s="41">
        <v>38260.082999999999</v>
      </c>
      <c r="G25" s="41">
        <v>36985.093999999997</v>
      </c>
      <c r="H25" s="41">
        <v>38600.608999999997</v>
      </c>
      <c r="I25" s="41">
        <v>34913.603000000003</v>
      </c>
      <c r="J25" s="41">
        <v>34028.915999999997</v>
      </c>
      <c r="K25" s="41">
        <v>29714.271000000001</v>
      </c>
      <c r="L25" s="41">
        <v>30686.973000000002</v>
      </c>
      <c r="M25" s="41">
        <v>32797.031000000003</v>
      </c>
      <c r="N25" s="42">
        <v>33926.53</v>
      </c>
      <c r="O25" s="41">
        <v>32641.973000000002</v>
      </c>
    </row>
    <row r="26" spans="3:17" x14ac:dyDescent="0.3">
      <c r="C26" s="24" t="s">
        <v>75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3:17" x14ac:dyDescent="0.3">
      <c r="C27" s="24" t="s">
        <v>76</v>
      </c>
      <c r="F27" s="43">
        <v>10647.227000000001</v>
      </c>
      <c r="G27" s="43">
        <v>9898.9410000000007</v>
      </c>
      <c r="H27" s="43">
        <v>10264.521000000001</v>
      </c>
      <c r="I27" s="43">
        <v>9583.2720000000008</v>
      </c>
      <c r="J27" s="43">
        <v>9305.8539999999994</v>
      </c>
      <c r="K27" s="43">
        <v>8557.2309999999998</v>
      </c>
      <c r="L27" s="43">
        <v>9001.4660000000003</v>
      </c>
      <c r="M27" s="43">
        <v>9285.2530000000006</v>
      </c>
      <c r="N27" s="43">
        <v>9498.2459999999992</v>
      </c>
      <c r="O27" s="43">
        <v>9225.8529999999992</v>
      </c>
    </row>
    <row r="28" spans="3:17" x14ac:dyDescent="0.3">
      <c r="C28" s="24" t="s">
        <v>77</v>
      </c>
      <c r="F28" s="25"/>
      <c r="G28" s="25"/>
      <c r="H28" s="25"/>
      <c r="I28" s="25"/>
      <c r="J28" s="25"/>
      <c r="K28" s="26"/>
      <c r="L28" s="27"/>
      <c r="M28" s="26"/>
      <c r="N28" s="27"/>
      <c r="O28" s="27"/>
    </row>
    <row r="29" spans="3:17" x14ac:dyDescent="0.3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 t="s">
        <v>78</v>
      </c>
    </row>
    <row r="30" spans="3:17" x14ac:dyDescent="0.3">
      <c r="C30" s="9" t="s">
        <v>167</v>
      </c>
      <c r="F30" s="8">
        <f>F27/(F27+F25)</f>
        <v>0.21770215945223734</v>
      </c>
      <c r="G30" s="8">
        <f t="shared" ref="G30:O30" si="7">G27/(G27+G25)</f>
        <v>0.21113671210253132</v>
      </c>
      <c r="H30" s="8">
        <f t="shared" si="7"/>
        <v>0.21005819487229443</v>
      </c>
      <c r="I30" s="8">
        <f t="shared" si="7"/>
        <v>0.2153695512325304</v>
      </c>
      <c r="J30" s="8">
        <f t="shared" si="7"/>
        <v>0.21474335735484462</v>
      </c>
      <c r="K30" s="8">
        <f t="shared" si="7"/>
        <v>0.22359276623112412</v>
      </c>
      <c r="L30" s="8">
        <f t="shared" si="7"/>
        <v>0.22680322599737421</v>
      </c>
      <c r="M30" s="8">
        <f t="shared" si="7"/>
        <v>0.22064517695855104</v>
      </c>
      <c r="N30" s="8">
        <f t="shared" si="7"/>
        <v>0.21872872758169207</v>
      </c>
      <c r="O30" s="8">
        <f t="shared" si="7"/>
        <v>0.2203566289780606</v>
      </c>
      <c r="P30" s="9"/>
      <c r="Q30" s="8">
        <f>AVERAGE(F30:O30)</f>
        <v>0.21791365007612401</v>
      </c>
    </row>
    <row r="34" spans="17:17" x14ac:dyDescent="0.3">
      <c r="Q34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101"/>
  <sheetViews>
    <sheetView workbookViewId="0">
      <pane xSplit="4" ySplit="1" topLeftCell="AW20" activePane="bottomRight" state="frozen"/>
      <selection pane="topRight" activeCell="F1" sqref="F1"/>
      <selection pane="bottomLeft" activeCell="A2" sqref="A2"/>
      <selection pane="bottomRight" activeCell="AX26" sqref="AX26:AX27"/>
    </sheetView>
  </sheetViews>
  <sheetFormatPr defaultColWidth="8.88671875" defaultRowHeight="14.4" x14ac:dyDescent="0.3"/>
  <cols>
    <col min="1" max="2" width="8.88671875" style="9"/>
    <col min="3" max="3" width="19" style="9" customWidth="1"/>
    <col min="4" max="4" width="6.44140625" style="9" customWidth="1"/>
    <col min="5" max="48" width="9.109375" style="9" customWidth="1"/>
    <col min="49" max="49" width="13.33203125" style="9" customWidth="1"/>
    <col min="50" max="50" width="8.88671875" style="9" customWidth="1"/>
    <col min="51" max="53" width="8.88671875" style="9"/>
    <col min="54" max="54" width="10.88671875" style="9" customWidth="1"/>
    <col min="55" max="56" width="8.88671875" style="9"/>
    <col min="57" max="60" width="8.88671875" style="9" customWidth="1"/>
    <col min="61" max="65" width="8.88671875" style="9"/>
    <col min="66" max="66" width="8.88671875" style="9" customWidth="1"/>
    <col min="67" max="16384" width="8.88671875" style="9"/>
  </cols>
  <sheetData>
    <row r="1" spans="1:67" x14ac:dyDescent="0.3">
      <c r="A1" s="9" t="s">
        <v>68</v>
      </c>
      <c r="B1" s="9" t="s">
        <v>69</v>
      </c>
      <c r="C1" s="9" t="s">
        <v>70</v>
      </c>
      <c r="D1" s="9" t="s">
        <v>71</v>
      </c>
      <c r="E1" s="9">
        <v>1966</v>
      </c>
      <c r="F1" s="9">
        <v>1967</v>
      </c>
      <c r="G1" s="9">
        <v>1968</v>
      </c>
      <c r="H1" s="9">
        <v>1969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1">
        <v>2009</v>
      </c>
      <c r="AW1" s="1">
        <v>2010</v>
      </c>
      <c r="AX1" s="1">
        <v>2011</v>
      </c>
      <c r="AY1" s="1">
        <v>2012</v>
      </c>
      <c r="AZ1" s="1">
        <v>2013</v>
      </c>
      <c r="BA1" s="1">
        <v>2014</v>
      </c>
      <c r="BB1" s="1">
        <v>2015</v>
      </c>
      <c r="BC1" s="1">
        <v>2016</v>
      </c>
      <c r="BD1" s="1">
        <v>2017</v>
      </c>
      <c r="BE1" s="1">
        <v>2018</v>
      </c>
      <c r="BF1" s="1">
        <v>2019</v>
      </c>
      <c r="BG1" s="1">
        <v>2020</v>
      </c>
      <c r="BH1" s="1">
        <v>2021</v>
      </c>
      <c r="BI1" s="1">
        <v>2022</v>
      </c>
      <c r="BJ1" s="1">
        <v>2025</v>
      </c>
      <c r="BK1" s="1">
        <v>2030</v>
      </c>
    </row>
    <row r="2" spans="1:67" x14ac:dyDescent="0.3">
      <c r="A2" s="9" t="s">
        <v>6</v>
      </c>
      <c r="B2" s="9" t="s">
        <v>65</v>
      </c>
      <c r="C2" s="17" t="s">
        <v>60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"/>
      <c r="AW2" s="46">
        <f>HLOOKUP(AW$1,  HDD!$B$4:$AP$33,   MATCH($A$2, HDD!$A$4:$A$33,0), FALSE)</f>
        <v>6205.66</v>
      </c>
      <c r="AX2" s="46">
        <f>HLOOKUP(AX$1,  HDD!$B$4:$AP$33,   MATCH($A$2, HDD!$A$4:$A$33,0), FALSE)</f>
        <v>5198.76</v>
      </c>
      <c r="AY2" s="46">
        <f>HLOOKUP(AY$1,  HDD!$B$4:$AP$33,   MATCH($A$2, HDD!$A$4:$A$33,0), FALSE)</f>
        <v>5783.7</v>
      </c>
      <c r="AZ2" s="46">
        <f>HLOOKUP(AZ$1,  HDD!$B$4:$AP$33,   MATCH($A$2, HDD!$A$4:$A$33,0), FALSE)</f>
        <v>5492.84</v>
      </c>
      <c r="BA2" s="46">
        <f>HLOOKUP(BA$1,  HDD!$B$4:$AP$33,   MATCH($A$2, HDD!$A$4:$A$33,0), FALSE)</f>
        <v>5136.42</v>
      </c>
      <c r="BB2" s="46">
        <f>HLOOKUP(BB$1,  HDD!$B$4:$AP$33,   MATCH($A$2, HDD!$A$4:$A$33,0), FALSE)</f>
        <v>5264.25</v>
      </c>
      <c r="BC2" s="46">
        <f>HLOOKUP(BC$1,  HDD!$B$4:$AP$33,   MATCH($A$2, HDD!$A$4:$A$33,0), FALSE)</f>
        <v>5371.01</v>
      </c>
      <c r="BD2" s="46">
        <f>HLOOKUP(BD$1,  HDD!$B$4:$AP$33,   MATCH($A$2, HDD!$A$4:$A$33,0), FALSE)</f>
        <v>5513.51</v>
      </c>
      <c r="BE2" s="46">
        <f>HLOOKUP(BE$1,  HDD!$B$4:$AP$33,   MATCH($A$2, HDD!$A$4:$A$33,0), FALSE)</f>
        <v>5420.27</v>
      </c>
      <c r="BF2" s="46">
        <f>HLOOKUP(BF$1,  HDD!$B$4:$AP$33,   MATCH($A$2, HDD!$A$4:$A$33,0), FALSE)</f>
        <v>5509.44</v>
      </c>
      <c r="BG2" s="46">
        <f>HLOOKUP(BG$1,  HDD!$B$4:$AP$33,   MATCH($A$2, HDD!$A$4:$A$33,0), FALSE)</f>
        <v>5098.68</v>
      </c>
      <c r="BH2" s="47"/>
      <c r="BI2" s="47"/>
      <c r="BJ2" s="46">
        <f>HLOOKUP(BJ$1,  HDD!$B$4:$AP$33,   MATCH($A$2, HDD!$A$4:$A$33,0), FALSE)</f>
        <v>5335.2231344537831</v>
      </c>
      <c r="BK2" s="46">
        <f>HLOOKUP(BK$1,  HDD!$B$4:$AP$33,   MATCH($A$2, HDD!$A$4:$A$33,0), FALSE)</f>
        <v>5289.5416358543407</v>
      </c>
    </row>
    <row r="3" spans="1:67" x14ac:dyDescent="0.3">
      <c r="A3" s="9" t="s">
        <v>6</v>
      </c>
      <c r="B3" s="9" t="s">
        <v>65</v>
      </c>
      <c r="C3" s="17" t="s">
        <v>61</v>
      </c>
      <c r="D3" s="17" t="s">
        <v>62</v>
      </c>
      <c r="E3" s="17"/>
      <c r="F3" s="17"/>
      <c r="G3" s="17"/>
      <c r="H3" s="1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9"/>
      <c r="AV3" s="21"/>
      <c r="AW3" s="34">
        <f>HLOOKUP(AW$1, Pop!$B$8:$M$62, MATCH($A$3, Pop!$A$8:$A$62,0), FALSE)/1000000</f>
        <v>4.8581989999999999</v>
      </c>
      <c r="AX3" s="34">
        <f>HLOOKUP(AX$1, Pop!$B$8:$P$62, MATCH($A$3, Pop!$A$8:$A$62,0), FALSE)/1000000</f>
        <v>4.9203049999999999</v>
      </c>
      <c r="AY3" s="34">
        <f>HLOOKUP(AY$1, Pop!$B$8:$P$62, MATCH($A$3, Pop!$A$8:$A$62,0), FALSE)/1000000</f>
        <v>4.9858700000000002</v>
      </c>
      <c r="AZ3" s="34">
        <f>HLOOKUP(AZ$1, Pop!$B$8:$P$62, MATCH($A$3, Pop!$A$8:$A$62,0), FALSE)/1000000</f>
        <v>5.0512750000000004</v>
      </c>
      <c r="BA3" s="34">
        <f>HLOOKUP(BA$1, Pop!$B$8:$P$62, MATCH($A$3, Pop!$A$8:$A$62,0), FALSE)/1000000</f>
        <v>5.1079699999999999</v>
      </c>
      <c r="BB3" s="34">
        <f>HLOOKUP(BB$1, Pop!$B$8:$P$62, MATCH($A$3, Pop!$A$8:$A$62,0), FALSE)/1000000</f>
        <v>5.166493</v>
      </c>
      <c r="BC3" s="34">
        <f>HLOOKUP(BC$1, Pop!$B$8:$P$62, MATCH($A$3, Pop!$A$8:$A$62,0), FALSE)/1000000</f>
        <v>5.2107210000000004</v>
      </c>
      <c r="BD3" s="34">
        <f>HLOOKUP(BD$1, Pop!$B$8:$P$62, MATCH($A$3, Pop!$A$8:$A$62,0), FALSE)/1000000</f>
        <v>5.2583169999999999</v>
      </c>
      <c r="BE3" s="34">
        <f>HLOOKUP(BE$1, Pop!$B$8:$P$62, MATCH($A$3, Pop!$A$8:$A$62,0), FALSE)/1000000</f>
        <v>5.2956190000000003</v>
      </c>
      <c r="BF3" s="34">
        <f>HLOOKUP(BF$1, Pop!$B$8:$P$62, MATCH($A$3, Pop!$A$8:$A$62,0), FALSE)/1000000</f>
        <v>5.3282119999999997</v>
      </c>
      <c r="BG3" s="34">
        <f>HLOOKUP(BG$1, Pop!$B$8:$P$62, MATCH($A$3, Pop!$A$8:$A$62,0), FALSE)/1000000</f>
        <v>5.3675800000000002</v>
      </c>
      <c r="BH3" s="34">
        <f>HLOOKUP(BH$1, Pop!$B$8:$M$62, MATCH($A$3, Pop!$A$8:$A$62,0), FALSE)/1000000</f>
        <v>5.3913690000000001</v>
      </c>
      <c r="BI3" s="48"/>
      <c r="BJ3" s="34">
        <f>HLOOKUP(BJ$1, Pop!$B$8:$P$62, MATCH($A$3, Pop!$A$8:$A$62,0), FALSE)/1000000</f>
        <v>5.4975550000000002</v>
      </c>
      <c r="BK3" s="34">
        <f>HLOOKUP(BK$1, Pop!$B$8:$P$62, MATCH($A$3, Pop!$A$8:$A$62,0), FALSE)/1000000</f>
        <v>5.6255620000000004</v>
      </c>
    </row>
    <row r="4" spans="1:67" x14ac:dyDescent="0.3">
      <c r="A4" s="9" t="s">
        <v>6</v>
      </c>
      <c r="B4" s="9" t="s">
        <v>65</v>
      </c>
      <c r="C4" s="17" t="s">
        <v>163</v>
      </c>
      <c r="D4" s="17" t="s">
        <v>64</v>
      </c>
      <c r="E4" s="18"/>
      <c r="F4" s="18"/>
      <c r="G4" s="17"/>
      <c r="H4" s="1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9">
        <f>$BC91</f>
        <v>4300</v>
      </c>
      <c r="AX4" s="9">
        <f>$BC92</f>
        <v>3730</v>
      </c>
      <c r="AY4" s="9">
        <f>$BC93</f>
        <v>4223</v>
      </c>
      <c r="AZ4" s="9">
        <f>$BC94</f>
        <v>4700</v>
      </c>
      <c r="BA4" s="9">
        <f>$BC95</f>
        <v>4461</v>
      </c>
      <c r="BB4" s="9">
        <f>$BC96</f>
        <v>4831</v>
      </c>
      <c r="BC4" s="9">
        <f>$BC97</f>
        <v>5246</v>
      </c>
      <c r="BD4" s="9">
        <f>$BC98</f>
        <v>5478</v>
      </c>
      <c r="BE4" s="9">
        <f>$BC99</f>
        <v>5747</v>
      </c>
      <c r="BF4" s="9">
        <f>$BC100</f>
        <v>5870</v>
      </c>
      <c r="BH4" s="50"/>
      <c r="BI4" s="50"/>
      <c r="BJ4" s="50"/>
      <c r="BK4" s="50"/>
      <c r="BM4" s="9" t="s">
        <v>82</v>
      </c>
      <c r="BN4" s="9" t="s">
        <v>83</v>
      </c>
      <c r="BO4" s="9" t="s">
        <v>81</v>
      </c>
    </row>
    <row r="5" spans="1:67" x14ac:dyDescent="0.3">
      <c r="A5" s="9" t="s">
        <v>6</v>
      </c>
      <c r="B5" s="9" t="s">
        <v>65</v>
      </c>
      <c r="C5" s="17" t="s">
        <v>76</v>
      </c>
      <c r="D5" s="17"/>
      <c r="E5" s="18"/>
      <c r="F5" s="18"/>
      <c r="G5" s="17"/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"/>
      <c r="AW5" s="49">
        <f t="shared" ref="AW5:BA5" si="0">BB33/$BK$33*$BF$5</f>
        <v>866.81180325739706</v>
      </c>
      <c r="AX5" s="49">
        <f t="shared" si="0"/>
        <v>869.38766539825042</v>
      </c>
      <c r="AY5" s="49">
        <f t="shared" si="0"/>
        <v>884.63768108170893</v>
      </c>
      <c r="AZ5" s="49">
        <f t="shared" si="0"/>
        <v>899.59895705616339</v>
      </c>
      <c r="BA5" s="49">
        <f t="shared" si="0"/>
        <v>908.02559751104923</v>
      </c>
      <c r="BB5" s="49">
        <f>BG33/$BK$33*$BF$5</f>
        <v>919.85632716682642</v>
      </c>
      <c r="BC5" s="49">
        <f>BH33/$BK$33*$BF$5</f>
        <v>913.27610116688868</v>
      </c>
      <c r="BD5" s="49">
        <f>BI33/$BK$33*$BF$5</f>
        <v>927.46993738846356</v>
      </c>
      <c r="BE5" s="49">
        <f>BJ33/$BK$33*$BF$5</f>
        <v>940.39483857309892</v>
      </c>
      <c r="BF5" s="49">
        <f>$BM$39*BF4</f>
        <v>945.35329721010748</v>
      </c>
      <c r="BG5" s="49"/>
      <c r="BH5" s="50"/>
      <c r="BI5" s="50"/>
      <c r="BJ5" s="49">
        <f>$BN$10*BJ$8</f>
        <v>1361.3622611342448</v>
      </c>
      <c r="BK5" s="49"/>
    </row>
    <row r="6" spans="1:67" x14ac:dyDescent="0.3">
      <c r="A6" s="9" t="s">
        <v>6</v>
      </c>
      <c r="B6" s="9" t="s">
        <v>65</v>
      </c>
      <c r="C6" s="17" t="s">
        <v>74</v>
      </c>
      <c r="D6" s="17"/>
      <c r="E6" s="18"/>
      <c r="F6" s="18"/>
      <c r="G6" s="17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"/>
      <c r="AW6" s="49">
        <f t="shared" ref="AW6:BF6" si="1">AW4-AW5</f>
        <v>3433.1881967426029</v>
      </c>
      <c r="AX6" s="49">
        <f t="shared" si="1"/>
        <v>2860.6123346017494</v>
      </c>
      <c r="AY6" s="49">
        <f t="shared" si="1"/>
        <v>3338.3623189182908</v>
      </c>
      <c r="AZ6" s="49">
        <f t="shared" si="1"/>
        <v>3800.4010429438367</v>
      </c>
      <c r="BA6" s="49">
        <f t="shared" si="1"/>
        <v>3552.9744024889505</v>
      </c>
      <c r="BB6" s="49">
        <f t="shared" si="1"/>
        <v>3911.1436728331737</v>
      </c>
      <c r="BC6" s="49">
        <f t="shared" si="1"/>
        <v>4332.723898833111</v>
      </c>
      <c r="BD6" s="49">
        <f t="shared" si="1"/>
        <v>4550.5300626115368</v>
      </c>
      <c r="BE6" s="49">
        <f t="shared" si="1"/>
        <v>4806.6051614269008</v>
      </c>
      <c r="BF6" s="49">
        <f t="shared" si="1"/>
        <v>4924.6467027898925</v>
      </c>
      <c r="BG6" s="49"/>
      <c r="BH6" s="50"/>
      <c r="BI6" s="50"/>
      <c r="BJ6" s="50"/>
      <c r="BK6" s="50"/>
      <c r="BM6" s="33">
        <f t="array" ref="BM6:BO6">LINEST(AW6:BF6,AW2:BF3)</f>
        <v>4574.7761833883224</v>
      </c>
      <c r="BN6" s="33">
        <v>0.81561565069988518</v>
      </c>
      <c r="BO6" s="33">
        <v>-23941.34172540568</v>
      </c>
    </row>
    <row r="7" spans="1:67" x14ac:dyDescent="0.3">
      <c r="A7" s="9" t="s">
        <v>6</v>
      </c>
      <c r="B7" s="9" t="s">
        <v>65</v>
      </c>
      <c r="C7" s="17" t="s">
        <v>206</v>
      </c>
      <c r="D7" s="17"/>
      <c r="E7" s="18"/>
      <c r="F7" s="18"/>
      <c r="G7" s="17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"/>
      <c r="AW7" s="47">
        <f>$BN$6*AW2+$BM$6*AW3+$BO$6</f>
        <v>3345.2647728775337</v>
      </c>
      <c r="AX7" s="47">
        <f>$BN$6*AX2+$BM$6*AX3+$BO$6</f>
        <v>2808.1424238333311</v>
      </c>
      <c r="AY7" s="47">
        <f t="shared" ref="AY7:BF7" si="2">$BN$6*AY2+$BM$6*AY3+$BO$6</f>
        <v>3585.1738430175828</v>
      </c>
      <c r="AZ7" s="47">
        <f t="shared" si="2"/>
        <v>3647.157111129527</v>
      </c>
      <c r="BA7" s="47">
        <f t="shared" si="2"/>
        <v>3615.8223166242715</v>
      </c>
      <c r="BB7" s="47">
        <f t="shared" si="2"/>
        <v>3987.8120918336754</v>
      </c>
      <c r="BC7" s="47">
        <f t="shared" si="2"/>
        <v>4277.2204197412975</v>
      </c>
      <c r="BD7" s="47">
        <f t="shared" si="2"/>
        <v>4611.1866971905765</v>
      </c>
      <c r="BE7" s="47">
        <f t="shared" si="2"/>
        <v>4705.7869951120701</v>
      </c>
      <c r="BF7" s="47">
        <f t="shared" si="2"/>
        <v>4927.6211228301509</v>
      </c>
      <c r="BG7" s="47"/>
      <c r="BH7" s="50"/>
      <c r="BI7" s="50"/>
      <c r="BJ7" s="47">
        <f>BN6*BJ2+BM6*BJ3+BO6</f>
        <v>5560.2334438983125</v>
      </c>
      <c r="BK7" s="47">
        <f>BN6*BK2+BM6*BK3+BO6</f>
        <v>6108.5782736001711</v>
      </c>
    </row>
    <row r="8" spans="1:67" x14ac:dyDescent="0.3">
      <c r="A8" s="9" t="s">
        <v>6</v>
      </c>
      <c r="B8" s="9" t="s">
        <v>65</v>
      </c>
      <c r="C8" s="17" t="s">
        <v>85</v>
      </c>
      <c r="D8" s="17"/>
      <c r="E8" s="18"/>
      <c r="F8" s="18"/>
      <c r="G8" s="17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"/>
      <c r="AW8" s="49">
        <f t="shared" ref="AW8:BF8" si="3">AW5+AW7</f>
        <v>4212.0765761349303</v>
      </c>
      <c r="AX8" s="49">
        <f t="shared" si="3"/>
        <v>3677.5300892315818</v>
      </c>
      <c r="AY8" s="49">
        <f t="shared" si="3"/>
        <v>4469.811524099292</v>
      </c>
      <c r="AZ8" s="49">
        <f t="shared" si="3"/>
        <v>4546.7560681856903</v>
      </c>
      <c r="BA8" s="49">
        <f t="shared" si="3"/>
        <v>4523.8479141353209</v>
      </c>
      <c r="BB8" s="49">
        <f t="shared" si="3"/>
        <v>4907.6684190005017</v>
      </c>
      <c r="BC8" s="49">
        <f t="shared" si="3"/>
        <v>5190.4965209081865</v>
      </c>
      <c r="BD8" s="49">
        <f t="shared" si="3"/>
        <v>5538.6566345790397</v>
      </c>
      <c r="BE8" s="49">
        <f t="shared" si="3"/>
        <v>5646.1818336851693</v>
      </c>
      <c r="BF8" s="49">
        <f t="shared" si="3"/>
        <v>5872.9744200402583</v>
      </c>
      <c r="BG8" s="49"/>
      <c r="BH8" s="49"/>
      <c r="BI8" s="49"/>
      <c r="BJ8" s="49">
        <f>TREND($AW$8:$BF$8,$AW$1:$BF$1,BJ$1)</f>
        <v>7174.1942868388724</v>
      </c>
      <c r="BK8" s="49">
        <f>TREND($AW$8:$BF$8,$AW$1:$BF$1,BK$1)</f>
        <v>8276.8582329526544</v>
      </c>
    </row>
    <row r="9" spans="1:67" x14ac:dyDescent="0.3">
      <c r="A9" s="9" t="s">
        <v>6</v>
      </c>
      <c r="B9" s="9" t="s">
        <v>65</v>
      </c>
      <c r="C9" s="17" t="s">
        <v>164</v>
      </c>
      <c r="D9" s="17"/>
      <c r="E9" s="18"/>
      <c r="F9" s="18"/>
      <c r="G9" s="17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"/>
      <c r="AW9" s="51">
        <f t="shared" ref="AW9:BF9" si="4">AW8/AW4</f>
        <v>0.97955269212440244</v>
      </c>
      <c r="AX9" s="51">
        <f t="shared" si="4"/>
        <v>0.98593299979398974</v>
      </c>
      <c r="AY9" s="51">
        <f t="shared" si="4"/>
        <v>1.0584445948613053</v>
      </c>
      <c r="AZ9" s="51">
        <f t="shared" si="4"/>
        <v>0.96739490812461493</v>
      </c>
      <c r="BA9" s="51">
        <f t="shared" si="4"/>
        <v>1.0140883017564046</v>
      </c>
      <c r="BB9" s="51">
        <f t="shared" si="4"/>
        <v>1.0158700929415239</v>
      </c>
      <c r="BC9" s="51">
        <f t="shared" si="4"/>
        <v>0.98941984767597912</v>
      </c>
      <c r="BD9" s="51">
        <f t="shared" si="4"/>
        <v>1.0110727700947499</v>
      </c>
      <c r="BE9" s="51">
        <f t="shared" si="4"/>
        <v>0.98245725312078813</v>
      </c>
      <c r="BF9" s="51">
        <f t="shared" si="4"/>
        <v>1.0005067155094136</v>
      </c>
      <c r="BG9" s="51"/>
      <c r="BH9" s="50"/>
      <c r="BI9" s="50"/>
      <c r="BJ9" s="51"/>
      <c r="BK9" s="47"/>
    </row>
    <row r="10" spans="1:67" x14ac:dyDescent="0.3">
      <c r="A10" s="9" t="s">
        <v>6</v>
      </c>
      <c r="B10" s="9" t="s">
        <v>65</v>
      </c>
      <c r="C10" s="17" t="s">
        <v>207</v>
      </c>
      <c r="D10" s="17"/>
      <c r="E10" s="18"/>
      <c r="F10" s="18"/>
      <c r="G10" s="17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"/>
      <c r="AW10" s="52">
        <f>AW5/AW4</f>
        <v>0.20158414029241792</v>
      </c>
      <c r="AX10" s="52">
        <f>AX5/AX4</f>
        <v>0.2330798030558312</v>
      </c>
      <c r="AY10" s="52">
        <f>AY5/AY4</f>
        <v>0.20948086220263057</v>
      </c>
      <c r="AZ10" s="52">
        <f t="shared" ref="AZ10:BF10" si="5">AZ5/AZ4</f>
        <v>0.19140403341620499</v>
      </c>
      <c r="BA10" s="52">
        <f t="shared" si="5"/>
        <v>0.20354754483547394</v>
      </c>
      <c r="BB10" s="52">
        <f t="shared" si="5"/>
        <v>0.1904070228041454</v>
      </c>
      <c r="BC10" s="52">
        <f t="shared" si="5"/>
        <v>0.17408999259757696</v>
      </c>
      <c r="BD10" s="52">
        <f t="shared" si="5"/>
        <v>0.169308130227905</v>
      </c>
      <c r="BE10" s="52">
        <f t="shared" si="5"/>
        <v>0.1636323018223593</v>
      </c>
      <c r="BF10" s="52">
        <f t="shared" si="5"/>
        <v>0.16104826187565716</v>
      </c>
      <c r="BG10" s="52"/>
      <c r="BH10" s="50"/>
      <c r="BI10" s="50"/>
      <c r="BJ10" s="47"/>
      <c r="BK10" s="47"/>
      <c r="BM10" s="9" t="s">
        <v>173</v>
      </c>
      <c r="BN10" s="8">
        <f>AVERAGE(AW10:BF10)</f>
        <v>0.18975820931302026</v>
      </c>
    </row>
    <row r="11" spans="1:67" x14ac:dyDescent="0.3">
      <c r="C11" s="17"/>
      <c r="D11" s="17"/>
      <c r="E11" s="18"/>
      <c r="F11" s="18"/>
      <c r="G11" s="17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"/>
      <c r="AW11" s="49"/>
      <c r="AX11" s="49"/>
      <c r="AY11" s="52"/>
      <c r="AZ11" s="52"/>
      <c r="BA11" s="52"/>
      <c r="BB11" s="52"/>
      <c r="BC11" s="52"/>
      <c r="BD11" s="52"/>
      <c r="BE11" s="52"/>
      <c r="BF11" s="52"/>
      <c r="BG11" s="52"/>
      <c r="BH11" s="50"/>
      <c r="BI11" s="50"/>
      <c r="BJ11" s="47"/>
      <c r="BK11" s="47"/>
      <c r="BN11" s="8"/>
    </row>
    <row r="12" spans="1:67" x14ac:dyDescent="0.3">
      <c r="A12" s="9" t="s">
        <v>6</v>
      </c>
      <c r="B12" s="9" t="s">
        <v>239</v>
      </c>
      <c r="C12" s="17" t="s">
        <v>61</v>
      </c>
      <c r="D12" s="17" t="s">
        <v>62</v>
      </c>
      <c r="E12" s="17"/>
      <c r="F12" s="17"/>
      <c r="G12" s="17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19"/>
      <c r="AV12" s="20"/>
      <c r="AW12" s="53">
        <f>AW57</f>
        <v>3.719214</v>
      </c>
      <c r="AX12" s="53">
        <f t="shared" ref="AX12:BF12" si="6">AX57</f>
        <v>3.771944</v>
      </c>
      <c r="AY12" s="53">
        <f t="shared" si="6"/>
        <v>3.8271449999999998</v>
      </c>
      <c r="AZ12" s="53">
        <f t="shared" si="6"/>
        <v>3.8801100000000002</v>
      </c>
      <c r="BA12" s="53">
        <f t="shared" si="6"/>
        <v>3.9280529999999998</v>
      </c>
      <c r="BB12" s="53">
        <f t="shared" si="6"/>
        <v>3.9755579999999999</v>
      </c>
      <c r="BC12" s="53">
        <f t="shared" si="6"/>
        <v>4.0169319999999997</v>
      </c>
      <c r="BD12" s="53">
        <f t="shared" si="6"/>
        <v>4.0528000000000004</v>
      </c>
      <c r="BE12" s="53">
        <f t="shared" si="6"/>
        <v>4.0840180000000004</v>
      </c>
      <c r="BF12" s="53">
        <f t="shared" si="6"/>
        <v>4.1123099999999999</v>
      </c>
      <c r="BG12" s="53"/>
      <c r="BH12" s="48"/>
      <c r="BI12" s="48"/>
      <c r="BJ12" s="53">
        <f t="shared" ref="BJ12:BK12" si="7">BJ57</f>
        <v>4.2670430000000001</v>
      </c>
      <c r="BK12" s="53">
        <f t="shared" si="7"/>
        <v>4.3775979999999999</v>
      </c>
    </row>
    <row r="13" spans="1:67" x14ac:dyDescent="0.3">
      <c r="A13" s="9" t="s">
        <v>6</v>
      </c>
      <c r="B13" s="9" t="s">
        <v>239</v>
      </c>
      <c r="C13" s="17" t="s">
        <v>63</v>
      </c>
      <c r="D13" s="17" t="s">
        <v>64</v>
      </c>
      <c r="E13" s="17"/>
      <c r="F13" s="17"/>
      <c r="G13" s="17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"/>
      <c r="AW13" s="49">
        <f t="shared" ref="AW13:BE13" si="8">AW$12/AW$3*AW$9*$BJ$8</f>
        <v>5379.9322181416746</v>
      </c>
      <c r="AX13" s="49">
        <f t="shared" si="8"/>
        <v>5422.4274304155842</v>
      </c>
      <c r="AY13" s="49">
        <f t="shared" si="8"/>
        <v>5828.7473274643044</v>
      </c>
      <c r="AZ13" s="49">
        <f t="shared" si="8"/>
        <v>5331.1383838482143</v>
      </c>
      <c r="BA13" s="49">
        <f t="shared" si="8"/>
        <v>5594.7142219531215</v>
      </c>
      <c r="BB13" s="49">
        <f t="shared" si="8"/>
        <v>5608.0716965951733</v>
      </c>
      <c r="BC13" s="49">
        <f t="shared" si="8"/>
        <v>5472.0544669168276</v>
      </c>
      <c r="BD13" s="49">
        <f t="shared" si="8"/>
        <v>5590.671265859829</v>
      </c>
      <c r="BE13" s="49">
        <f t="shared" si="8"/>
        <v>5435.7279505111528</v>
      </c>
      <c r="BF13" s="49">
        <f>BF$12/BF$3*BF$9*$BJ$8</f>
        <v>5539.8434385782602</v>
      </c>
      <c r="BG13" s="49"/>
      <c r="BH13" s="47"/>
      <c r="BI13" s="47"/>
      <c r="BJ13" s="47">
        <f>BJ12/BJ$3*BJ$8</f>
        <v>5568.401864519009</v>
      </c>
      <c r="BK13" s="47">
        <f>BK12/BK$3*BK$8</f>
        <v>6440.7357072692594</v>
      </c>
    </row>
    <row r="14" spans="1:67" x14ac:dyDescent="0.3">
      <c r="A14" s="9" t="s">
        <v>6</v>
      </c>
      <c r="B14" s="9" t="s">
        <v>239</v>
      </c>
      <c r="C14" s="17" t="s">
        <v>74</v>
      </c>
      <c r="D14" s="17" t="s">
        <v>64</v>
      </c>
      <c r="E14" s="17"/>
      <c r="F14" s="17"/>
      <c r="G14" s="17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"/>
      <c r="AW14" s="49">
        <f>AW$9*$BJ$13-AW$15</f>
        <v>4397.8930706737265</v>
      </c>
      <c r="AX14" s="49">
        <f t="shared" ref="AX14:BF14" si="9">AX$9*$BJ$13-AX$15</f>
        <v>4433.4211877972612</v>
      </c>
      <c r="AY14" s="49">
        <f t="shared" si="9"/>
        <v>4837.1948889693485</v>
      </c>
      <c r="AZ14" s="49">
        <f t="shared" si="9"/>
        <v>4330.1936435808902</v>
      </c>
      <c r="BA14" s="49">
        <f t="shared" si="9"/>
        <v>4590.201223740868</v>
      </c>
      <c r="BB14" s="49">
        <f t="shared" si="9"/>
        <v>4600.12295309827</v>
      </c>
      <c r="BC14" s="49">
        <f t="shared" si="9"/>
        <v>4452.837358044625</v>
      </c>
      <c r="BD14" s="49">
        <f t="shared" si="9"/>
        <v>4573.4095316135945</v>
      </c>
      <c r="BE14" s="49">
        <f t="shared" si="9"/>
        <v>4414.0668335416103</v>
      </c>
      <c r="BF14" s="49">
        <f t="shared" si="9"/>
        <v>4514.5734935599976</v>
      </c>
      <c r="BG14" s="49"/>
      <c r="BH14" s="47"/>
      <c r="BI14" s="47"/>
      <c r="BJ14" s="47">
        <f>BJ13-BJ15</f>
        <v>4511.7518979725983</v>
      </c>
      <c r="BK14" s="47">
        <f>BK13-BK15</f>
        <v>5384.0857407228486</v>
      </c>
    </row>
    <row r="15" spans="1:67" x14ac:dyDescent="0.3">
      <c r="A15" s="9" t="s">
        <v>6</v>
      </c>
      <c r="B15" s="9" t="s">
        <v>239</v>
      </c>
      <c r="C15" s="17" t="s">
        <v>76</v>
      </c>
      <c r="D15" s="17" t="s">
        <v>165</v>
      </c>
      <c r="E15" s="17"/>
      <c r="F15" s="17"/>
      <c r="G15" s="17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"/>
      <c r="AW15" s="49">
        <f t="shared" ref="AW15:AX15" si="10">$BJ$15</f>
        <v>1056.6499665464105</v>
      </c>
      <c r="AX15" s="49">
        <f t="shared" si="10"/>
        <v>1056.6499665464105</v>
      </c>
      <c r="AY15" s="49">
        <f>$BJ$15</f>
        <v>1056.6499665464105</v>
      </c>
      <c r="AZ15" s="49">
        <f t="shared" ref="AZ15:BF15" si="11">$BJ$15</f>
        <v>1056.6499665464105</v>
      </c>
      <c r="BA15" s="49">
        <f t="shared" si="11"/>
        <v>1056.6499665464105</v>
      </c>
      <c r="BB15" s="49">
        <f t="shared" si="11"/>
        <v>1056.6499665464105</v>
      </c>
      <c r="BC15" s="49">
        <f t="shared" si="11"/>
        <v>1056.6499665464105</v>
      </c>
      <c r="BD15" s="49">
        <f t="shared" si="11"/>
        <v>1056.6499665464105</v>
      </c>
      <c r="BE15" s="49">
        <f t="shared" si="11"/>
        <v>1056.6499665464105</v>
      </c>
      <c r="BF15" s="49">
        <f t="shared" si="11"/>
        <v>1056.6499665464105</v>
      </c>
      <c r="BG15" s="49"/>
      <c r="BH15" s="47"/>
      <c r="BI15" s="47"/>
      <c r="BJ15" s="47">
        <f>BJ12/BJ3*BJ5</f>
        <v>1056.6499665464105</v>
      </c>
      <c r="BK15" s="49">
        <f t="shared" ref="BK15" si="12">$BJ$15</f>
        <v>1056.6499665464105</v>
      </c>
    </row>
    <row r="16" spans="1:67" x14ac:dyDescent="0.3">
      <c r="A16" s="9" t="s">
        <v>6</v>
      </c>
      <c r="B16" s="9" t="s">
        <v>208</v>
      </c>
      <c r="C16" s="17" t="s">
        <v>61</v>
      </c>
      <c r="D16" s="17" t="s">
        <v>62</v>
      </c>
      <c r="E16" s="17"/>
      <c r="F16" s="17"/>
      <c r="G16" s="17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9"/>
      <c r="AV16" s="20"/>
      <c r="AW16" s="53">
        <f>AW61</f>
        <v>0.54180899999999999</v>
      </c>
      <c r="AX16" s="53">
        <f t="shared" ref="AX16:BF16" si="13">AX61</f>
        <v>0.54796999999999996</v>
      </c>
      <c r="AY16" s="53">
        <f t="shared" si="13"/>
        <v>0.55457800000000002</v>
      </c>
      <c r="AZ16" s="53">
        <f t="shared" si="13"/>
        <v>0.56215899999999996</v>
      </c>
      <c r="BA16" s="53">
        <f t="shared" si="13"/>
        <v>0.56772699999999998</v>
      </c>
      <c r="BB16" s="53">
        <f t="shared" si="13"/>
        <v>0.573766</v>
      </c>
      <c r="BC16" s="53">
        <f t="shared" si="13"/>
        <v>0.57865999999999995</v>
      </c>
      <c r="BD16" s="53">
        <f t="shared" si="13"/>
        <v>0.58363699999999996</v>
      </c>
      <c r="BE16" s="53">
        <f t="shared" si="13"/>
        <v>0.58762887987795687</v>
      </c>
      <c r="BF16" s="53">
        <f t="shared" si="13"/>
        <v>0.59106665046931661</v>
      </c>
      <c r="BG16" s="53"/>
      <c r="BH16" s="48"/>
      <c r="BI16" s="48"/>
      <c r="BJ16" s="53">
        <f t="shared" ref="BJ16:BK16" si="14">BJ61</f>
        <v>0.6063868713596583</v>
      </c>
      <c r="BK16" s="53">
        <f t="shared" si="14"/>
        <v>0.61997591950019448</v>
      </c>
      <c r="BL16" s="33"/>
    </row>
    <row r="17" spans="1:64" x14ac:dyDescent="0.3">
      <c r="A17" s="9" t="s">
        <v>6</v>
      </c>
      <c r="B17" s="9" t="s">
        <v>208</v>
      </c>
      <c r="C17" s="17" t="s">
        <v>63</v>
      </c>
      <c r="D17" s="17" t="s">
        <v>64</v>
      </c>
      <c r="E17" s="17"/>
      <c r="F17" s="17"/>
      <c r="G17" s="17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"/>
      <c r="AW17" s="49">
        <f t="shared" ref="AW17:AX17" si="15">AW16/AW$3*AW$9*$BJ$8</f>
        <v>783.73970822306057</v>
      </c>
      <c r="AX17" s="49">
        <f t="shared" si="15"/>
        <v>787.74434589824966</v>
      </c>
      <c r="AY17" s="49">
        <f>AY16/AY$3*AY$9*$BJ$8</f>
        <v>844.62308989351027</v>
      </c>
      <c r="AZ17" s="49">
        <f t="shared" ref="AZ17:BF17" si="16">AZ16/AZ$3*AZ$9*$BJ$8</f>
        <v>772.38723199232174</v>
      </c>
      <c r="BA17" s="49">
        <f t="shared" si="16"/>
        <v>808.61188000436346</v>
      </c>
      <c r="BB17" s="49">
        <f t="shared" si="16"/>
        <v>809.37590775147203</v>
      </c>
      <c r="BC17" s="49">
        <f t="shared" si="16"/>
        <v>788.27797877237947</v>
      </c>
      <c r="BD17" s="49">
        <f t="shared" si="16"/>
        <v>805.10328799660294</v>
      </c>
      <c r="BE17" s="49">
        <f t="shared" si="16"/>
        <v>782.11964954125347</v>
      </c>
      <c r="BF17" s="49">
        <f t="shared" si="16"/>
        <v>796.24753614510428</v>
      </c>
      <c r="BG17" s="49"/>
      <c r="BH17" s="47"/>
      <c r="BI17" s="47"/>
      <c r="BJ17" s="47">
        <f t="shared" ref="BJ17:BK17" si="17">BJ16/BJ$3*BJ$8</f>
        <v>791.32218379307869</v>
      </c>
      <c r="BK17" s="47">
        <f t="shared" si="17"/>
        <v>912.1671387761038</v>
      </c>
      <c r="BL17" s="10"/>
    </row>
    <row r="18" spans="1:64" x14ac:dyDescent="0.3">
      <c r="A18" s="9" t="s">
        <v>6</v>
      </c>
      <c r="B18" s="9" t="s">
        <v>208</v>
      </c>
      <c r="C18" s="17" t="s">
        <v>74</v>
      </c>
      <c r="D18" s="17" t="s">
        <v>64</v>
      </c>
      <c r="E18" s="17"/>
      <c r="F18" s="17"/>
      <c r="G18" s="17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"/>
      <c r="AW18" s="49">
        <f t="shared" ref="AW18:AX18" si="18">AW17-AW19</f>
        <v>633.5798276368173</v>
      </c>
      <c r="AX18" s="49">
        <f t="shared" si="18"/>
        <v>637.58446531200639</v>
      </c>
      <c r="AY18" s="49">
        <f>AY17-AY19</f>
        <v>694.46320930726699</v>
      </c>
      <c r="AZ18" s="49">
        <f t="shared" ref="AZ18:BF18" si="19">AZ17-AZ19</f>
        <v>622.22735140607847</v>
      </c>
      <c r="BA18" s="49">
        <f t="shared" si="19"/>
        <v>658.45199941812018</v>
      </c>
      <c r="BB18" s="49">
        <f t="shared" si="19"/>
        <v>659.21602716522875</v>
      </c>
      <c r="BC18" s="49">
        <f t="shared" si="19"/>
        <v>638.11809818613619</v>
      </c>
      <c r="BD18" s="49">
        <f t="shared" si="19"/>
        <v>654.94340741035967</v>
      </c>
      <c r="BE18" s="49">
        <f t="shared" si="19"/>
        <v>631.95976895501019</v>
      </c>
      <c r="BF18" s="49">
        <f t="shared" si="19"/>
        <v>646.087655558861</v>
      </c>
      <c r="BG18" s="49"/>
      <c r="BH18" s="47"/>
      <c r="BI18" s="47"/>
      <c r="BJ18" s="47">
        <f>BJ17-BJ19</f>
        <v>641.16230320683542</v>
      </c>
      <c r="BK18" s="47">
        <f>BK17-BK19</f>
        <v>762.00725818986052</v>
      </c>
      <c r="BL18" s="10"/>
    </row>
    <row r="19" spans="1:64" x14ac:dyDescent="0.3">
      <c r="A19" s="9" t="s">
        <v>6</v>
      </c>
      <c r="B19" s="9" t="s">
        <v>208</v>
      </c>
      <c r="C19" s="17" t="s">
        <v>76</v>
      </c>
      <c r="D19" s="10" t="s">
        <v>64</v>
      </c>
      <c r="AW19" s="47">
        <f t="shared" ref="AW19:AX19" si="20">$BJ$19</f>
        <v>150.1598805862433</v>
      </c>
      <c r="AX19" s="47">
        <f t="shared" si="20"/>
        <v>150.1598805862433</v>
      </c>
      <c r="AY19" s="10">
        <f>$BJ$19</f>
        <v>150.1598805862433</v>
      </c>
      <c r="AZ19" s="10">
        <f t="shared" ref="AZ19:BF19" si="21">$BJ$19</f>
        <v>150.1598805862433</v>
      </c>
      <c r="BA19" s="10">
        <f t="shared" si="21"/>
        <v>150.1598805862433</v>
      </c>
      <c r="BB19" s="10">
        <f t="shared" si="21"/>
        <v>150.1598805862433</v>
      </c>
      <c r="BC19" s="10">
        <f t="shared" si="21"/>
        <v>150.1598805862433</v>
      </c>
      <c r="BD19" s="10">
        <f t="shared" si="21"/>
        <v>150.1598805862433</v>
      </c>
      <c r="BE19" s="10">
        <f t="shared" si="21"/>
        <v>150.1598805862433</v>
      </c>
      <c r="BF19" s="10">
        <f t="shared" si="21"/>
        <v>150.1598805862433</v>
      </c>
      <c r="BG19" s="10"/>
      <c r="BJ19" s="10">
        <f>BJ16/BJ3*BJ5</f>
        <v>150.1598805862433</v>
      </c>
      <c r="BK19" s="10">
        <f t="shared" ref="BK19" si="22">$BJ$19</f>
        <v>150.1598805862433</v>
      </c>
    </row>
    <row r="20" spans="1:64" x14ac:dyDescent="0.3">
      <c r="A20" s="9" t="s">
        <v>6</v>
      </c>
      <c r="B20" s="9" t="s">
        <v>209</v>
      </c>
      <c r="C20" s="17" t="s">
        <v>61</v>
      </c>
      <c r="D20" s="17" t="s">
        <v>62</v>
      </c>
      <c r="E20" s="17"/>
      <c r="F20" s="17"/>
      <c r="G20" s="17"/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9"/>
      <c r="AV20" s="20"/>
      <c r="AW20" s="53">
        <f>AW67</f>
        <v>0.59717600000000004</v>
      </c>
      <c r="AX20" s="53">
        <f t="shared" ref="AX20:BF20" si="23">AX67</f>
        <v>0.60039100000000001</v>
      </c>
      <c r="AY20" s="53">
        <f t="shared" si="23"/>
        <v>0.60414699999999999</v>
      </c>
      <c r="AZ20" s="53">
        <f t="shared" si="23"/>
        <v>0.60900600000000005</v>
      </c>
      <c r="BA20" s="53">
        <f t="shared" si="23"/>
        <v>0.61327600000000004</v>
      </c>
      <c r="BB20" s="53">
        <f t="shared" si="23"/>
        <v>0.61647799999999997</v>
      </c>
      <c r="BC20" s="53">
        <f t="shared" si="23"/>
        <v>0.61839299999999997</v>
      </c>
      <c r="BD20" s="53">
        <f t="shared" si="23"/>
        <v>0.62187999999999999</v>
      </c>
      <c r="BE20" s="53">
        <f t="shared" si="23"/>
        <v>0.62397212012204317</v>
      </c>
      <c r="BF20" s="53">
        <f t="shared" si="23"/>
        <v>0.62483534953068331</v>
      </c>
      <c r="BG20" s="53"/>
      <c r="BH20" s="48"/>
      <c r="BI20" s="48"/>
      <c r="BJ20" s="53">
        <f t="shared" ref="BJ20:BK20" si="24">BJ67</f>
        <v>0.62412512864034164</v>
      </c>
      <c r="BK20" s="53">
        <f t="shared" si="24"/>
        <v>0.62798808049980548</v>
      </c>
      <c r="BL20" s="33"/>
    </row>
    <row r="21" spans="1:64" x14ac:dyDescent="0.3">
      <c r="A21" s="9" t="s">
        <v>6</v>
      </c>
      <c r="B21" s="9" t="s">
        <v>209</v>
      </c>
      <c r="C21" s="17" t="s">
        <v>63</v>
      </c>
      <c r="D21" s="17" t="s">
        <v>64</v>
      </c>
      <c r="E21" s="17"/>
      <c r="F21" s="17"/>
      <c r="G21" s="17"/>
      <c r="H21" s="1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"/>
      <c r="AW21" s="49">
        <f t="shared" ref="AW21:AX21" si="25">AW20/AW$3*AW$9*$BJ$8</f>
        <v>863.82940113179086</v>
      </c>
      <c r="AX21" s="49">
        <f t="shared" si="25"/>
        <v>863.10311801411774</v>
      </c>
      <c r="AY21" s="49">
        <f>AY20/AY$3*AY$9*$BJ$8</f>
        <v>920.11674803164669</v>
      </c>
      <c r="AZ21" s="49">
        <f t="shared" ref="AZ21:BE21" si="26">AZ20/AZ$3*AZ$9*$BJ$8</f>
        <v>836.75340714409265</v>
      </c>
      <c r="BA21" s="49">
        <f t="shared" si="26"/>
        <v>873.48718542813003</v>
      </c>
      <c r="BB21" s="49">
        <f t="shared" si="26"/>
        <v>869.62706200578623</v>
      </c>
      <c r="BC21" s="49">
        <f t="shared" si="26"/>
        <v>842.40414773267207</v>
      </c>
      <c r="BD21" s="49">
        <f t="shared" si="26"/>
        <v>857.85793693567655</v>
      </c>
      <c r="BE21" s="49">
        <f t="shared" si="26"/>
        <v>830.49161235016413</v>
      </c>
      <c r="BF21" s="49">
        <f>BF20/BF$3*BF$9*$BJ$8</f>
        <v>841.73858762819668</v>
      </c>
      <c r="BG21" s="49"/>
      <c r="BH21" s="47"/>
      <c r="BI21" s="47"/>
      <c r="BJ21" s="47">
        <f t="shared" ref="BJ21" si="27">BJ20/BJ$3*BJ$8</f>
        <v>814.47023852678421</v>
      </c>
      <c r="BK21" s="47">
        <f>BK20/BK$3*BK$8</f>
        <v>923.95538690729006</v>
      </c>
      <c r="BL21" s="10"/>
    </row>
    <row r="22" spans="1:64" x14ac:dyDescent="0.3">
      <c r="A22" s="9" t="s">
        <v>6</v>
      </c>
      <c r="B22" s="9" t="s">
        <v>209</v>
      </c>
      <c r="C22" s="17" t="s">
        <v>74</v>
      </c>
      <c r="D22" s="17" t="s">
        <v>64</v>
      </c>
      <c r="E22" s="17"/>
      <c r="F22" s="17"/>
      <c r="G22" s="17"/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"/>
      <c r="AW22" s="49">
        <f t="shared" ref="AW22:AX22" si="28">AW21-AW23</f>
        <v>709.27698713019981</v>
      </c>
      <c r="AX22" s="49">
        <f t="shared" si="28"/>
        <v>708.55070401252669</v>
      </c>
      <c r="AY22" s="49">
        <f>AY21-AY23</f>
        <v>765.56433403005565</v>
      </c>
      <c r="AZ22" s="49">
        <f t="shared" ref="AZ22:BF22" si="29">AZ21-AZ23</f>
        <v>682.2009931425016</v>
      </c>
      <c r="BA22" s="49">
        <f t="shared" si="29"/>
        <v>718.93477142653899</v>
      </c>
      <c r="BB22" s="49">
        <f t="shared" si="29"/>
        <v>715.07464800419518</v>
      </c>
      <c r="BC22" s="49">
        <f t="shared" si="29"/>
        <v>687.85173373108103</v>
      </c>
      <c r="BD22" s="49">
        <f t="shared" si="29"/>
        <v>703.3055229340855</v>
      </c>
      <c r="BE22" s="49">
        <f t="shared" si="29"/>
        <v>675.93919834857309</v>
      </c>
      <c r="BF22" s="49">
        <f t="shared" si="29"/>
        <v>687.18617362660564</v>
      </c>
      <c r="BG22" s="49"/>
      <c r="BH22" s="47"/>
      <c r="BI22" s="47"/>
      <c r="BJ22" s="47">
        <f>BJ21-BJ23</f>
        <v>659.91782452519317</v>
      </c>
      <c r="BK22" s="47">
        <f>BK21-BK23</f>
        <v>769.40297290569902</v>
      </c>
      <c r="BL22" s="10"/>
    </row>
    <row r="23" spans="1:64" x14ac:dyDescent="0.3">
      <c r="A23" s="9" t="s">
        <v>6</v>
      </c>
      <c r="B23" s="9" t="s">
        <v>209</v>
      </c>
      <c r="C23" s="17" t="s">
        <v>76</v>
      </c>
      <c r="D23" s="10" t="s">
        <v>64</v>
      </c>
      <c r="AW23" s="10">
        <f t="shared" ref="AW23:BF23" si="30">$BJ$23</f>
        <v>154.55241400159105</v>
      </c>
      <c r="AX23" s="10">
        <f t="shared" si="30"/>
        <v>154.55241400159105</v>
      </c>
      <c r="AY23" s="10">
        <f t="shared" si="30"/>
        <v>154.55241400159105</v>
      </c>
      <c r="AZ23" s="10">
        <f t="shared" si="30"/>
        <v>154.55241400159105</v>
      </c>
      <c r="BA23" s="10">
        <f t="shared" si="30"/>
        <v>154.55241400159105</v>
      </c>
      <c r="BB23" s="10">
        <f t="shared" si="30"/>
        <v>154.55241400159105</v>
      </c>
      <c r="BC23" s="10">
        <f t="shared" si="30"/>
        <v>154.55241400159105</v>
      </c>
      <c r="BD23" s="10">
        <f t="shared" si="30"/>
        <v>154.55241400159105</v>
      </c>
      <c r="BE23" s="10">
        <f t="shared" si="30"/>
        <v>154.55241400159105</v>
      </c>
      <c r="BF23" s="10">
        <f t="shared" si="30"/>
        <v>154.55241400159105</v>
      </c>
      <c r="BG23" s="10"/>
      <c r="BJ23" s="10">
        <f>BJ20/BJ3*BJ5</f>
        <v>154.55241400159105</v>
      </c>
      <c r="BK23" s="10">
        <f>BJ23</f>
        <v>154.55241400159105</v>
      </c>
    </row>
    <row r="24" spans="1:64" x14ac:dyDescent="0.3">
      <c r="C24" s="17"/>
      <c r="D24" s="10"/>
      <c r="AW24" s="47"/>
      <c r="AX24" s="47"/>
      <c r="AY24" s="10"/>
      <c r="AZ24" s="10"/>
      <c r="BA24" s="10"/>
      <c r="BB24" s="10"/>
      <c r="BC24" s="10"/>
      <c r="BD24" s="10"/>
      <c r="BE24" s="10"/>
      <c r="BF24" s="10"/>
      <c r="BG24" s="10"/>
      <c r="BJ24" s="10"/>
      <c r="BK24" s="10"/>
    </row>
    <row r="25" spans="1:64" x14ac:dyDescent="0.3">
      <c r="C25" s="17"/>
      <c r="D25" s="10"/>
      <c r="AW25" s="47"/>
      <c r="AX25" s="47"/>
      <c r="AY25" s="10"/>
      <c r="AZ25" s="10"/>
      <c r="BA25" s="10"/>
      <c r="BB25" s="10"/>
      <c r="BC25" s="10"/>
      <c r="BD25" s="10"/>
      <c r="BE25" s="10"/>
      <c r="BF25" s="10"/>
      <c r="BG25" s="10"/>
      <c r="BJ25" s="10"/>
      <c r="BK25" s="10"/>
    </row>
    <row r="26" spans="1:64" x14ac:dyDescent="0.3">
      <c r="C26" s="17"/>
      <c r="D26" s="10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J26" s="10"/>
      <c r="BK26" s="10"/>
    </row>
    <row r="28" spans="1:64" x14ac:dyDescent="0.3">
      <c r="C28" s="9" t="s">
        <v>175</v>
      </c>
    </row>
    <row r="29" spans="1:64" x14ac:dyDescent="0.3">
      <c r="C29" s="9" t="s">
        <v>212</v>
      </c>
      <c r="BA29" s="22" t="s">
        <v>72</v>
      </c>
      <c r="BB29" s="23" t="s">
        <v>16</v>
      </c>
      <c r="BC29" s="23" t="s">
        <v>17</v>
      </c>
      <c r="BD29" s="23" t="s">
        <v>18</v>
      </c>
      <c r="BE29" s="23" t="s">
        <v>19</v>
      </c>
      <c r="BF29" s="23" t="s">
        <v>20</v>
      </c>
      <c r="BG29" s="23" t="s">
        <v>21</v>
      </c>
      <c r="BH29" s="23" t="s">
        <v>22</v>
      </c>
      <c r="BI29" s="23" t="s">
        <v>23</v>
      </c>
      <c r="BJ29" s="23" t="s">
        <v>24</v>
      </c>
      <c r="BK29" s="23" t="s">
        <v>25</v>
      </c>
    </row>
    <row r="30" spans="1:64" x14ac:dyDescent="0.3">
      <c r="C30" s="9" t="s">
        <v>176</v>
      </c>
      <c r="BA30" s="24" t="s">
        <v>73</v>
      </c>
      <c r="BB30" s="25">
        <v>196248.951</v>
      </c>
      <c r="BC30" s="25">
        <v>178090.451</v>
      </c>
      <c r="BD30" s="25">
        <v>187378.35399999999</v>
      </c>
      <c r="BE30" s="25">
        <v>186281.51199999999</v>
      </c>
      <c r="BF30" s="25">
        <v>175295.59</v>
      </c>
      <c r="BG30" s="45">
        <v>183959.16800000001</v>
      </c>
      <c r="BH30" s="45">
        <v>187002.74299999999</v>
      </c>
      <c r="BI30" s="45">
        <v>189925.033</v>
      </c>
      <c r="BJ30" s="45">
        <v>191874.67300000001</v>
      </c>
      <c r="BK30" s="45">
        <v>191179.459</v>
      </c>
    </row>
    <row r="31" spans="1:64" x14ac:dyDescent="0.3">
      <c r="C31" s="9" t="s">
        <v>211</v>
      </c>
      <c r="BA31" s="24" t="s">
        <v>74</v>
      </c>
      <c r="BB31" s="25">
        <v>138016.55100000001</v>
      </c>
      <c r="BC31" s="25">
        <v>119347.451</v>
      </c>
      <c r="BD31" s="25">
        <v>127769.554</v>
      </c>
      <c r="BE31" s="25">
        <v>124234.11199999999</v>
      </c>
      <c r="BF31" s="25">
        <v>112684.39</v>
      </c>
      <c r="BG31" s="45">
        <v>120510.96799999999</v>
      </c>
      <c r="BH31" s="45">
        <v>124350.54300000001</v>
      </c>
      <c r="BI31" s="45">
        <v>126211.633</v>
      </c>
      <c r="BJ31" s="45">
        <v>127270.273</v>
      </c>
      <c r="BK31" s="45">
        <v>126541.808</v>
      </c>
    </row>
    <row r="32" spans="1:64" x14ac:dyDescent="0.3">
      <c r="BA32" s="24" t="s">
        <v>75</v>
      </c>
      <c r="BB32" s="25" t="s">
        <v>51</v>
      </c>
      <c r="BC32" s="25" t="s">
        <v>51</v>
      </c>
      <c r="BD32" s="25" t="s">
        <v>51</v>
      </c>
      <c r="BE32" s="25" t="s">
        <v>51</v>
      </c>
      <c r="BF32" s="25" t="s">
        <v>51</v>
      </c>
      <c r="BG32" s="25" t="s">
        <v>51</v>
      </c>
      <c r="BH32" s="25" t="s">
        <v>51</v>
      </c>
      <c r="BI32" s="25" t="s">
        <v>51</v>
      </c>
      <c r="BJ32" s="25" t="s">
        <v>51</v>
      </c>
      <c r="BK32" s="25" t="s">
        <v>51</v>
      </c>
    </row>
    <row r="33" spans="44:67" x14ac:dyDescent="0.3">
      <c r="BA33" s="24" t="s">
        <v>76</v>
      </c>
      <c r="BB33" s="25">
        <v>22815.599999999999</v>
      </c>
      <c r="BC33" s="25">
        <v>22883.4</v>
      </c>
      <c r="BD33" s="25">
        <v>23284.799999999999</v>
      </c>
      <c r="BE33" s="25">
        <v>23678.6</v>
      </c>
      <c r="BF33" s="25">
        <v>23900.400000000001</v>
      </c>
      <c r="BG33" s="45">
        <v>24211.8</v>
      </c>
      <c r="BH33" s="45">
        <v>24038.6</v>
      </c>
      <c r="BI33" s="45">
        <v>24412.2</v>
      </c>
      <c r="BJ33" s="45">
        <v>24752.400000000001</v>
      </c>
      <c r="BK33" s="45">
        <v>24882.913</v>
      </c>
    </row>
    <row r="34" spans="44:67" x14ac:dyDescent="0.3">
      <c r="BA34" s="24" t="s">
        <v>77</v>
      </c>
      <c r="BB34" s="25" t="s">
        <v>51</v>
      </c>
      <c r="BC34" s="25" t="s">
        <v>51</v>
      </c>
      <c r="BD34" s="25" t="s">
        <v>51</v>
      </c>
      <c r="BE34" s="25" t="s">
        <v>51</v>
      </c>
      <c r="BF34" s="25" t="s">
        <v>51</v>
      </c>
      <c r="BG34" s="26"/>
      <c r="BH34" s="27"/>
      <c r="BI34" s="26"/>
      <c r="BJ34" s="27"/>
      <c r="BK34" s="27"/>
    </row>
    <row r="38" spans="44:67" x14ac:dyDescent="0.3">
      <c r="BM38" s="9" t="s">
        <v>78</v>
      </c>
    </row>
    <row r="39" spans="44:67" x14ac:dyDescent="0.3">
      <c r="BA39" s="9" t="s">
        <v>167</v>
      </c>
      <c r="BB39" s="8">
        <f t="shared" ref="BB39:BG39" si="31">BB33/(BB31+BB33)</f>
        <v>0.1418596957022604</v>
      </c>
      <c r="BC39" s="8">
        <f t="shared" si="31"/>
        <v>0.16088914492960463</v>
      </c>
      <c r="BD39" s="8">
        <f t="shared" si="31"/>
        <v>0.15414848618001439</v>
      </c>
      <c r="BE39" s="8">
        <f t="shared" si="31"/>
        <v>0.16008495605164752</v>
      </c>
      <c r="BF39" s="8">
        <f t="shared" si="31"/>
        <v>0.17498580918124193</v>
      </c>
      <c r="BG39" s="8">
        <f t="shared" si="31"/>
        <v>0.16729779518866031</v>
      </c>
      <c r="BH39" s="8">
        <f t="shared" ref="BH39:BK39" si="32">BH33/(BH31+BH33)</f>
        <v>0.16199702696578008</v>
      </c>
      <c r="BI39" s="8">
        <f t="shared" si="32"/>
        <v>0.16207395279869155</v>
      </c>
      <c r="BJ39" s="8">
        <f t="shared" si="32"/>
        <v>0.16282044981540353</v>
      </c>
      <c r="BK39" s="8">
        <f t="shared" si="32"/>
        <v>0.16432530194326722</v>
      </c>
      <c r="BM39" s="8">
        <f>AVERAGE(BB39:BK39)</f>
        <v>0.16104826187565716</v>
      </c>
    </row>
    <row r="41" spans="44:67" ht="18" x14ac:dyDescent="0.35">
      <c r="AR41" s="61" t="s">
        <v>213</v>
      </c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</row>
    <row r="42" spans="44:67" x14ac:dyDescent="0.3"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</row>
    <row r="43" spans="44:67" x14ac:dyDescent="0.3">
      <c r="AR43" s="62"/>
      <c r="AS43" s="62"/>
      <c r="AT43" s="55">
        <v>2007</v>
      </c>
      <c r="AU43" s="55">
        <v>2008</v>
      </c>
      <c r="AV43" s="55">
        <v>2009</v>
      </c>
      <c r="AW43" s="55">
        <v>2010</v>
      </c>
      <c r="AX43" s="55">
        <v>2011</v>
      </c>
      <c r="AY43" s="55">
        <v>2012</v>
      </c>
      <c r="AZ43" s="55">
        <v>2013</v>
      </c>
      <c r="BA43" s="55">
        <v>2014</v>
      </c>
      <c r="BB43" s="55">
        <v>2015</v>
      </c>
      <c r="BC43" s="55">
        <v>2016</v>
      </c>
      <c r="BD43" s="55">
        <v>2017</v>
      </c>
      <c r="BE43" s="55">
        <v>2018</v>
      </c>
      <c r="BF43" s="55">
        <v>2019</v>
      </c>
      <c r="BJ43" s="9">
        <v>2025</v>
      </c>
      <c r="BK43" s="9">
        <v>2030</v>
      </c>
    </row>
    <row r="44" spans="44:67" x14ac:dyDescent="0.3">
      <c r="AR44" s="63" t="s">
        <v>214</v>
      </c>
      <c r="AS44" s="63" t="s">
        <v>215</v>
      </c>
      <c r="AT44" s="54">
        <v>262523</v>
      </c>
      <c r="AU44" s="54">
        <v>265458</v>
      </c>
      <c r="AV44" s="54">
        <v>268584</v>
      </c>
      <c r="AW44" s="54">
        <v>271662</v>
      </c>
      <c r="AX44" s="54">
        <v>274827</v>
      </c>
      <c r="AY44" s="54">
        <v>278352</v>
      </c>
      <c r="AZ44" s="54">
        <v>282000</v>
      </c>
      <c r="BA44" s="54">
        <v>284962</v>
      </c>
      <c r="BB44" s="54">
        <v>287198</v>
      </c>
      <c r="BC44" s="54">
        <v>289867</v>
      </c>
      <c r="BD44" s="54">
        <v>292893</v>
      </c>
      <c r="BE44" s="54">
        <v>295420</v>
      </c>
      <c r="BF44" s="54">
        <v>297520</v>
      </c>
      <c r="BG44" s="10"/>
      <c r="BH44" s="10"/>
      <c r="BI44" s="10"/>
      <c r="BJ44" s="75">
        <v>1291770</v>
      </c>
      <c r="BK44" s="76">
        <v>1336341</v>
      </c>
      <c r="BL44" s="10"/>
      <c r="BN44" s="58"/>
      <c r="BO44" s="58"/>
    </row>
    <row r="45" spans="44:67" x14ac:dyDescent="0.3">
      <c r="AR45" s="62"/>
      <c r="AS45" s="63" t="s">
        <v>216</v>
      </c>
      <c r="AT45" s="54">
        <v>509177</v>
      </c>
      <c r="AU45" s="54">
        <v>518567</v>
      </c>
      <c r="AV45" s="54">
        <v>527625</v>
      </c>
      <c r="AW45" s="54">
        <v>536499</v>
      </c>
      <c r="AX45" s="54">
        <v>545653</v>
      </c>
      <c r="AY45" s="54">
        <v>556254</v>
      </c>
      <c r="AZ45" s="54">
        <v>566399</v>
      </c>
      <c r="BA45" s="54">
        <v>575757</v>
      </c>
      <c r="BB45" s="54">
        <v>584899</v>
      </c>
      <c r="BC45" s="54">
        <v>594533</v>
      </c>
      <c r="BD45" s="54">
        <v>604368</v>
      </c>
      <c r="BE45" s="54">
        <v>614026</v>
      </c>
      <c r="BF45" s="54">
        <v>624055</v>
      </c>
      <c r="BG45" s="56"/>
      <c r="BH45" s="56"/>
      <c r="BI45" s="56"/>
      <c r="BJ45" s="56"/>
      <c r="BK45" s="56"/>
      <c r="BL45" s="56"/>
      <c r="BN45" s="56"/>
      <c r="BO45" s="56"/>
    </row>
    <row r="46" spans="44:67" x14ac:dyDescent="0.3">
      <c r="AR46" s="62"/>
      <c r="AS46" s="63" t="s">
        <v>217</v>
      </c>
      <c r="AT46" s="54">
        <v>548617</v>
      </c>
      <c r="AU46" s="54">
        <v>560484</v>
      </c>
      <c r="AV46" s="54">
        <v>575475</v>
      </c>
      <c r="AW46" s="54">
        <v>586860</v>
      </c>
      <c r="AX46" s="54">
        <v>599230</v>
      </c>
      <c r="AY46" s="54">
        <v>613285</v>
      </c>
      <c r="AZ46" s="54">
        <v>623966</v>
      </c>
      <c r="BA46" s="54">
        <v>634463</v>
      </c>
      <c r="BB46" s="54">
        <v>647676</v>
      </c>
      <c r="BC46" s="54">
        <v>658390</v>
      </c>
      <c r="BD46" s="54">
        <v>666759</v>
      </c>
      <c r="BE46" s="54">
        <v>673469</v>
      </c>
      <c r="BF46" s="54">
        <v>681067</v>
      </c>
      <c r="BG46" s="10"/>
      <c r="BH46" s="10"/>
      <c r="BI46" s="10"/>
      <c r="BJ46" s="67">
        <v>722769</v>
      </c>
      <c r="BK46" s="68">
        <v>745187</v>
      </c>
      <c r="BL46" s="10"/>
      <c r="BN46" s="58"/>
      <c r="BO46" s="58"/>
    </row>
    <row r="47" spans="44:67" x14ac:dyDescent="0.3">
      <c r="AR47" s="62"/>
      <c r="AS47" s="63" t="s">
        <v>218</v>
      </c>
      <c r="AT47" s="54">
        <v>188692</v>
      </c>
      <c r="AU47" s="54">
        <v>189289</v>
      </c>
      <c r="AV47" s="54">
        <v>190071</v>
      </c>
      <c r="AW47" s="54">
        <v>190709</v>
      </c>
      <c r="AX47" s="54">
        <v>191622</v>
      </c>
      <c r="AY47" s="54">
        <v>192791</v>
      </c>
      <c r="AZ47" s="54">
        <v>193719</v>
      </c>
      <c r="BA47" s="54">
        <v>194433</v>
      </c>
      <c r="BB47" s="54">
        <v>195153</v>
      </c>
      <c r="BC47" s="54">
        <v>195356</v>
      </c>
      <c r="BD47" s="54">
        <v>196190</v>
      </c>
      <c r="BE47" s="54">
        <v>196966</v>
      </c>
      <c r="BF47" s="54">
        <v>197406</v>
      </c>
      <c r="BG47" s="10"/>
      <c r="BH47" s="10"/>
      <c r="BI47" s="10"/>
      <c r="BJ47" s="77">
        <v>374043</v>
      </c>
      <c r="BK47" s="78">
        <v>377932</v>
      </c>
      <c r="BL47" s="10"/>
      <c r="BN47" s="58"/>
      <c r="BO47" s="58"/>
    </row>
    <row r="48" spans="44:67" x14ac:dyDescent="0.3">
      <c r="AR48" s="62"/>
      <c r="AS48" s="63" t="s">
        <v>219</v>
      </c>
      <c r="AT48" s="54">
        <v>183037</v>
      </c>
      <c r="AU48" s="54">
        <v>183637</v>
      </c>
      <c r="AV48" s="54">
        <v>184288</v>
      </c>
      <c r="AW48" s="54">
        <v>185216</v>
      </c>
      <c r="AX48" s="54">
        <v>186087</v>
      </c>
      <c r="AY48" s="54">
        <v>187147</v>
      </c>
      <c r="AZ48" s="54">
        <v>187254</v>
      </c>
      <c r="BA48" s="54">
        <v>187820</v>
      </c>
      <c r="BB48" s="54">
        <v>188807</v>
      </c>
      <c r="BC48" s="54">
        <v>188953</v>
      </c>
      <c r="BD48" s="54">
        <v>189479</v>
      </c>
      <c r="BE48" s="54">
        <v>189870</v>
      </c>
      <c r="BF48" s="54">
        <v>189545</v>
      </c>
      <c r="BG48" s="10"/>
      <c r="BH48" s="10"/>
      <c r="BI48" s="10"/>
      <c r="BJ48" s="77">
        <v>426249</v>
      </c>
      <c r="BK48" s="78">
        <v>434220</v>
      </c>
      <c r="BL48" s="10"/>
      <c r="BN48" s="58"/>
      <c r="BO48" s="58"/>
    </row>
    <row r="49" spans="44:67" x14ac:dyDescent="0.3">
      <c r="AR49" s="62"/>
      <c r="AS49" s="63" t="s">
        <v>220</v>
      </c>
      <c r="AT49" s="54">
        <v>247655</v>
      </c>
      <c r="AU49" s="54">
        <v>251220</v>
      </c>
      <c r="AV49" s="54">
        <v>254634</v>
      </c>
      <c r="AW49" s="54">
        <v>257673</v>
      </c>
      <c r="AX49" s="54">
        <v>261110</v>
      </c>
      <c r="AY49" s="54">
        <v>265164</v>
      </c>
      <c r="AZ49" s="54">
        <v>269003</v>
      </c>
      <c r="BA49" s="54">
        <v>272228</v>
      </c>
      <c r="BB49" s="54">
        <v>274737</v>
      </c>
      <c r="BC49" s="54">
        <v>277684</v>
      </c>
      <c r="BD49" s="54">
        <v>279714</v>
      </c>
      <c r="BE49" s="54">
        <v>281769</v>
      </c>
      <c r="BF49" s="54">
        <v>283148</v>
      </c>
      <c r="BG49" s="10"/>
      <c r="BH49" s="10"/>
      <c r="BI49" s="10"/>
      <c r="BJ49" s="77">
        <v>314200</v>
      </c>
      <c r="BK49" s="78">
        <v>321273</v>
      </c>
      <c r="BL49" s="10"/>
      <c r="BN49" s="58"/>
      <c r="BO49" s="58"/>
    </row>
    <row r="50" spans="44:67" x14ac:dyDescent="0.3">
      <c r="AR50" s="62"/>
      <c r="AS50" s="63" t="s">
        <v>221</v>
      </c>
      <c r="AT50" s="54">
        <v>223804</v>
      </c>
      <c r="AU50" s="54">
        <v>226433</v>
      </c>
      <c r="AV50" s="54">
        <v>229134</v>
      </c>
      <c r="AW50" s="54">
        <v>231286</v>
      </c>
      <c r="AX50" s="54">
        <v>233705</v>
      </c>
      <c r="AY50" s="54">
        <v>236424</v>
      </c>
      <c r="AZ50" s="54">
        <v>238748</v>
      </c>
      <c r="BA50" s="54">
        <v>240860</v>
      </c>
      <c r="BB50" s="54">
        <v>242662</v>
      </c>
      <c r="BC50" s="54">
        <v>244967</v>
      </c>
      <c r="BD50" s="54">
        <v>247048</v>
      </c>
      <c r="BE50" s="54">
        <v>249058</v>
      </c>
      <c r="BF50" s="54">
        <v>251084</v>
      </c>
      <c r="BG50" s="56"/>
      <c r="BH50" s="56"/>
      <c r="BI50" s="56"/>
      <c r="BJ50" s="77">
        <v>492364</v>
      </c>
      <c r="BK50" s="78">
        <v>504565</v>
      </c>
      <c r="BL50" s="56"/>
      <c r="BN50" s="56"/>
      <c r="BO50" s="56"/>
    </row>
    <row r="51" spans="44:67" x14ac:dyDescent="0.3">
      <c r="AR51" s="62"/>
      <c r="AS51" s="63" t="s">
        <v>222</v>
      </c>
      <c r="AT51" s="54">
        <v>166170</v>
      </c>
      <c r="AU51" s="54">
        <v>166731</v>
      </c>
      <c r="AV51" s="54">
        <v>167548</v>
      </c>
      <c r="AW51" s="54">
        <v>168231</v>
      </c>
      <c r="AX51" s="54">
        <v>169185</v>
      </c>
      <c r="AY51" s="54">
        <v>170023</v>
      </c>
      <c r="AZ51" s="54">
        <v>170902</v>
      </c>
      <c r="BA51" s="54">
        <v>171469</v>
      </c>
      <c r="BB51" s="54">
        <v>171953</v>
      </c>
      <c r="BC51" s="54">
        <v>172494</v>
      </c>
      <c r="BD51" s="54">
        <v>173307</v>
      </c>
      <c r="BE51" s="54">
        <v>173391</v>
      </c>
      <c r="BF51" s="54">
        <v>173318</v>
      </c>
      <c r="BG51" s="10"/>
      <c r="BH51" s="10"/>
      <c r="BI51" s="10"/>
      <c r="BJ51" s="77">
        <v>645648</v>
      </c>
      <c r="BK51" s="78">
        <v>658080</v>
      </c>
      <c r="BL51" s="10"/>
      <c r="BN51" s="58"/>
      <c r="BO51" s="58"/>
    </row>
    <row r="52" spans="44:67" x14ac:dyDescent="0.3">
      <c r="AR52" s="62"/>
      <c r="AS52" s="63" t="s">
        <v>223</v>
      </c>
      <c r="AT52" s="54">
        <v>104759</v>
      </c>
      <c r="AU52" s="54">
        <v>106130</v>
      </c>
      <c r="AV52" s="54">
        <v>107359</v>
      </c>
      <c r="AW52" s="54">
        <v>108499</v>
      </c>
      <c r="AX52" s="54">
        <v>110048</v>
      </c>
      <c r="AY52" s="54">
        <v>111495</v>
      </c>
      <c r="AZ52" s="54">
        <v>112772</v>
      </c>
      <c r="BA52" s="54">
        <v>113747</v>
      </c>
      <c r="BB52" s="54">
        <v>114767</v>
      </c>
      <c r="BC52" s="54">
        <v>115785</v>
      </c>
      <c r="BD52" s="54">
        <v>116673</v>
      </c>
      <c r="BE52" s="54">
        <v>117222</v>
      </c>
      <c r="BF52" s="54">
        <v>117655</v>
      </c>
      <c r="BG52" s="10"/>
      <c r="BH52" s="10"/>
      <c r="BI52" s="10"/>
      <c r="BJ52" s="10"/>
      <c r="BK52" s="10"/>
      <c r="BL52" s="10"/>
      <c r="BN52" s="58"/>
      <c r="BO52" s="58"/>
    </row>
    <row r="53" spans="44:67" x14ac:dyDescent="0.3">
      <c r="AR53" s="62"/>
      <c r="AS53" s="63" t="s">
        <v>224</v>
      </c>
      <c r="AT53" s="54">
        <v>163702</v>
      </c>
      <c r="AU53" s="54">
        <v>165944</v>
      </c>
      <c r="AV53" s="54">
        <v>168233</v>
      </c>
      <c r="AW53" s="54">
        <v>170377</v>
      </c>
      <c r="AX53" s="54">
        <v>172408</v>
      </c>
      <c r="AY53" s="54">
        <v>174324</v>
      </c>
      <c r="AZ53" s="54">
        <v>176353</v>
      </c>
      <c r="BA53" s="54">
        <v>178478</v>
      </c>
      <c r="BB53" s="54">
        <v>180877</v>
      </c>
      <c r="BC53" s="54">
        <v>182701</v>
      </c>
      <c r="BD53" s="54">
        <v>184116</v>
      </c>
      <c r="BE53" s="54">
        <v>186532</v>
      </c>
      <c r="BF53" s="54">
        <v>187589</v>
      </c>
      <c r="BG53" s="10"/>
      <c r="BH53" s="10"/>
      <c r="BI53" s="10"/>
      <c r="BJ53" s="10"/>
      <c r="BK53" s="10"/>
      <c r="BL53" s="10"/>
      <c r="BN53" s="58"/>
      <c r="BO53" s="58"/>
    </row>
    <row r="54" spans="44:67" x14ac:dyDescent="0.3">
      <c r="AR54" s="62"/>
      <c r="AS54" s="63" t="s">
        <v>225</v>
      </c>
      <c r="AT54" s="54">
        <v>404566</v>
      </c>
      <c r="AU54" s="54">
        <v>412687</v>
      </c>
      <c r="AV54" s="54">
        <v>420574</v>
      </c>
      <c r="AW54" s="54">
        <v>427947</v>
      </c>
      <c r="AX54" s="54">
        <v>436087</v>
      </c>
      <c r="AY54" s="54">
        <v>443115</v>
      </c>
      <c r="AZ54" s="54">
        <v>452159</v>
      </c>
      <c r="BA54" s="54">
        <v>459625</v>
      </c>
      <c r="BB54" s="54">
        <v>466302</v>
      </c>
      <c r="BC54" s="54">
        <v>470175</v>
      </c>
      <c r="BD54" s="54">
        <v>472024</v>
      </c>
      <c r="BE54" s="54">
        <v>473526</v>
      </c>
      <c r="BF54" s="54">
        <v>475654</v>
      </c>
      <c r="BG54" s="10"/>
      <c r="BH54" s="10"/>
      <c r="BI54" s="10"/>
      <c r="BJ54" s="10"/>
      <c r="BK54" s="10"/>
      <c r="BL54" s="10"/>
      <c r="BN54" s="58"/>
      <c r="BO54" s="58"/>
    </row>
    <row r="55" spans="44:67" x14ac:dyDescent="0.3">
      <c r="AR55" s="62"/>
      <c r="AS55" s="63" t="s">
        <v>226</v>
      </c>
      <c r="AT55" s="54">
        <v>456711</v>
      </c>
      <c r="AU55" s="54">
        <v>462674</v>
      </c>
      <c r="AV55" s="54">
        <v>469681</v>
      </c>
      <c r="AW55" s="54">
        <v>477175</v>
      </c>
      <c r="AX55" s="54">
        <v>484240</v>
      </c>
      <c r="AY55" s="54">
        <v>490570</v>
      </c>
      <c r="AZ55" s="54">
        <v>498135</v>
      </c>
      <c r="BA55" s="54">
        <v>505246</v>
      </c>
      <c r="BB55" s="54">
        <v>511357</v>
      </c>
      <c r="BC55" s="54">
        <v>516497</v>
      </c>
      <c r="BD55" s="54">
        <v>519963</v>
      </c>
      <c r="BE55" s="54">
        <v>522539</v>
      </c>
      <c r="BF55" s="54">
        <v>524495</v>
      </c>
      <c r="BG55" s="10"/>
      <c r="BH55" s="10"/>
      <c r="BI55" s="10"/>
      <c r="BJ55" s="10"/>
      <c r="BK55" s="10"/>
      <c r="BL55" s="10"/>
      <c r="BN55" s="58"/>
      <c r="BO55" s="58"/>
    </row>
    <row r="56" spans="44:67" x14ac:dyDescent="0.3">
      <c r="AR56" s="62"/>
      <c r="AS56" s="63" t="s">
        <v>227</v>
      </c>
      <c r="AT56" s="54">
        <v>106194</v>
      </c>
      <c r="AU56" s="54">
        <v>106259</v>
      </c>
      <c r="AV56" s="54">
        <v>106457</v>
      </c>
      <c r="AW56" s="54">
        <v>107080</v>
      </c>
      <c r="AX56" s="54">
        <v>107742</v>
      </c>
      <c r="AY56" s="54">
        <v>108201</v>
      </c>
      <c r="AZ56" s="54">
        <v>108700</v>
      </c>
      <c r="BA56" s="54">
        <v>108965</v>
      </c>
      <c r="BB56" s="54">
        <v>109170</v>
      </c>
      <c r="BC56" s="54">
        <v>109530</v>
      </c>
      <c r="BD56" s="54">
        <v>110266</v>
      </c>
      <c r="BE56" s="54">
        <v>110230</v>
      </c>
      <c r="BF56" s="54">
        <v>109774</v>
      </c>
      <c r="BG56" s="10"/>
      <c r="BH56" s="10"/>
      <c r="BI56" s="10"/>
      <c r="BJ56" s="10"/>
      <c r="BK56" s="10"/>
      <c r="BL56" s="10"/>
      <c r="BN56" s="58"/>
      <c r="BO56" s="58"/>
    </row>
    <row r="57" spans="44:67" x14ac:dyDescent="0.3">
      <c r="AR57" s="62"/>
      <c r="AS57" s="63" t="s">
        <v>228</v>
      </c>
      <c r="AT57" s="64">
        <f>SUM(AT44:AT56)/1000000</f>
        <v>3.565607</v>
      </c>
      <c r="AU57" s="64">
        <f t="shared" ref="AU57:BE57" si="33">SUM(AU44:AU56)/1000000</f>
        <v>3.615513</v>
      </c>
      <c r="AV57" s="64">
        <f t="shared" si="33"/>
        <v>3.6696629999999999</v>
      </c>
      <c r="AW57" s="64">
        <f t="shared" si="33"/>
        <v>3.719214</v>
      </c>
      <c r="AX57" s="64">
        <f t="shared" si="33"/>
        <v>3.771944</v>
      </c>
      <c r="AY57" s="64">
        <f t="shared" si="33"/>
        <v>3.8271449999999998</v>
      </c>
      <c r="AZ57" s="64">
        <f t="shared" si="33"/>
        <v>3.8801100000000002</v>
      </c>
      <c r="BA57" s="64">
        <f t="shared" si="33"/>
        <v>3.9280529999999998</v>
      </c>
      <c r="BB57" s="64">
        <f t="shared" si="33"/>
        <v>3.9755579999999999</v>
      </c>
      <c r="BC57" s="64">
        <f t="shared" si="33"/>
        <v>4.0169319999999997</v>
      </c>
      <c r="BD57" s="64">
        <f t="shared" si="33"/>
        <v>4.0528000000000004</v>
      </c>
      <c r="BE57" s="64">
        <f t="shared" si="33"/>
        <v>4.0840180000000004</v>
      </c>
      <c r="BF57" s="64">
        <f>SUM(BF44:BF56)/1000000</f>
        <v>4.1123099999999999</v>
      </c>
      <c r="BG57" s="10"/>
      <c r="BH57" s="10"/>
      <c r="BI57" s="10"/>
      <c r="BJ57" s="64">
        <f t="shared" ref="BJ57" si="34">SUM(BJ44:BJ56)/1000000</f>
        <v>4.2670430000000001</v>
      </c>
      <c r="BK57" s="64">
        <f t="shared" ref="BK57" si="35">SUM(BK44:BK56)/1000000</f>
        <v>4.3775979999999999</v>
      </c>
      <c r="BL57" s="10"/>
      <c r="BN57" s="58"/>
      <c r="BO57" s="58"/>
    </row>
    <row r="58" spans="44:67" x14ac:dyDescent="0.3">
      <c r="AR58" s="62"/>
      <c r="AS58" s="63" t="s">
        <v>229</v>
      </c>
      <c r="AT58" s="54">
        <v>245385</v>
      </c>
      <c r="AU58" s="54">
        <v>246772</v>
      </c>
      <c r="AV58" s="54">
        <v>248727</v>
      </c>
      <c r="AW58" s="54">
        <v>251262</v>
      </c>
      <c r="AX58" s="54">
        <v>253904</v>
      </c>
      <c r="AY58" s="54">
        <v>256628</v>
      </c>
      <c r="AZ58" s="54">
        <v>259404</v>
      </c>
      <c r="BA58" s="54">
        <v>261530</v>
      </c>
      <c r="BB58" s="54">
        <v>263719</v>
      </c>
      <c r="BC58" s="54">
        <v>265290</v>
      </c>
      <c r="BD58" s="54">
        <v>266274</v>
      </c>
      <c r="BE58" s="54">
        <v>266856</v>
      </c>
      <c r="BF58" s="54">
        <v>267420</v>
      </c>
      <c r="BG58" s="10"/>
      <c r="BH58" s="10"/>
      <c r="BI58" s="10"/>
      <c r="BJ58" s="69">
        <v>266790</v>
      </c>
      <c r="BK58" s="70">
        <v>270262</v>
      </c>
      <c r="BL58" s="10"/>
      <c r="BN58" s="58"/>
      <c r="BO58" s="58"/>
    </row>
    <row r="59" spans="44:67" x14ac:dyDescent="0.3">
      <c r="AR59" s="62"/>
      <c r="AS59" s="63" t="s">
        <v>230</v>
      </c>
      <c r="AT59" s="65">
        <f>AT62+AT60</f>
        <v>407905</v>
      </c>
      <c r="AU59" s="65">
        <f>AU62+AU60</f>
        <v>412849</v>
      </c>
      <c r="AV59" s="65">
        <f t="shared" ref="AV59:BD59" si="36">AV62+AV60</f>
        <v>417437</v>
      </c>
      <c r="AW59" s="65">
        <f t="shared" si="36"/>
        <v>422102</v>
      </c>
      <c r="AX59" s="65">
        <f t="shared" si="36"/>
        <v>426206</v>
      </c>
      <c r="AY59" s="65">
        <f t="shared" si="36"/>
        <v>431340</v>
      </c>
      <c r="AZ59" s="65">
        <f t="shared" si="36"/>
        <v>437198</v>
      </c>
      <c r="BA59" s="65">
        <f t="shared" si="36"/>
        <v>441339</v>
      </c>
      <c r="BB59" s="65">
        <f t="shared" si="36"/>
        <v>445785</v>
      </c>
      <c r="BC59" s="65">
        <f t="shared" si="36"/>
        <v>449769</v>
      </c>
      <c r="BD59" s="65">
        <f t="shared" si="36"/>
        <v>454596</v>
      </c>
      <c r="BE59" s="54">
        <v>458744</v>
      </c>
      <c r="BF59" s="54">
        <v>462032</v>
      </c>
      <c r="BG59" s="10"/>
      <c r="BH59" s="10"/>
      <c r="BI59" s="10"/>
      <c r="BJ59" s="72">
        <v>480029</v>
      </c>
      <c r="BK59" s="71">
        <v>490706</v>
      </c>
      <c r="BL59" s="10"/>
      <c r="BN59" s="58"/>
      <c r="BO59" s="58"/>
    </row>
    <row r="60" spans="44:67" x14ac:dyDescent="0.3">
      <c r="AR60" s="62"/>
      <c r="AS60" s="63" t="s">
        <v>231</v>
      </c>
      <c r="AT60" s="54">
        <v>278836</v>
      </c>
      <c r="AU60" s="54">
        <v>282993</v>
      </c>
      <c r="AV60" s="54">
        <v>286729</v>
      </c>
      <c r="AW60" s="54">
        <v>290547</v>
      </c>
      <c r="AX60" s="54">
        <v>294066</v>
      </c>
      <c r="AY60" s="54">
        <v>297950</v>
      </c>
      <c r="AZ60" s="54">
        <v>302755</v>
      </c>
      <c r="BA60" s="54">
        <v>306197</v>
      </c>
      <c r="BB60" s="54">
        <v>310047</v>
      </c>
      <c r="BC60" s="54">
        <v>313370</v>
      </c>
      <c r="BD60" s="54">
        <v>317363</v>
      </c>
      <c r="BE60" s="65">
        <f>TREND($AT60:$BD60,$AT$43:$BD$43,BE$43)</f>
        <v>321391.32727272715</v>
      </c>
      <c r="BF60" s="65">
        <f>TREND($AT60:$BD60,$AT$43:$BD$43,BF$43)</f>
        <v>325246.65454545431</v>
      </c>
      <c r="BG60" s="10"/>
      <c r="BH60" s="10"/>
      <c r="BI60" s="10"/>
      <c r="BJ60" s="65">
        <f t="shared" ref="BJ60:BK60" si="37">TREND($AT60:$BD60,$AT$43:$BD$43,BJ$43)</f>
        <v>348378.61818181816</v>
      </c>
      <c r="BK60" s="65">
        <f t="shared" si="37"/>
        <v>367655.25454545487</v>
      </c>
      <c r="BL60" s="10"/>
      <c r="BN60" s="58"/>
      <c r="BO60" s="58"/>
    </row>
    <row r="61" spans="44:67" x14ac:dyDescent="0.3">
      <c r="AR61" s="62"/>
      <c r="AS61" s="63" t="s">
        <v>232</v>
      </c>
      <c r="AT61" s="64">
        <f>(AT58+AT60)/1000000</f>
        <v>0.52422100000000005</v>
      </c>
      <c r="AU61" s="64">
        <f t="shared" ref="AU61:BD61" si="38">(AU58+AU60)/1000000</f>
        <v>0.52976500000000004</v>
      </c>
      <c r="AV61" s="64">
        <f t="shared" si="38"/>
        <v>0.53545600000000004</v>
      </c>
      <c r="AW61" s="64">
        <f t="shared" si="38"/>
        <v>0.54180899999999999</v>
      </c>
      <c r="AX61" s="64">
        <f t="shared" si="38"/>
        <v>0.54796999999999996</v>
      </c>
      <c r="AY61" s="64">
        <f t="shared" si="38"/>
        <v>0.55457800000000002</v>
      </c>
      <c r="AZ61" s="64">
        <f t="shared" si="38"/>
        <v>0.56215899999999996</v>
      </c>
      <c r="BA61" s="64">
        <f t="shared" si="38"/>
        <v>0.56772699999999998</v>
      </c>
      <c r="BB61" s="64">
        <f t="shared" si="38"/>
        <v>0.573766</v>
      </c>
      <c r="BC61" s="64">
        <f t="shared" si="38"/>
        <v>0.57865999999999995</v>
      </c>
      <c r="BD61" s="64">
        <f t="shared" si="38"/>
        <v>0.58363699999999996</v>
      </c>
      <c r="BE61" s="66">
        <f>(BE60/(BE60+BE62)*BE59+BE58)/1000000</f>
        <v>0.58762887987795687</v>
      </c>
      <c r="BF61" s="66">
        <f>(BF60/(BF60+BF62)*BF59+BF58)/1000000</f>
        <v>0.59106665046931661</v>
      </c>
      <c r="BG61" s="10"/>
      <c r="BH61" s="10"/>
      <c r="BI61" s="10"/>
      <c r="BJ61" s="66">
        <f t="shared" ref="BJ61:BK61" si="39">(BJ60/(BJ60+BJ62)*BJ59+BJ58)/1000000</f>
        <v>0.6063868713596583</v>
      </c>
      <c r="BK61" s="66">
        <f t="shared" si="39"/>
        <v>0.61997591950019448</v>
      </c>
      <c r="BL61" s="10"/>
      <c r="BN61" s="58"/>
      <c r="BO61" s="58"/>
    </row>
    <row r="62" spans="44:67" x14ac:dyDescent="0.3">
      <c r="AR62" s="62"/>
      <c r="AS62" s="63" t="s">
        <v>233</v>
      </c>
      <c r="AT62" s="54">
        <v>129069</v>
      </c>
      <c r="AU62" s="54">
        <v>129856</v>
      </c>
      <c r="AV62" s="54">
        <v>130708</v>
      </c>
      <c r="AW62" s="54">
        <v>131555</v>
      </c>
      <c r="AX62" s="54">
        <v>132140</v>
      </c>
      <c r="AY62" s="54">
        <v>133390</v>
      </c>
      <c r="AZ62" s="54">
        <v>134443</v>
      </c>
      <c r="BA62" s="54">
        <v>135142</v>
      </c>
      <c r="BB62" s="54">
        <v>135738</v>
      </c>
      <c r="BC62" s="54">
        <v>136399</v>
      </c>
      <c r="BD62" s="54">
        <v>137233</v>
      </c>
      <c r="BE62" s="65">
        <f>TREND($AT62:$BD62,$AT$43:$BD$43,BE$43)</f>
        <v>138237.1272727272</v>
      </c>
      <c r="BF62" s="65">
        <f>TREND($AT62:$BD62,$AT$43:$BD$43,BF$43)</f>
        <v>139069.48181818193</v>
      </c>
      <c r="BG62" s="10"/>
      <c r="BH62" s="10"/>
      <c r="BI62" s="10"/>
      <c r="BJ62" s="65">
        <f t="shared" ref="BJ62:BK62" si="40">TREND($AT62:$BD62,$AT$43:$BD$43,BJ$43)</f>
        <v>144063.60909090913</v>
      </c>
      <c r="BK62" s="65">
        <f t="shared" si="40"/>
        <v>148225.38181818184</v>
      </c>
      <c r="BL62" s="10"/>
      <c r="BN62" s="58"/>
      <c r="BO62" s="58"/>
    </row>
    <row r="63" spans="44:67" x14ac:dyDescent="0.3">
      <c r="AR63" s="62"/>
      <c r="AS63" s="63" t="s">
        <v>234</v>
      </c>
      <c r="AT63" s="54">
        <v>235436</v>
      </c>
      <c r="AU63" s="54">
        <v>234996</v>
      </c>
      <c r="AV63" s="54">
        <v>235380</v>
      </c>
      <c r="AW63" s="54">
        <v>236271</v>
      </c>
      <c r="AX63" s="54">
        <v>237280</v>
      </c>
      <c r="AY63" s="54">
        <v>238320</v>
      </c>
      <c r="AZ63" s="54">
        <v>239611</v>
      </c>
      <c r="BA63" s="54">
        <v>240877</v>
      </c>
      <c r="BB63" s="54">
        <v>241682</v>
      </c>
      <c r="BC63" s="54">
        <v>241906</v>
      </c>
      <c r="BD63" s="54">
        <v>242866</v>
      </c>
      <c r="BE63" s="54">
        <v>243335</v>
      </c>
      <c r="BF63" s="54">
        <v>243385</v>
      </c>
      <c r="BG63" s="56"/>
      <c r="BH63" s="56"/>
      <c r="BI63" s="56"/>
      <c r="BJ63" s="73">
        <v>239106</v>
      </c>
      <c r="BK63" s="74">
        <v>239632</v>
      </c>
      <c r="BL63" s="56"/>
      <c r="BN63" s="56"/>
      <c r="BO63" s="56"/>
    </row>
    <row r="64" spans="44:67" x14ac:dyDescent="0.3">
      <c r="AR64" s="62"/>
      <c r="AS64" s="63" t="s">
        <v>235</v>
      </c>
      <c r="AT64" s="54">
        <v>154136</v>
      </c>
      <c r="AU64" s="54">
        <v>154642</v>
      </c>
      <c r="AV64" s="54">
        <v>155553</v>
      </c>
      <c r="AW64" s="54">
        <v>156494</v>
      </c>
      <c r="AX64" s="54">
        <v>157554</v>
      </c>
      <c r="AY64" s="54">
        <v>158650</v>
      </c>
      <c r="AZ64" s="54">
        <v>160418</v>
      </c>
      <c r="BA64" s="54">
        <v>162050</v>
      </c>
      <c r="BB64" s="54">
        <v>163453</v>
      </c>
      <c r="BC64" s="54">
        <v>164330</v>
      </c>
      <c r="BD64" s="54">
        <v>165632</v>
      </c>
      <c r="BE64" s="54">
        <v>166499</v>
      </c>
      <c r="BF64" s="54">
        <v>167202</v>
      </c>
      <c r="BG64" s="10"/>
      <c r="BH64" s="10"/>
      <c r="BI64" s="10"/>
      <c r="BJ64" s="73">
        <v>244587</v>
      </c>
      <c r="BK64" s="74">
        <v>247364</v>
      </c>
      <c r="BL64" s="10"/>
      <c r="BN64" s="58"/>
      <c r="BO64" s="58"/>
    </row>
    <row r="65" spans="44:67" x14ac:dyDescent="0.3">
      <c r="AR65" s="62"/>
      <c r="AS65" s="63" t="s">
        <v>236</v>
      </c>
      <c r="AT65" s="54">
        <v>72665</v>
      </c>
      <c r="AU65" s="54">
        <v>72399</v>
      </c>
      <c r="AV65" s="54">
        <v>72492</v>
      </c>
      <c r="AW65" s="54">
        <v>72856</v>
      </c>
      <c r="AX65" s="54">
        <v>73417</v>
      </c>
      <c r="AY65" s="54">
        <v>73787</v>
      </c>
      <c r="AZ65" s="54">
        <v>74534</v>
      </c>
      <c r="BA65" s="54">
        <v>75207</v>
      </c>
      <c r="BB65" s="54">
        <v>75605</v>
      </c>
      <c r="BC65" s="54">
        <v>75758</v>
      </c>
      <c r="BD65" s="54">
        <v>76149</v>
      </c>
      <c r="BE65" s="54">
        <v>76167</v>
      </c>
      <c r="BF65" s="54">
        <v>75863</v>
      </c>
      <c r="BG65" s="10"/>
      <c r="BH65" s="10"/>
      <c r="BI65" s="10"/>
      <c r="BJ65" s="10"/>
      <c r="BK65" s="10"/>
      <c r="BL65" s="10"/>
      <c r="BN65" s="58"/>
      <c r="BO65" s="58"/>
    </row>
    <row r="66" spans="44:67" x14ac:dyDescent="0.3">
      <c r="AR66" s="62"/>
      <c r="AS66" s="63" t="s">
        <v>237</v>
      </c>
      <c r="AT66" s="54">
        <v>0</v>
      </c>
      <c r="AU66" s="54">
        <v>0</v>
      </c>
      <c r="AV66" s="54">
        <v>0</v>
      </c>
      <c r="AW66" s="54">
        <v>0</v>
      </c>
      <c r="AX66" s="54">
        <v>0</v>
      </c>
      <c r="AY66" s="54">
        <v>0</v>
      </c>
      <c r="AZ66" s="54">
        <v>0</v>
      </c>
      <c r="BA66" s="54">
        <v>0</v>
      </c>
      <c r="BB66" s="54">
        <v>0</v>
      </c>
      <c r="BC66" s="54">
        <v>0</v>
      </c>
      <c r="BD66" s="54">
        <v>0</v>
      </c>
      <c r="BE66" s="54">
        <v>0</v>
      </c>
      <c r="BF66" s="54">
        <v>0</v>
      </c>
      <c r="BG66" s="10"/>
      <c r="BH66" s="10"/>
      <c r="BI66" s="10"/>
      <c r="BJ66" s="10"/>
      <c r="BK66" s="10"/>
      <c r="BL66" s="10"/>
      <c r="BN66" s="58"/>
      <c r="BO66" s="58"/>
    </row>
    <row r="67" spans="44:67" x14ac:dyDescent="0.3">
      <c r="AR67" s="62"/>
      <c r="AS67" s="63" t="s">
        <v>238</v>
      </c>
      <c r="AT67" s="64">
        <f>SUM(AT62:AT65)/1000000</f>
        <v>0.591306</v>
      </c>
      <c r="AU67" s="64">
        <f t="shared" ref="AU67:BD67" si="41">SUM(AU62:AU65)/1000000</f>
        <v>0.591893</v>
      </c>
      <c r="AV67" s="64">
        <f t="shared" si="41"/>
        <v>0.59413300000000002</v>
      </c>
      <c r="AW67" s="64">
        <f t="shared" si="41"/>
        <v>0.59717600000000004</v>
      </c>
      <c r="AX67" s="64">
        <f t="shared" si="41"/>
        <v>0.60039100000000001</v>
      </c>
      <c r="AY67" s="64">
        <f t="shared" si="41"/>
        <v>0.60414699999999999</v>
      </c>
      <c r="AZ67" s="64">
        <f t="shared" si="41"/>
        <v>0.60900600000000005</v>
      </c>
      <c r="BA67" s="64">
        <f t="shared" si="41"/>
        <v>0.61327600000000004</v>
      </c>
      <c r="BB67" s="64">
        <f t="shared" si="41"/>
        <v>0.61647799999999997</v>
      </c>
      <c r="BC67" s="64">
        <f t="shared" si="41"/>
        <v>0.61839299999999997</v>
      </c>
      <c r="BD67" s="64">
        <f t="shared" si="41"/>
        <v>0.62187999999999999</v>
      </c>
      <c r="BE67" s="66">
        <f>(BE62/(BE62+BE60)*BE59+BE63+BE64+BE65+BE66)/1000000</f>
        <v>0.62397212012204317</v>
      </c>
      <c r="BF67" s="66">
        <f>(BF62/(BF62+BF60)*BF59+BF63+BF64+BF65+BF66)/1000000</f>
        <v>0.62483534953068331</v>
      </c>
      <c r="BG67" s="10"/>
      <c r="BH67" s="10"/>
      <c r="BI67" s="10"/>
      <c r="BJ67" s="66">
        <f>(BJ62/(BJ62+BJ60)*BJ59+BJ63+BJ64+BJ65+BJ66)/1000000</f>
        <v>0.62412512864034164</v>
      </c>
      <c r="BK67" s="66">
        <f>(BK62/(BK62+BK60)*BK59+BK63+BK64+BK65+BK66)/1000000</f>
        <v>0.62798808049980548</v>
      </c>
      <c r="BL67" s="10"/>
      <c r="BN67" s="58"/>
      <c r="BO67" s="58"/>
    </row>
    <row r="68" spans="44:67" x14ac:dyDescent="0.3">
      <c r="AZ68" s="55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N68" s="56"/>
      <c r="BO68" s="56"/>
    </row>
    <row r="69" spans="44:67" x14ac:dyDescent="0.3">
      <c r="AS69" s="63" t="s">
        <v>65</v>
      </c>
      <c r="AX69" s="33">
        <f t="shared" ref="AX69:BD69" si="42">AX67+AX61+AX57</f>
        <v>4.9203049999999999</v>
      </c>
      <c r="AY69" s="33">
        <f t="shared" si="42"/>
        <v>4.9858700000000002</v>
      </c>
      <c r="AZ69" s="33">
        <f t="shared" si="42"/>
        <v>5.0512750000000004</v>
      </c>
      <c r="BA69" s="33">
        <f t="shared" si="42"/>
        <v>5.1090559999999998</v>
      </c>
      <c r="BB69" s="33">
        <f t="shared" si="42"/>
        <v>5.1658019999999993</v>
      </c>
      <c r="BC69" s="33">
        <f t="shared" si="42"/>
        <v>5.2139849999999992</v>
      </c>
      <c r="BD69" s="33">
        <f t="shared" si="42"/>
        <v>5.2583169999999999</v>
      </c>
      <c r="BE69" s="33">
        <f>BE67+BE61+BE57</f>
        <v>5.2956190000000003</v>
      </c>
      <c r="BF69" s="33">
        <f>BF67+BF61+BF57</f>
        <v>5.3282119999999997</v>
      </c>
      <c r="BG69" s="10"/>
      <c r="BH69" s="10"/>
      <c r="BI69" s="10"/>
      <c r="BJ69" s="33">
        <f t="shared" ref="BJ69:BK69" si="43">BJ67+BJ61+BJ57</f>
        <v>5.4975550000000002</v>
      </c>
      <c r="BK69" s="33">
        <f t="shared" si="43"/>
        <v>5.6255620000000004</v>
      </c>
      <c r="BL69" s="10"/>
      <c r="BN69" s="10"/>
      <c r="BO69" s="10"/>
    </row>
    <row r="71" spans="44:67" x14ac:dyDescent="0.3">
      <c r="AY71" s="9" t="s">
        <v>210</v>
      </c>
    </row>
    <row r="72" spans="44:67" ht="15" thickBot="1" x14ac:dyDescent="0.35">
      <c r="AZ72" s="4" t="s">
        <v>2</v>
      </c>
      <c r="BA72" s="5" t="s">
        <v>3</v>
      </c>
      <c r="BB72" s="6" t="s">
        <v>4</v>
      </c>
      <c r="BC72" s="9" t="s">
        <v>5</v>
      </c>
    </row>
    <row r="73" spans="44:67" x14ac:dyDescent="0.3">
      <c r="AY73" s="3">
        <v>1992</v>
      </c>
      <c r="AZ73" s="7">
        <v>540</v>
      </c>
      <c r="BA73" s="7">
        <v>254</v>
      </c>
      <c r="BB73" s="7">
        <v>237</v>
      </c>
      <c r="BC73" s="9">
        <f t="shared" ref="BC73:BC101" si="44">SUM(AZ73:BB73)</f>
        <v>1031</v>
      </c>
    </row>
    <row r="74" spans="44:67" x14ac:dyDescent="0.3">
      <c r="AY74" s="3">
        <v>1993</v>
      </c>
      <c r="AZ74" s="7">
        <v>557</v>
      </c>
      <c r="BA74" s="7">
        <v>268</v>
      </c>
      <c r="BB74" s="7">
        <v>253</v>
      </c>
      <c r="BC74" s="9">
        <f t="shared" si="44"/>
        <v>1078</v>
      </c>
    </row>
    <row r="75" spans="44:67" x14ac:dyDescent="0.3">
      <c r="AY75" s="3">
        <v>1994</v>
      </c>
      <c r="AZ75" s="7">
        <v>596</v>
      </c>
      <c r="BA75" s="7">
        <v>240</v>
      </c>
      <c r="BB75" s="7">
        <v>295</v>
      </c>
      <c r="BC75" s="9">
        <f t="shared" si="44"/>
        <v>1131</v>
      </c>
    </row>
    <row r="76" spans="44:67" x14ac:dyDescent="0.3">
      <c r="AY76" s="3">
        <v>1995</v>
      </c>
      <c r="AZ76" s="7">
        <v>598</v>
      </c>
      <c r="BA76" s="7">
        <v>271</v>
      </c>
      <c r="BB76" s="7">
        <v>316</v>
      </c>
      <c r="BC76" s="9">
        <f t="shared" si="44"/>
        <v>1185</v>
      </c>
    </row>
    <row r="77" spans="44:67" x14ac:dyDescent="0.3">
      <c r="AY77" s="3">
        <v>1996</v>
      </c>
      <c r="AZ77" s="7">
        <v>665</v>
      </c>
      <c r="BA77" s="7">
        <v>300</v>
      </c>
      <c r="BB77" s="7">
        <v>333</v>
      </c>
      <c r="BC77" s="9">
        <f t="shared" si="44"/>
        <v>1298</v>
      </c>
    </row>
    <row r="78" spans="44:67" x14ac:dyDescent="0.3">
      <c r="AY78" s="3">
        <v>1997</v>
      </c>
      <c r="AZ78" s="7">
        <v>753</v>
      </c>
      <c r="BA78" s="7">
        <v>255</v>
      </c>
      <c r="BB78" s="7">
        <v>273</v>
      </c>
      <c r="BC78" s="9">
        <f t="shared" si="44"/>
        <v>1281</v>
      </c>
    </row>
    <row r="79" spans="44:67" x14ac:dyDescent="0.3">
      <c r="AY79" s="3">
        <v>1998</v>
      </c>
      <c r="AZ79" s="7">
        <v>861</v>
      </c>
      <c r="BA79" s="7">
        <v>269</v>
      </c>
      <c r="BB79" s="7">
        <v>247</v>
      </c>
      <c r="BC79" s="9">
        <f t="shared" si="44"/>
        <v>1377</v>
      </c>
    </row>
    <row r="80" spans="44:67" x14ac:dyDescent="0.3">
      <c r="AY80" s="3">
        <v>1999</v>
      </c>
      <c r="AZ80" s="7">
        <v>971</v>
      </c>
      <c r="BA80" s="7">
        <v>299</v>
      </c>
      <c r="BB80" s="7">
        <v>238</v>
      </c>
      <c r="BC80" s="9">
        <f t="shared" si="44"/>
        <v>1508</v>
      </c>
    </row>
    <row r="81" spans="51:55" x14ac:dyDescent="0.3">
      <c r="AY81" s="3">
        <v>2000</v>
      </c>
      <c r="AZ81" s="7">
        <v>1012</v>
      </c>
      <c r="BA81" s="7">
        <v>211</v>
      </c>
      <c r="BB81" s="7">
        <v>235</v>
      </c>
      <c r="BC81" s="9">
        <f t="shared" si="44"/>
        <v>1458</v>
      </c>
    </row>
    <row r="82" spans="51:55" x14ac:dyDescent="0.3">
      <c r="AY82" s="3">
        <v>2001</v>
      </c>
      <c r="AZ82" s="7">
        <v>1296</v>
      </c>
      <c r="BA82" s="7">
        <v>300</v>
      </c>
      <c r="BB82" s="7">
        <v>219</v>
      </c>
      <c r="BC82" s="9">
        <f t="shared" si="44"/>
        <v>1815</v>
      </c>
    </row>
    <row r="83" spans="51:55" x14ac:dyDescent="0.3">
      <c r="AY83" s="3">
        <v>2002</v>
      </c>
      <c r="AZ83" s="7">
        <v>1346</v>
      </c>
      <c r="BA83" s="7">
        <v>304</v>
      </c>
      <c r="BB83" s="7">
        <v>282</v>
      </c>
      <c r="BC83" s="9">
        <f t="shared" si="44"/>
        <v>1932</v>
      </c>
    </row>
    <row r="84" spans="51:55" x14ac:dyDescent="0.3">
      <c r="AY84" s="3">
        <v>2003</v>
      </c>
      <c r="AZ84" s="7">
        <v>1445</v>
      </c>
      <c r="BA84" s="7">
        <v>346</v>
      </c>
      <c r="BB84" s="7">
        <v>295</v>
      </c>
      <c r="BC84" s="9">
        <f t="shared" si="44"/>
        <v>2086</v>
      </c>
    </row>
    <row r="85" spans="51:55" x14ac:dyDescent="0.3">
      <c r="AY85" s="3">
        <v>2004</v>
      </c>
      <c r="AZ85" s="7">
        <v>1560</v>
      </c>
      <c r="BA85" s="7">
        <v>381</v>
      </c>
      <c r="BB85" s="7">
        <v>289</v>
      </c>
      <c r="BC85" s="9">
        <f t="shared" si="44"/>
        <v>2230</v>
      </c>
    </row>
    <row r="86" spans="51:55" x14ac:dyDescent="0.3">
      <c r="AY86" s="3">
        <v>2005</v>
      </c>
      <c r="AZ86" s="7">
        <v>1655</v>
      </c>
      <c r="BA86" s="7">
        <v>395</v>
      </c>
      <c r="BB86" s="7">
        <v>300</v>
      </c>
      <c r="BC86" s="9">
        <f t="shared" si="44"/>
        <v>2350</v>
      </c>
    </row>
    <row r="87" spans="51:55" x14ac:dyDescent="0.3">
      <c r="AY87" s="3">
        <v>2006</v>
      </c>
      <c r="AZ87" s="7">
        <v>1749</v>
      </c>
      <c r="BA87" s="7">
        <v>445</v>
      </c>
      <c r="BB87" s="7">
        <v>301</v>
      </c>
      <c r="BC87" s="9">
        <f t="shared" si="44"/>
        <v>2495</v>
      </c>
    </row>
    <row r="88" spans="51:55" x14ac:dyDescent="0.3">
      <c r="AY88" s="3">
        <v>2007</v>
      </c>
      <c r="AZ88" s="7">
        <v>1922</v>
      </c>
      <c r="BA88" s="7">
        <v>512</v>
      </c>
      <c r="BB88" s="7">
        <v>324</v>
      </c>
      <c r="BC88" s="9">
        <f t="shared" si="44"/>
        <v>2758</v>
      </c>
    </row>
    <row r="89" spans="51:55" x14ac:dyDescent="0.3">
      <c r="AY89" s="3">
        <v>2008</v>
      </c>
      <c r="AZ89" s="7">
        <v>1930</v>
      </c>
      <c r="BA89" s="7">
        <v>661</v>
      </c>
      <c r="BB89" s="7">
        <v>326</v>
      </c>
      <c r="BC89" s="9">
        <f t="shared" si="44"/>
        <v>2917</v>
      </c>
    </row>
    <row r="90" spans="51:55" x14ac:dyDescent="0.3">
      <c r="AY90" s="3">
        <v>2009</v>
      </c>
      <c r="AZ90" s="7">
        <v>2232</v>
      </c>
      <c r="BA90" s="7">
        <v>692</v>
      </c>
      <c r="BB90" s="7">
        <v>369</v>
      </c>
      <c r="BC90" s="9">
        <f t="shared" si="44"/>
        <v>3293</v>
      </c>
    </row>
    <row r="91" spans="51:55" x14ac:dyDescent="0.3">
      <c r="AY91" s="3">
        <v>2010</v>
      </c>
      <c r="AZ91" s="7">
        <v>2804</v>
      </c>
      <c r="BA91" s="7">
        <v>1023</v>
      </c>
      <c r="BB91" s="7">
        <v>473</v>
      </c>
      <c r="BC91" s="9">
        <f t="shared" si="44"/>
        <v>4300</v>
      </c>
    </row>
    <row r="92" spans="51:55" x14ac:dyDescent="0.3">
      <c r="AY92" s="3">
        <v>2011</v>
      </c>
      <c r="AZ92" s="7">
        <v>2571</v>
      </c>
      <c r="BA92" s="7">
        <v>754</v>
      </c>
      <c r="BB92" s="7">
        <v>405</v>
      </c>
      <c r="BC92" s="9">
        <f t="shared" si="44"/>
        <v>3730</v>
      </c>
    </row>
    <row r="93" spans="51:55" x14ac:dyDescent="0.3">
      <c r="AY93" s="3">
        <v>2012</v>
      </c>
      <c r="AZ93" s="7">
        <v>2828</v>
      </c>
      <c r="BA93" s="7">
        <v>913</v>
      </c>
      <c r="BB93" s="7">
        <v>482</v>
      </c>
      <c r="BC93" s="9">
        <f t="shared" si="44"/>
        <v>4223</v>
      </c>
    </row>
    <row r="94" spans="51:55" x14ac:dyDescent="0.3">
      <c r="AY94" s="3">
        <v>2013</v>
      </c>
      <c r="AZ94" s="7">
        <v>3065</v>
      </c>
      <c r="BA94" s="7">
        <v>1054</v>
      </c>
      <c r="BB94" s="7">
        <v>581</v>
      </c>
      <c r="BC94" s="9">
        <f t="shared" si="44"/>
        <v>4700</v>
      </c>
    </row>
    <row r="95" spans="51:55" x14ac:dyDescent="0.3">
      <c r="AY95" s="3">
        <v>2014</v>
      </c>
      <c r="AZ95" s="7">
        <v>2878</v>
      </c>
      <c r="BA95" s="7">
        <v>967</v>
      </c>
      <c r="BB95" s="7">
        <v>616</v>
      </c>
      <c r="BC95" s="9">
        <f t="shared" si="44"/>
        <v>4461</v>
      </c>
    </row>
    <row r="96" spans="51:55" x14ac:dyDescent="0.3">
      <c r="AY96" s="3">
        <v>2015</v>
      </c>
      <c r="AZ96" s="7">
        <v>2977</v>
      </c>
      <c r="BA96" s="7">
        <v>1007</v>
      </c>
      <c r="BB96" s="7">
        <v>847</v>
      </c>
      <c r="BC96" s="9">
        <f t="shared" si="44"/>
        <v>4831</v>
      </c>
    </row>
    <row r="97" spans="51:55" x14ac:dyDescent="0.3">
      <c r="AY97" s="3">
        <v>2016</v>
      </c>
      <c r="AZ97" s="7">
        <v>3192</v>
      </c>
      <c r="BA97" s="7">
        <v>1184</v>
      </c>
      <c r="BB97" s="7">
        <v>870</v>
      </c>
      <c r="BC97" s="9">
        <f t="shared" si="44"/>
        <v>5246</v>
      </c>
    </row>
    <row r="98" spans="51:55" x14ac:dyDescent="0.3">
      <c r="AY98" s="3">
        <v>2017</v>
      </c>
      <c r="AZ98" s="7">
        <v>3169</v>
      </c>
      <c r="BA98" s="7">
        <v>1334</v>
      </c>
      <c r="BB98" s="7">
        <v>975</v>
      </c>
      <c r="BC98" s="9">
        <f t="shared" si="44"/>
        <v>5478</v>
      </c>
    </row>
    <row r="99" spans="51:55" x14ac:dyDescent="0.3">
      <c r="AY99" s="3">
        <v>2018</v>
      </c>
      <c r="AZ99" s="7">
        <v>3395</v>
      </c>
      <c r="BA99" s="7">
        <v>1374</v>
      </c>
      <c r="BB99" s="7">
        <v>978</v>
      </c>
      <c r="BC99" s="9">
        <f t="shared" si="44"/>
        <v>5747</v>
      </c>
    </row>
    <row r="100" spans="51:55" x14ac:dyDescent="0.3">
      <c r="AY100" s="3">
        <v>2019</v>
      </c>
      <c r="AZ100" s="7">
        <v>3452</v>
      </c>
      <c r="BA100" s="7">
        <v>1513</v>
      </c>
      <c r="BB100" s="7">
        <v>905</v>
      </c>
      <c r="BC100" s="9">
        <f t="shared" si="44"/>
        <v>5870</v>
      </c>
    </row>
    <row r="101" spans="51:55" x14ac:dyDescent="0.3">
      <c r="AZ101" s="9">
        <f>SUM(AZ73:AZ100)</f>
        <v>52019</v>
      </c>
      <c r="BA101" s="9">
        <f>SUM(BA73:BA100)</f>
        <v>17526</v>
      </c>
      <c r="BB101" s="9">
        <f>SUM(BB73:BB100)</f>
        <v>12264</v>
      </c>
      <c r="BC101" s="9">
        <f t="shared" si="44"/>
        <v>81809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8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C16" sqref="C16"/>
    </sheetView>
  </sheetViews>
  <sheetFormatPr defaultColWidth="8.88671875" defaultRowHeight="14.4" x14ac:dyDescent="0.3"/>
  <cols>
    <col min="1" max="2" width="8.88671875" style="9"/>
    <col min="3" max="3" width="19" style="9" customWidth="1"/>
    <col min="4" max="4" width="6.44140625" style="9" customWidth="1"/>
    <col min="5" max="5" width="9.109375" style="9" customWidth="1"/>
    <col min="6" max="6" width="13.33203125" style="9" customWidth="1"/>
    <col min="7" max="10" width="8.88671875" style="9"/>
    <col min="11" max="11" width="10.88671875" style="9" customWidth="1"/>
    <col min="12" max="13" width="8.88671875" style="9"/>
    <col min="14" max="17" width="8.88671875" style="9" customWidth="1"/>
    <col min="18" max="21" width="8.88671875" style="9"/>
    <col min="22" max="22" width="8.88671875" style="9" customWidth="1"/>
    <col min="23" max="16384" width="8.88671875" style="9"/>
  </cols>
  <sheetData>
    <row r="1" spans="1:23" x14ac:dyDescent="0.3">
      <c r="A1" s="9" t="s">
        <v>68</v>
      </c>
      <c r="B1" s="9" t="s">
        <v>69</v>
      </c>
      <c r="C1" s="9" t="s">
        <v>70</v>
      </c>
      <c r="D1" s="9" t="s">
        <v>71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2025</v>
      </c>
      <c r="S1" s="1">
        <v>2030</v>
      </c>
    </row>
    <row r="2" spans="1:23" x14ac:dyDescent="0.3">
      <c r="A2" s="9" t="s">
        <v>41</v>
      </c>
      <c r="B2" s="9" t="s">
        <v>292</v>
      </c>
      <c r="C2" s="17" t="s">
        <v>60</v>
      </c>
      <c r="E2" s="1"/>
      <c r="F2" s="46">
        <f>HLOOKUP(F$1,  HDD!$B$4:$AP$33,   MATCH($A$2, HDD!$A$4:$A$33,0), FALSE)</f>
        <v>4415</v>
      </c>
      <c r="G2" s="46">
        <f>HLOOKUP(G$1,  HDD!$B$4:$AP$33,   MATCH($A$2, HDD!$A$4:$A$33,0), FALSE)</f>
        <v>3767.86</v>
      </c>
      <c r="H2" s="46">
        <f>HLOOKUP(H$1,  HDD!$B$4:$AP$33,   MATCH($A$2, HDD!$A$4:$A$33,0), FALSE)</f>
        <v>4081.27</v>
      </c>
      <c r="I2" s="46">
        <f>HLOOKUP(I$1,  HDD!$B$4:$AP$33,   MATCH($A$2, HDD!$A$4:$A$33,0), FALSE)</f>
        <v>3873.17</v>
      </c>
      <c r="J2" s="46">
        <f>HLOOKUP(J$1,  HDD!$B$4:$AP$33,   MATCH($A$2, HDD!$A$4:$A$33,0), FALSE)</f>
        <v>3729.28</v>
      </c>
      <c r="K2" s="46">
        <f>HLOOKUP(K$1,  HDD!$B$4:$AP$33,   MATCH($A$2, HDD!$A$4:$A$33,0), FALSE)</f>
        <v>3523.32</v>
      </c>
      <c r="L2" s="46">
        <f>HLOOKUP(L$1,  HDD!$B$4:$AP$33,   MATCH($A$2, HDD!$A$4:$A$33,0), FALSE)</f>
        <v>3829.94</v>
      </c>
      <c r="M2" s="46">
        <f>HLOOKUP(M$1,  HDD!$B$4:$AP$33,   MATCH($A$2, HDD!$A$4:$A$33,0), FALSE)</f>
        <v>3761.5</v>
      </c>
      <c r="N2" s="46">
        <f>HLOOKUP(N$1,  HDD!$B$4:$AP$33,   MATCH($A$2, HDD!$A$4:$A$33,0), FALSE)</f>
        <v>3687.57</v>
      </c>
      <c r="O2" s="46">
        <f>HLOOKUP(O$1,  HDD!$B$4:$AP$33,   MATCH($A$2, HDD!$A$4:$A$33,0), FALSE)</f>
        <v>3391.36</v>
      </c>
      <c r="P2" s="46">
        <f>HLOOKUP(P$1,  HDD!$B$4:$AP$33,   MATCH($A$2, HDD!$A$4:$A$33,0), FALSE)</f>
        <v>3305.64</v>
      </c>
      <c r="Q2" s="47"/>
      <c r="R2" s="46">
        <f>HLOOKUP(R$1,  HDD!$B$4:$AP$33,   MATCH($A$2, HDD!$A$4:$A$33,0), FALSE)</f>
        <v>3631.847739495799</v>
      </c>
      <c r="S2" s="46">
        <f>HLOOKUP(S$1,  HDD!$B$4:$AP$33,   MATCH($A$2, HDD!$A$4:$A$33,0), FALSE)</f>
        <v>3565.1341400560232</v>
      </c>
    </row>
    <row r="3" spans="1:23" x14ac:dyDescent="0.3">
      <c r="A3" s="9" t="s">
        <v>41</v>
      </c>
      <c r="B3" s="9" t="s">
        <v>292</v>
      </c>
      <c r="C3" s="17" t="s">
        <v>61</v>
      </c>
      <c r="D3" s="17" t="s">
        <v>62</v>
      </c>
      <c r="E3" s="21"/>
      <c r="F3" s="34">
        <f>HLOOKUP(F$1, Pop!$B$8:$M$62, MATCH($A$3, Pop!$A$8:$A$62,0), FALSE)/1000000</f>
        <v>3.1419760000000001</v>
      </c>
      <c r="G3" s="34">
        <f>HLOOKUP(G$1, Pop!$B$8:$P$62, MATCH($A$3, Pop!$A$8:$A$62,0), FALSE)/1000000</f>
        <v>3.0525880000000001</v>
      </c>
      <c r="H3" s="34">
        <f>HLOOKUP(H$1, Pop!$B$8:$P$62, MATCH($A$3, Pop!$A$8:$A$62,0), FALSE)/1000000</f>
        <v>3.003641</v>
      </c>
      <c r="I3" s="34">
        <f>HLOOKUP(I$1, Pop!$B$8:$P$62, MATCH($A$3, Pop!$A$8:$A$62,0), FALSE)/1000000</f>
        <v>2.971905</v>
      </c>
      <c r="J3" s="34">
        <f>HLOOKUP(J$1, Pop!$B$8:$P$62, MATCH($A$3, Pop!$A$8:$A$62,0), FALSE)/1000000</f>
        <v>2.9434719999999999</v>
      </c>
      <c r="K3" s="34">
        <f>HLOOKUP(K$1, Pop!$B$8:$P$62, MATCH($A$3, Pop!$A$8:$A$62,0), FALSE)/1000000</f>
        <v>2.921262</v>
      </c>
      <c r="L3" s="34">
        <f>HLOOKUP(L$1, Pop!$B$8:$P$62, MATCH($A$3, Pop!$A$8:$A$62,0), FALSE)/1000000</f>
        <v>2.8885580000000002</v>
      </c>
      <c r="M3" s="34">
        <f>HLOOKUP(M$1, Pop!$B$8:$P$62, MATCH($A$3, Pop!$A$8:$A$62,0), FALSE)/1000000</f>
        <v>2.8479040000000002</v>
      </c>
      <c r="N3" s="34">
        <f>HLOOKUP(N$1, Pop!$B$8:$P$62, MATCH($A$3, Pop!$A$8:$A$62,0), FALSE)/1000000</f>
        <v>2.8089010000000001</v>
      </c>
      <c r="O3" s="34">
        <f>HLOOKUP(O$1, Pop!$B$8:$P$62, MATCH($A$3, Pop!$A$8:$A$62,0), FALSE)/1000000</f>
        <v>2.794184</v>
      </c>
      <c r="P3" s="34">
        <f>HLOOKUP(P$1, Pop!$B$8:$P$62, MATCH($A$3, Pop!$A$8:$A$62,0), FALSE)/1000000</f>
        <v>2.7940900000000002</v>
      </c>
      <c r="Q3" s="34">
        <f>HLOOKUP(Q$1, Pop!$B$8:$M$62, MATCH($A$3, Pop!$A$8:$A$62,0), FALSE)/1000000</f>
        <v>2.7956799999999999</v>
      </c>
      <c r="R3" s="34">
        <f>HLOOKUP(R$1, Pop!$B$8:$P$62, MATCH($A$3, Pop!$A$8:$A$62,0), FALSE)/1000000</f>
        <v>2.7079149999999998</v>
      </c>
      <c r="S3" s="34">
        <f>HLOOKUP(S$1, Pop!$B$8:$P$62, MATCH($A$3, Pop!$A$8:$A$62,0), FALSE)/1000000</f>
        <v>2.5755530000000002</v>
      </c>
    </row>
    <row r="4" spans="1:23" x14ac:dyDescent="0.3">
      <c r="A4" s="9" t="s">
        <v>41</v>
      </c>
      <c r="B4" s="9" t="s">
        <v>292</v>
      </c>
      <c r="C4" s="17" t="s">
        <v>163</v>
      </c>
      <c r="D4" s="17" t="s">
        <v>64</v>
      </c>
      <c r="E4" s="54"/>
      <c r="F4" s="49">
        <f>TREND($H4:$P4,H1:P1,F1)</f>
        <v>9359.2975555555604</v>
      </c>
      <c r="G4" s="49">
        <f>TREND($H4:$P4,H1:P1,G1)</f>
        <v>9250.3172222222202</v>
      </c>
      <c r="H4" s="54">
        <f t="shared" ref="H4:K4" si="0">H13</f>
        <v>9469.2999999999993</v>
      </c>
      <c r="I4" s="54">
        <f t="shared" si="0"/>
        <v>8902.7000000000007</v>
      </c>
      <c r="J4" s="54">
        <f t="shared" si="0"/>
        <v>8562</v>
      </c>
      <c r="K4" s="54">
        <f t="shared" si="0"/>
        <v>8365</v>
      </c>
      <c r="L4" s="54">
        <f>L13</f>
        <v>8973</v>
      </c>
      <c r="M4" s="54">
        <f t="shared" ref="M4:P4" si="1">M13</f>
        <v>9026</v>
      </c>
      <c r="N4" s="49">
        <f>TREND($H4:$M4,H1:M1,N1)</f>
        <v>8662.7400000000052</v>
      </c>
      <c r="O4" s="54">
        <f t="shared" si="1"/>
        <v>8368</v>
      </c>
      <c r="P4" s="54">
        <f t="shared" si="1"/>
        <v>8020</v>
      </c>
      <c r="Q4" s="50"/>
      <c r="R4" s="50"/>
      <c r="S4" s="50"/>
    </row>
    <row r="5" spans="1:23" x14ac:dyDescent="0.3">
      <c r="A5" s="9" t="s">
        <v>41</v>
      </c>
      <c r="B5" s="9" t="s">
        <v>292</v>
      </c>
      <c r="C5" s="17" t="s">
        <v>76</v>
      </c>
      <c r="D5" s="17" t="s">
        <v>64</v>
      </c>
      <c r="E5" s="1"/>
      <c r="F5" s="49">
        <f t="shared" ref="F5:I5" si="2">TREND($M5:$O5,$M1:$O1,F1)</f>
        <v>1253.9451543676405</v>
      </c>
      <c r="G5" s="49">
        <f t="shared" si="2"/>
        <v>1219.4455490794935</v>
      </c>
      <c r="H5" s="49">
        <f t="shared" si="2"/>
        <v>1184.945943791332</v>
      </c>
      <c r="I5" s="49">
        <f t="shared" si="2"/>
        <v>1150.4463385031704</v>
      </c>
      <c r="J5" s="49">
        <f>TREND($M5:$O5,$M1:$O1,J1)</f>
        <v>1115.9467332150089</v>
      </c>
      <c r="K5" s="49">
        <f t="shared" ref="K5:L5" si="3">TREND($M5:$O5,$M1:$O1,K1)</f>
        <v>1081.4471279268619</v>
      </c>
      <c r="L5" s="49">
        <f t="shared" si="3"/>
        <v>1046.9475226387003</v>
      </c>
      <c r="M5" s="49">
        <f>M21/$O$21*$O$5</f>
        <v>1005.6826654237256</v>
      </c>
      <c r="N5" s="49">
        <f>N21/$O$21*$O$5</f>
        <v>991.47881591597638</v>
      </c>
      <c r="O5" s="49">
        <f>$Q$25*O4</f>
        <v>936.68345484740905</v>
      </c>
      <c r="P5" s="49">
        <f>$Q$25*P4</f>
        <v>897.7296018016516</v>
      </c>
      <c r="Q5" s="49"/>
      <c r="R5" s="49">
        <f>$V$10*R$8</f>
        <v>830.33461658780834</v>
      </c>
      <c r="T5" s="49"/>
      <c r="U5" s="9" t="s">
        <v>82</v>
      </c>
      <c r="V5" s="9" t="s">
        <v>83</v>
      </c>
      <c r="W5" s="9" t="s">
        <v>81</v>
      </c>
    </row>
    <row r="6" spans="1:23" x14ac:dyDescent="0.3">
      <c r="A6" s="9" t="s">
        <v>41</v>
      </c>
      <c r="B6" s="9" t="s">
        <v>292</v>
      </c>
      <c r="C6" s="17" t="s">
        <v>74</v>
      </c>
      <c r="D6" s="17" t="s">
        <v>64</v>
      </c>
      <c r="E6" s="1"/>
      <c r="F6" s="49">
        <f t="shared" ref="F6:J6" si="4">F4-F5</f>
        <v>8105.3524011879199</v>
      </c>
      <c r="G6" s="49">
        <f t="shared" si="4"/>
        <v>8030.8716731427266</v>
      </c>
      <c r="H6" s="49">
        <f t="shared" si="4"/>
        <v>8284.3540562086673</v>
      </c>
      <c r="I6" s="49">
        <f t="shared" si="4"/>
        <v>7752.2536614968303</v>
      </c>
      <c r="J6" s="49">
        <f t="shared" si="4"/>
        <v>7446.0532667849911</v>
      </c>
      <c r="K6" s="49">
        <f t="shared" ref="K6:P6" si="5">K4-L5</f>
        <v>7318.0524773612997</v>
      </c>
      <c r="L6" s="49">
        <f t="shared" si="5"/>
        <v>7967.3173345762743</v>
      </c>
      <c r="M6" s="49">
        <f t="shared" si="5"/>
        <v>8034.5211840840238</v>
      </c>
      <c r="N6" s="49">
        <f t="shared" si="5"/>
        <v>7726.0565451525963</v>
      </c>
      <c r="O6" s="49">
        <f t="shared" si="5"/>
        <v>7470.2703981983486</v>
      </c>
      <c r="P6" s="49">
        <f t="shared" si="5"/>
        <v>8020</v>
      </c>
      <c r="Q6" s="50"/>
      <c r="R6" s="50"/>
      <c r="S6" s="50"/>
      <c r="U6" s="33">
        <f t="array" ref="U6:W6">LINEST(F6:P6,F2:P3)</f>
        <v>-729.28950675484214</v>
      </c>
      <c r="V6" s="33">
        <v>0.75996675154688509</v>
      </c>
      <c r="W6" s="33">
        <v>7107.1383992959436</v>
      </c>
    </row>
    <row r="7" spans="1:23" x14ac:dyDescent="0.3">
      <c r="A7" s="9" t="s">
        <v>41</v>
      </c>
      <c r="B7" s="9" t="s">
        <v>292</v>
      </c>
      <c r="C7" s="17" t="s">
        <v>206</v>
      </c>
      <c r="D7" s="17" t="s">
        <v>64</v>
      </c>
      <c r="E7" s="1"/>
      <c r="F7" s="47">
        <f>$V$6*F2+$U$6*F3+$W$6</f>
        <v>8170.9814800998893</v>
      </c>
      <c r="G7" s="47">
        <f>$V$6*G2+$U$6*G3+$W$6</f>
        <v>7744.3663269336394</v>
      </c>
      <c r="H7" s="47">
        <f t="shared" ref="H7:P7" si="6">$V$6*H2+$U$6*H3+$W$6</f>
        <v>8018.2440400230789</v>
      </c>
      <c r="I7" s="47">
        <f t="shared" si="6"/>
        <v>7883.2396908125429</v>
      </c>
      <c r="J7" s="47">
        <f t="shared" si="6"/>
        <v>7794.6239634780231</v>
      </c>
      <c r="K7" s="47">
        <f t="shared" si="6"/>
        <v>7654.2987312744517</v>
      </c>
      <c r="L7" s="47">
        <f t="shared" si="6"/>
        <v>7911.1704206626673</v>
      </c>
      <c r="M7" s="47">
        <f t="shared" si="6"/>
        <v>7888.8068317944089</v>
      </c>
      <c r="N7" s="47">
        <f t="shared" si="6"/>
        <v>7861.0669684845079</v>
      </c>
      <c r="O7" s="47">
        <f t="shared" si="6"/>
        <v>7646.6901706797162</v>
      </c>
      <c r="P7" s="47">
        <f t="shared" si="6"/>
        <v>7581.6143739507515</v>
      </c>
      <c r="Q7" s="50"/>
      <c r="R7" s="47">
        <f>V6*R2+U6*R3+W6</f>
        <v>7892.367933309426</v>
      </c>
      <c r="S7" s="47">
        <f>V6*S2+U6*S3+W6</f>
        <v>7938.198033552263</v>
      </c>
    </row>
    <row r="8" spans="1:23" x14ac:dyDescent="0.3">
      <c r="A8" s="9" t="s">
        <v>41</v>
      </c>
      <c r="B8" s="9" t="s">
        <v>292</v>
      </c>
      <c r="C8" s="17" t="s">
        <v>85</v>
      </c>
      <c r="D8" s="17" t="s">
        <v>64</v>
      </c>
      <c r="E8" s="1"/>
      <c r="F8" s="49">
        <f>F5+F7</f>
        <v>9424.9266344675307</v>
      </c>
      <c r="G8" s="49">
        <f t="shared" ref="G8:J8" si="7">G5+G7</f>
        <v>8963.8118760131329</v>
      </c>
      <c r="H8" s="49">
        <f t="shared" si="7"/>
        <v>9203.1899838144109</v>
      </c>
      <c r="I8" s="49">
        <f t="shared" si="7"/>
        <v>9033.6860293157133</v>
      </c>
      <c r="J8" s="49">
        <f t="shared" si="7"/>
        <v>8910.570696693032</v>
      </c>
      <c r="K8" s="49">
        <f t="shared" ref="K8:P8" si="8">L5+K7</f>
        <v>8701.246253913152</v>
      </c>
      <c r="L8" s="49">
        <f t="shared" si="8"/>
        <v>8916.8530860863921</v>
      </c>
      <c r="M8" s="49">
        <f t="shared" si="8"/>
        <v>8880.2856477103851</v>
      </c>
      <c r="N8" s="49">
        <f t="shared" si="8"/>
        <v>8797.7504233319178</v>
      </c>
      <c r="O8" s="49">
        <f t="shared" si="8"/>
        <v>8544.4197724813675</v>
      </c>
      <c r="P8" s="49">
        <f t="shared" si="8"/>
        <v>7581.6143739507515</v>
      </c>
      <c r="Q8" s="49"/>
      <c r="R8" s="49">
        <f>TREND($H$8:$P$8,$H$1:$P$1,R$1)</f>
        <v>7529.8520086006029</v>
      </c>
      <c r="S8" s="49">
        <f>TREND($H$8:$P$8,$H$1:$P$1,S$1)</f>
        <v>6863.1268116937135</v>
      </c>
    </row>
    <row r="9" spans="1:23" x14ac:dyDescent="0.3">
      <c r="A9" s="9" t="s">
        <v>41</v>
      </c>
      <c r="B9" s="9" t="s">
        <v>292</v>
      </c>
      <c r="C9" s="17" t="s">
        <v>164</v>
      </c>
      <c r="D9" s="17"/>
      <c r="E9" s="1"/>
      <c r="F9" s="51">
        <f t="shared" ref="F9:P9" si="9">F8/F4</f>
        <v>1.0070121799763716</v>
      </c>
      <c r="G9" s="51">
        <f t="shared" si="9"/>
        <v>0.9690275112381217</v>
      </c>
      <c r="H9" s="51">
        <f t="shared" si="9"/>
        <v>0.97189760423837157</v>
      </c>
      <c r="I9" s="51">
        <f t="shared" si="9"/>
        <v>1.0147130678688165</v>
      </c>
      <c r="J9" s="51">
        <f t="shared" si="9"/>
        <v>1.0407113637810128</v>
      </c>
      <c r="K9" s="51">
        <f t="shared" si="9"/>
        <v>1.0401968026196238</v>
      </c>
      <c r="L9" s="51">
        <f t="shared" si="9"/>
        <v>0.99374268205576644</v>
      </c>
      <c r="M9" s="51">
        <f t="shared" si="9"/>
        <v>0.98385615418905215</v>
      </c>
      <c r="N9" s="51">
        <f t="shared" si="9"/>
        <v>1.0155851870576644</v>
      </c>
      <c r="O9" s="51">
        <f t="shared" si="9"/>
        <v>1.0210826687955745</v>
      </c>
      <c r="P9" s="51">
        <f t="shared" si="9"/>
        <v>0.94533845061730071</v>
      </c>
      <c r="Q9" s="50"/>
      <c r="S9" s="47"/>
    </row>
    <row r="10" spans="1:23" x14ac:dyDescent="0.3">
      <c r="A10" s="9" t="s">
        <v>41</v>
      </c>
      <c r="B10" s="9" t="s">
        <v>292</v>
      </c>
      <c r="C10" s="17" t="s">
        <v>207</v>
      </c>
      <c r="D10" s="17"/>
      <c r="E10" s="1"/>
      <c r="F10" s="52">
        <f>F5/F4</f>
        <v>0.1339785541515682</v>
      </c>
      <c r="G10" s="52">
        <f>G5/G4</f>
        <v>0.13182743032314559</v>
      </c>
      <c r="H10" s="52">
        <f>H5/H4</f>
        <v>0.1251355373460902</v>
      </c>
      <c r="I10" s="52">
        <f t="shared" ref="I10:J10" si="10">I5/I4</f>
        <v>0.12922443062252692</v>
      </c>
      <c r="J10" s="52">
        <f t="shared" si="10"/>
        <v>0.13033715641380622</v>
      </c>
      <c r="K10" s="52">
        <f t="shared" ref="K10:P10" si="11">L5/K4</f>
        <v>0.12515810192931265</v>
      </c>
      <c r="L10" s="52">
        <f t="shared" si="11"/>
        <v>0.112078754644347</v>
      </c>
      <c r="M10" s="52">
        <f t="shared" si="11"/>
        <v>0.10984697716773503</v>
      </c>
      <c r="N10" s="52">
        <f t="shared" si="11"/>
        <v>0.10812785040846297</v>
      </c>
      <c r="O10" s="52">
        <f t="shared" si="11"/>
        <v>0.10728126216558934</v>
      </c>
      <c r="P10" s="52">
        <f t="shared" si="11"/>
        <v>0</v>
      </c>
      <c r="Q10" s="50"/>
      <c r="R10" s="51"/>
      <c r="S10" s="47"/>
      <c r="U10" s="9" t="s">
        <v>173</v>
      </c>
      <c r="V10" s="8">
        <f>AVERAGE(F10:P10)</f>
        <v>0.11027236865205312</v>
      </c>
    </row>
    <row r="11" spans="1:23" x14ac:dyDescent="0.3">
      <c r="C11" s="17"/>
      <c r="D11" s="17"/>
      <c r="E11" s="1"/>
      <c r="F11" s="49"/>
      <c r="G11" s="49"/>
      <c r="H11" s="52"/>
      <c r="I11" s="52"/>
      <c r="J11" s="52"/>
      <c r="K11" s="52"/>
      <c r="L11" s="52"/>
      <c r="M11" s="52"/>
      <c r="N11" s="52"/>
      <c r="O11" s="52"/>
      <c r="P11" s="52"/>
      <c r="Q11" s="50"/>
      <c r="R11" s="47"/>
      <c r="S11" s="47"/>
      <c r="V11" s="8"/>
    </row>
    <row r="12" spans="1:23" x14ac:dyDescent="0.3">
      <c r="C12" s="17"/>
      <c r="D12" s="10"/>
      <c r="E12" s="85"/>
      <c r="F12" s="85"/>
      <c r="G12" s="85"/>
      <c r="H12" s="8"/>
      <c r="I12" s="8"/>
      <c r="J12" s="8"/>
      <c r="K12" s="8"/>
      <c r="L12" s="8"/>
      <c r="M12" s="8"/>
      <c r="N12" s="8"/>
      <c r="O12" s="8"/>
      <c r="P12" s="10"/>
      <c r="R12" s="47"/>
      <c r="S12" s="10"/>
    </row>
    <row r="13" spans="1:23" x14ac:dyDescent="0.3">
      <c r="C13" s="17" t="s">
        <v>293</v>
      </c>
      <c r="D13" s="10" t="s">
        <v>165</v>
      </c>
      <c r="F13" s="47"/>
      <c r="G13" s="47"/>
      <c r="H13" s="10">
        <v>9469.2999999999993</v>
      </c>
      <c r="I13" s="10">
        <v>8902.7000000000007</v>
      </c>
      <c r="J13" s="10">
        <v>8562</v>
      </c>
      <c r="K13" s="10">
        <v>8365</v>
      </c>
      <c r="L13" s="96">
        <v>8973</v>
      </c>
      <c r="M13" s="10">
        <v>9026</v>
      </c>
      <c r="N13" s="10"/>
      <c r="O13" s="10">
        <v>8368</v>
      </c>
      <c r="P13" s="10">
        <v>8020</v>
      </c>
      <c r="R13" s="10"/>
      <c r="S13" s="10"/>
    </row>
    <row r="14" spans="1:23" x14ac:dyDescent="0.3">
      <c r="C14" s="17"/>
      <c r="D14" s="10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R14" s="10"/>
      <c r="S14" s="10"/>
    </row>
    <row r="15" spans="1:23" x14ac:dyDescent="0.3">
      <c r="R15" s="10"/>
    </row>
    <row r="16" spans="1:23" x14ac:dyDescent="0.3">
      <c r="C16" s="9" t="s">
        <v>176</v>
      </c>
    </row>
    <row r="17" spans="3:17" x14ac:dyDescent="0.3">
      <c r="C17" s="22" t="s">
        <v>72</v>
      </c>
      <c r="F17" s="23" t="s">
        <v>16</v>
      </c>
      <c r="G17" s="23" t="s">
        <v>17</v>
      </c>
      <c r="H17" s="23" t="s">
        <v>18</v>
      </c>
      <c r="I17" s="23" t="s">
        <v>19</v>
      </c>
      <c r="J17" s="23" t="s">
        <v>20</v>
      </c>
      <c r="K17" s="23" t="s">
        <v>21</v>
      </c>
      <c r="L17" s="23" t="s">
        <v>22</v>
      </c>
      <c r="M17" s="23" t="s">
        <v>23</v>
      </c>
      <c r="N17" s="23" t="s">
        <v>24</v>
      </c>
      <c r="O17" s="23" t="s">
        <v>25</v>
      </c>
    </row>
    <row r="18" spans="3:17" x14ac:dyDescent="0.3">
      <c r="C18" s="24" t="s">
        <v>73</v>
      </c>
      <c r="F18" s="82" t="s">
        <v>51</v>
      </c>
      <c r="G18" s="82" t="s">
        <v>51</v>
      </c>
      <c r="H18" s="82" t="s">
        <v>51</v>
      </c>
      <c r="I18" s="82" t="s">
        <v>51</v>
      </c>
      <c r="J18" s="82" t="s">
        <v>51</v>
      </c>
      <c r="K18" s="83" t="s">
        <v>51</v>
      </c>
      <c r="L18" s="83" t="s">
        <v>51</v>
      </c>
      <c r="M18" s="84">
        <v>60930.095999999998</v>
      </c>
      <c r="N18" s="83">
        <v>63150.648999999998</v>
      </c>
      <c r="O18" s="83">
        <v>60603.464999999997</v>
      </c>
    </row>
    <row r="19" spans="3:17" x14ac:dyDescent="0.3">
      <c r="C19" s="24" t="s">
        <v>74</v>
      </c>
      <c r="F19" s="82" t="s">
        <v>51</v>
      </c>
      <c r="G19" s="82" t="s">
        <v>51</v>
      </c>
      <c r="H19" s="82" t="s">
        <v>51</v>
      </c>
      <c r="I19" s="82" t="s">
        <v>51</v>
      </c>
      <c r="J19" s="82" t="s">
        <v>51</v>
      </c>
      <c r="K19" s="83" t="s">
        <v>51</v>
      </c>
      <c r="L19" s="83" t="s">
        <v>51</v>
      </c>
      <c r="M19" s="83">
        <v>42808.824000000001</v>
      </c>
      <c r="N19" s="84">
        <v>44597.574000000001</v>
      </c>
      <c r="O19" s="83">
        <v>42542.987000000001</v>
      </c>
    </row>
    <row r="20" spans="3:17" x14ac:dyDescent="0.3">
      <c r="C20" s="24" t="s">
        <v>75</v>
      </c>
      <c r="F20" s="25" t="s">
        <v>51</v>
      </c>
      <c r="G20" s="25" t="s">
        <v>51</v>
      </c>
      <c r="H20" s="25" t="s">
        <v>51</v>
      </c>
      <c r="I20" s="25" t="s">
        <v>51</v>
      </c>
      <c r="J20" s="25" t="s">
        <v>51</v>
      </c>
      <c r="K20" s="25" t="s">
        <v>51</v>
      </c>
      <c r="L20" s="25" t="s">
        <v>51</v>
      </c>
      <c r="M20" s="25" t="s">
        <v>51</v>
      </c>
      <c r="N20" s="25" t="s">
        <v>51</v>
      </c>
      <c r="O20" s="25" t="s">
        <v>51</v>
      </c>
    </row>
    <row r="21" spans="3:17" x14ac:dyDescent="0.3">
      <c r="C21" s="24" t="s">
        <v>76</v>
      </c>
      <c r="F21" s="82" t="s">
        <v>51</v>
      </c>
      <c r="G21" s="82" t="s">
        <v>51</v>
      </c>
      <c r="H21" s="82" t="s">
        <v>51</v>
      </c>
      <c r="I21" s="82" t="s">
        <v>51</v>
      </c>
      <c r="J21" s="82" t="s">
        <v>51</v>
      </c>
      <c r="K21" s="83" t="s">
        <v>51</v>
      </c>
      <c r="L21" s="84" t="s">
        <v>51</v>
      </c>
      <c r="M21" s="83">
        <v>5614.2950000000001</v>
      </c>
      <c r="N21" s="83">
        <v>5535.0010000000002</v>
      </c>
      <c r="O21" s="83">
        <v>5229.1019999999999</v>
      </c>
    </row>
    <row r="22" spans="3:17" x14ac:dyDescent="0.3">
      <c r="C22" s="24" t="s">
        <v>77</v>
      </c>
      <c r="F22" s="25" t="s">
        <v>51</v>
      </c>
      <c r="G22" s="25" t="s">
        <v>51</v>
      </c>
      <c r="H22" s="25" t="s">
        <v>51</v>
      </c>
      <c r="I22" s="25" t="s">
        <v>51</v>
      </c>
      <c r="J22" s="25" t="s">
        <v>51</v>
      </c>
      <c r="K22" s="26"/>
      <c r="L22" s="27"/>
      <c r="M22" s="26"/>
      <c r="N22" s="27"/>
      <c r="O22" s="27"/>
    </row>
    <row r="24" spans="3:17" x14ac:dyDescent="0.3">
      <c r="Q24" s="9" t="s">
        <v>78</v>
      </c>
    </row>
    <row r="25" spans="3:17" x14ac:dyDescent="0.3">
      <c r="C25" s="9" t="s">
        <v>167</v>
      </c>
      <c r="F25" s="8"/>
      <c r="G25" s="8"/>
      <c r="H25" s="8"/>
      <c r="I25" s="8"/>
      <c r="J25" s="8"/>
      <c r="K25" s="8"/>
      <c r="L25" s="8"/>
      <c r="M25" s="8">
        <f t="shared" ref="M25:O25" si="12">M21/(M19+M21)</f>
        <v>0.11594244889512384</v>
      </c>
      <c r="N25" s="8">
        <f t="shared" si="12"/>
        <v>0.11040727511004572</v>
      </c>
      <c r="O25" s="8">
        <f t="shared" si="12"/>
        <v>0.10945935397549812</v>
      </c>
      <c r="Q25" s="8">
        <f>AVERAGE(M25:O25)</f>
        <v>0.11193635932688922</v>
      </c>
    </row>
    <row r="32" spans="3:17" x14ac:dyDescent="0.3">
      <c r="G32" s="9">
        <v>2013</v>
      </c>
      <c r="H32" s="9">
        <v>2014</v>
      </c>
      <c r="I32" s="9">
        <v>2015</v>
      </c>
      <c r="J32" s="9">
        <v>2016</v>
      </c>
      <c r="K32" s="9">
        <v>2017</v>
      </c>
      <c r="L32" s="9">
        <v>2018</v>
      </c>
      <c r="M32" s="9">
        <v>2019</v>
      </c>
      <c r="N32" s="9">
        <v>2020</v>
      </c>
      <c r="O32" s="9">
        <v>2021</v>
      </c>
    </row>
    <row r="33" spans="6:15" x14ac:dyDescent="0.3">
      <c r="F33" s="9" t="s">
        <v>289</v>
      </c>
      <c r="G33" s="9">
        <v>428500</v>
      </c>
      <c r="H33" s="9">
        <v>393200</v>
      </c>
      <c r="I33" s="9">
        <v>394100</v>
      </c>
      <c r="J33" s="9">
        <v>416900</v>
      </c>
      <c r="K33" s="9">
        <v>431700</v>
      </c>
      <c r="M33" s="9">
        <v>345000</v>
      </c>
      <c r="N33" s="9">
        <v>344000</v>
      </c>
    </row>
    <row r="34" spans="6:15" x14ac:dyDescent="0.3">
      <c r="F34" s="9" t="s">
        <v>290</v>
      </c>
      <c r="G34" s="95">
        <v>56521</v>
      </c>
      <c r="H34" s="95">
        <v>56796.2</v>
      </c>
      <c r="I34" s="95">
        <v>56048.7</v>
      </c>
      <c r="J34" s="95">
        <v>54259.8</v>
      </c>
      <c r="K34" s="95">
        <v>54911.8</v>
      </c>
      <c r="M34" s="9">
        <v>53500</v>
      </c>
      <c r="N34" s="95">
        <v>53271.1</v>
      </c>
    </row>
    <row r="38" spans="6:15" x14ac:dyDescent="0.3">
      <c r="F38" s="9" t="s">
        <v>291</v>
      </c>
      <c r="G38" s="9">
        <v>119027.7779</v>
      </c>
      <c r="H38" s="9">
        <v>109222.22229999999</v>
      </c>
      <c r="I38" s="9">
        <v>109472.22229999999</v>
      </c>
      <c r="J38" s="9">
        <v>115805.55560000001</v>
      </c>
      <c r="K38" s="9">
        <v>119916.66680000001</v>
      </c>
      <c r="L38" s="9">
        <v>0</v>
      </c>
      <c r="M38" s="9">
        <v>95833.333410000007</v>
      </c>
      <c r="N38" s="9">
        <v>95555.555630000003</v>
      </c>
      <c r="O38" s="9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6"/>
  <sheetViews>
    <sheetView workbookViewId="0">
      <pane xSplit="4" ySplit="1" topLeftCell="M2" activePane="bottomRight" state="frozen"/>
      <selection pane="topRight" activeCell="F1" sqref="F1"/>
      <selection pane="bottomLeft" activeCell="A2" sqref="A2"/>
      <selection pane="bottomRight" activeCell="Q29" sqref="Q29"/>
    </sheetView>
  </sheetViews>
  <sheetFormatPr defaultColWidth="8.88671875" defaultRowHeight="14.4" x14ac:dyDescent="0.3"/>
  <cols>
    <col min="1" max="2" width="8.88671875" style="9"/>
    <col min="3" max="3" width="19" style="9" customWidth="1"/>
    <col min="4" max="4" width="6.44140625" style="9" customWidth="1"/>
    <col min="5" max="14" width="9.109375" style="9" customWidth="1"/>
    <col min="15" max="15" width="13.33203125" style="9" customWidth="1"/>
    <col min="16" max="19" width="8.88671875" style="9"/>
    <col min="20" max="20" width="10.88671875" style="9" customWidth="1"/>
    <col min="21" max="22" width="8.88671875" style="9"/>
    <col min="23" max="26" width="8.88671875" style="9" customWidth="1"/>
    <col min="27" max="31" width="8.88671875" style="9"/>
    <col min="32" max="32" width="8.88671875" style="9" customWidth="1"/>
    <col min="33" max="16384" width="8.88671875" style="9"/>
  </cols>
  <sheetData>
    <row r="1" spans="1:33" x14ac:dyDescent="0.3">
      <c r="A1" s="9" t="s">
        <v>68</v>
      </c>
      <c r="B1" s="9" t="s">
        <v>69</v>
      </c>
      <c r="C1" s="9" t="s">
        <v>70</v>
      </c>
      <c r="D1" s="9" t="s">
        <v>71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2025</v>
      </c>
      <c r="AC1" s="1">
        <v>2030</v>
      </c>
    </row>
    <row r="2" spans="1:33" x14ac:dyDescent="0.3">
      <c r="A2" s="9" t="s">
        <v>14</v>
      </c>
      <c r="B2" s="9" t="s">
        <v>286</v>
      </c>
      <c r="C2" s="17" t="s">
        <v>60</v>
      </c>
      <c r="E2" s="2"/>
      <c r="F2" s="2"/>
      <c r="G2" s="2"/>
      <c r="H2" s="2"/>
      <c r="I2" s="2"/>
      <c r="J2" s="2"/>
      <c r="K2" s="2"/>
      <c r="L2" s="2"/>
      <c r="M2" s="2"/>
      <c r="N2" s="1"/>
      <c r="O2" s="46">
        <f>HLOOKUP(O$1,  HDD!$B$4:$AP$33,   MATCH($A$2, HDD!$A$4:$A$33,0), FALSE)</f>
        <v>3923.03</v>
      </c>
      <c r="P2" s="46">
        <f>HLOOKUP(P$1,  HDD!$B$4:$AP$33,   MATCH($A$2, HDD!$A$4:$A$33,0), FALSE)</f>
        <v>3315.94</v>
      </c>
      <c r="Q2" s="46">
        <f>HLOOKUP(Q$1,  HDD!$B$4:$AP$33,   MATCH($A$2, HDD!$A$4:$A$33,0), FALSE)</f>
        <v>3551.16</v>
      </c>
      <c r="R2" s="46">
        <f>HLOOKUP(R$1,  HDD!$B$4:$AP$33,   MATCH($A$2, HDD!$A$4:$A$33,0), FALSE)</f>
        <v>3502.91</v>
      </c>
      <c r="S2" s="46">
        <f>HLOOKUP(S$1,  HDD!$B$4:$AP$33,   MATCH($A$2, HDD!$A$4:$A$33,0), FALSE)</f>
        <v>3094.64</v>
      </c>
      <c r="T2" s="46">
        <f>HLOOKUP(T$1,  HDD!$B$4:$AP$33,   MATCH($A$2, HDD!$A$4:$A$33,0), FALSE)</f>
        <v>3112.56</v>
      </c>
      <c r="U2" s="46">
        <f>HLOOKUP(U$1,  HDD!$B$4:$AP$33,   MATCH($A$2, HDD!$A$4:$A$33,0), FALSE)</f>
        <v>3286.01</v>
      </c>
      <c r="V2" s="46">
        <f>HLOOKUP(V$1,  HDD!$B$4:$AP$33,   MATCH($A$2, HDD!$A$4:$A$33,0), FALSE)</f>
        <v>3288.37</v>
      </c>
      <c r="W2" s="46">
        <f>HLOOKUP(W$1,  HDD!$B$4:$AP$33,   MATCH($A$2, HDD!$A$4:$A$33,0), FALSE)</f>
        <v>3123.43</v>
      </c>
      <c r="X2" s="46">
        <f>HLOOKUP(X$1,  HDD!$B$4:$AP$33,   MATCH($A$2, HDD!$A$4:$A$33,0), FALSE)</f>
        <v>2951.82</v>
      </c>
      <c r="Y2" s="46">
        <f>HLOOKUP(Y$1,  HDD!$B$4:$AP$33,   MATCH($A$2, HDD!$A$4:$A$33,0), FALSE)</f>
        <v>3006.1</v>
      </c>
      <c r="Z2" s="47"/>
      <c r="AA2" s="47"/>
      <c r="AB2" s="46">
        <f>HLOOKUP(AB$1,  HDD!$B$4:$AP$33,   MATCH($A$2, HDD!$A$4:$A$33,0), FALSE)</f>
        <v>3149.2772689075646</v>
      </c>
      <c r="AC2" s="46">
        <f>HLOOKUP(AC$1,  HDD!$B$4:$AP$33,   MATCH($A$2, HDD!$A$4:$A$33,0), FALSE)</f>
        <v>3079.0226050420169</v>
      </c>
    </row>
    <row r="3" spans="1:33" x14ac:dyDescent="0.3">
      <c r="A3" s="9" t="s">
        <v>14</v>
      </c>
      <c r="B3" s="9" t="s">
        <v>286</v>
      </c>
      <c r="C3" s="17" t="s">
        <v>61</v>
      </c>
      <c r="D3" s="17" t="s">
        <v>62</v>
      </c>
      <c r="E3" s="2"/>
      <c r="F3" s="2"/>
      <c r="G3" s="2"/>
      <c r="H3" s="2"/>
      <c r="I3" s="2"/>
      <c r="J3" s="2"/>
      <c r="K3" s="2"/>
      <c r="L3" s="2"/>
      <c r="M3" s="19"/>
      <c r="N3" s="21"/>
      <c r="O3" s="34">
        <f>HLOOKUP(O$1, Pop!$B$8:$M$62, MATCH($A$3, Pop!$A$8:$A$62,0), FALSE)/1000000</f>
        <v>38.022869</v>
      </c>
      <c r="P3" s="34">
        <f>HLOOKUP(P$1, Pop!$B$8:$P$62, MATCH($A$3, Pop!$A$8:$A$62,0), FALSE)/1000000</f>
        <v>38.062717999999997</v>
      </c>
      <c r="Q3" s="34">
        <f>HLOOKUP(Q$1, Pop!$B$8:$P$62, MATCH($A$3, Pop!$A$8:$A$62,0), FALSE)/1000000</f>
        <v>38.063791999999999</v>
      </c>
      <c r="R3" s="34">
        <f>HLOOKUP(R$1, Pop!$B$8:$P$62, MATCH($A$3, Pop!$A$8:$A$62,0), FALSE)/1000000</f>
        <v>38.062534999999997</v>
      </c>
      <c r="S3" s="34">
        <f>HLOOKUP(S$1, Pop!$B$8:$P$62, MATCH($A$3, Pop!$A$8:$A$62,0), FALSE)/1000000</f>
        <v>38.017856000000002</v>
      </c>
      <c r="T3" s="34">
        <f>HLOOKUP(T$1, Pop!$B$8:$P$62, MATCH($A$3, Pop!$A$8:$A$62,0), FALSE)/1000000</f>
        <v>38.005614000000001</v>
      </c>
      <c r="U3" s="34">
        <f>HLOOKUP(U$1, Pop!$B$8:$P$62, MATCH($A$3, Pop!$A$8:$A$62,0), FALSE)/1000000</f>
        <v>37.967208999999997</v>
      </c>
      <c r="V3" s="34">
        <f>HLOOKUP(V$1, Pop!$B$8:$P$62, MATCH($A$3, Pop!$A$8:$A$62,0), FALSE)/1000000</f>
        <v>37.972963999999997</v>
      </c>
      <c r="W3" s="34">
        <f>HLOOKUP(W$1, Pop!$B$8:$P$62, MATCH($A$3, Pop!$A$8:$A$62,0), FALSE)/1000000</f>
        <v>37.976686999999998</v>
      </c>
      <c r="X3" s="34">
        <f>HLOOKUP(X$1, Pop!$B$8:$P$62, MATCH($A$3, Pop!$A$8:$A$62,0), FALSE)/1000000</f>
        <v>37.972811999999998</v>
      </c>
      <c r="Y3" s="34">
        <f>HLOOKUP(Y$1, Pop!$B$8:$P$62, MATCH($A$3, Pop!$A$8:$A$62,0), FALSE)/1000000</f>
        <v>37.958137999999998</v>
      </c>
      <c r="Z3" s="34">
        <f>HLOOKUP(Z$1, Pop!$B$8:$M$62, MATCH($A$3, Pop!$A$8:$A$62,0), FALSE)/1000000</f>
        <v>37.840001000000001</v>
      </c>
      <c r="AA3" s="48"/>
      <c r="AB3" s="34">
        <f>HLOOKUP(AB$1, Pop!$B$8:$P$62, MATCH($A$3, Pop!$A$8:$A$62,0), FALSE)/1000000</f>
        <v>37.567247999999999</v>
      </c>
      <c r="AC3" s="34">
        <f>HLOOKUP(AC$1, Pop!$B$8:$P$62, MATCH($A$3, Pop!$A$8:$A$62,0), FALSE)/1000000</f>
        <v>37.018453000000001</v>
      </c>
    </row>
    <row r="4" spans="1:33" x14ac:dyDescent="0.3">
      <c r="A4" s="9" t="s">
        <v>14</v>
      </c>
      <c r="B4" s="9" t="s">
        <v>286</v>
      </c>
      <c r="C4" s="17" t="s">
        <v>163</v>
      </c>
      <c r="D4" s="17" t="s">
        <v>64</v>
      </c>
      <c r="E4" s="54">
        <f>E14*1000/3600</f>
        <v>0</v>
      </c>
      <c r="F4" s="54">
        <f t="shared" ref="F4:X4" si="0">F14*1000/3600</f>
        <v>0</v>
      </c>
      <c r="G4" s="54">
        <f t="shared" si="0"/>
        <v>0</v>
      </c>
      <c r="H4" s="54">
        <f t="shared" si="0"/>
        <v>0</v>
      </c>
      <c r="I4" s="54">
        <f t="shared" si="0"/>
        <v>0</v>
      </c>
      <c r="J4" s="54">
        <f t="shared" si="0"/>
        <v>0</v>
      </c>
      <c r="K4" s="54">
        <f t="shared" si="0"/>
        <v>0</v>
      </c>
      <c r="L4" s="54">
        <f t="shared" si="0"/>
        <v>0</v>
      </c>
      <c r="M4" s="54">
        <f t="shared" si="0"/>
        <v>118055.55555555556</v>
      </c>
      <c r="N4" s="54">
        <f t="shared" si="0"/>
        <v>117500</v>
      </c>
      <c r="O4" s="54">
        <f t="shared" si="0"/>
        <v>128472.22222222222</v>
      </c>
      <c r="P4" s="54">
        <f t="shared" si="0"/>
        <v>117027.77777777778</v>
      </c>
      <c r="Q4" s="54">
        <f t="shared" si="0"/>
        <v>119833.33333333333</v>
      </c>
      <c r="R4" s="54">
        <f t="shared" si="0"/>
        <v>119027.77777777778</v>
      </c>
      <c r="S4" s="54">
        <f t="shared" si="0"/>
        <v>109222.22222222222</v>
      </c>
      <c r="T4" s="54">
        <f t="shared" si="0"/>
        <v>109472.22222222222</v>
      </c>
      <c r="U4" s="54">
        <f t="shared" si="0"/>
        <v>115805.55555555556</v>
      </c>
      <c r="V4" s="54">
        <f t="shared" si="0"/>
        <v>119916.66666666667</v>
      </c>
      <c r="W4" s="54">
        <f t="shared" si="0"/>
        <v>114333.33333333333</v>
      </c>
      <c r="X4" s="54">
        <f t="shared" si="0"/>
        <v>111194.44444444444</v>
      </c>
      <c r="Y4" s="54">
        <f>Y14*1000/3600</f>
        <v>109388.88888888889</v>
      </c>
      <c r="Z4" s="50"/>
      <c r="AA4" s="50"/>
      <c r="AB4" s="50"/>
      <c r="AC4" s="50"/>
    </row>
    <row r="5" spans="1:33" x14ac:dyDescent="0.3">
      <c r="A5" s="9" t="s">
        <v>14</v>
      </c>
      <c r="B5" s="9" t="s">
        <v>286</v>
      </c>
      <c r="C5" s="17" t="s">
        <v>76</v>
      </c>
      <c r="D5" s="17" t="s">
        <v>64</v>
      </c>
      <c r="E5" s="2"/>
      <c r="F5" s="2"/>
      <c r="G5" s="2"/>
      <c r="H5" s="2"/>
      <c r="I5" s="2"/>
      <c r="J5" s="2"/>
      <c r="K5" s="2"/>
      <c r="L5" s="2"/>
      <c r="M5" s="2"/>
      <c r="N5" s="1"/>
      <c r="O5" s="49">
        <f>TREND($T5:$X5,$T1:$X1,O1)</f>
        <v>20581.032281457796</v>
      </c>
      <c r="P5" s="49">
        <f t="shared" ref="P5:S5" si="1">TREND($T5:$X5,$T1:$X1,P1)</f>
        <v>20824.717894116475</v>
      </c>
      <c r="Q5" s="49">
        <f t="shared" si="1"/>
        <v>21068.403506775154</v>
      </c>
      <c r="R5" s="49">
        <f t="shared" si="1"/>
        <v>21312.089119433833</v>
      </c>
      <c r="S5" s="49">
        <f t="shared" si="1"/>
        <v>21555.774732092512</v>
      </c>
      <c r="T5" s="49">
        <f>T23/$X$23*$X$5</f>
        <v>21398.16992135339</v>
      </c>
      <c r="U5" s="49">
        <f t="shared" ref="U5" si="2">U23/$X$23*$X$5</f>
        <v>22170.028824983561</v>
      </c>
      <c r="V5" s="49">
        <f>V23/$X$23*$X$5</f>
        <v>22762.918231100182</v>
      </c>
      <c r="W5" s="49">
        <f>W23/$X$23*$X$5</f>
        <v>22802.856951534086</v>
      </c>
      <c r="X5" s="49">
        <f>$Z$27*X4</f>
        <v>22300.183921371525</v>
      </c>
      <c r="Y5" s="49">
        <f>TREND($T$5:$X$5,$T$1:$X$1,Y$1)</f>
        <v>23017.888408044586</v>
      </c>
      <c r="Z5" s="50"/>
      <c r="AA5" s="50"/>
      <c r="AB5" s="49">
        <f>$AF$10*AB$8</f>
        <v>20026.156132579148</v>
      </c>
      <c r="AC5" s="49"/>
      <c r="AE5" s="9" t="s">
        <v>82</v>
      </c>
      <c r="AF5" s="9" t="s">
        <v>83</v>
      </c>
      <c r="AG5" s="9" t="s">
        <v>81</v>
      </c>
    </row>
    <row r="6" spans="1:33" x14ac:dyDescent="0.3">
      <c r="A6" s="9" t="s">
        <v>14</v>
      </c>
      <c r="B6" s="9" t="s">
        <v>286</v>
      </c>
      <c r="C6" s="17" t="s">
        <v>74</v>
      </c>
      <c r="D6" s="17" t="s">
        <v>64</v>
      </c>
      <c r="E6" s="2"/>
      <c r="F6" s="2"/>
      <c r="G6" s="2"/>
      <c r="H6" s="2"/>
      <c r="I6" s="2"/>
      <c r="J6" s="2"/>
      <c r="K6" s="2"/>
      <c r="L6" s="2"/>
      <c r="M6" s="2"/>
      <c r="N6" s="1"/>
      <c r="O6" s="49">
        <f t="shared" ref="O6:Y6" si="3">O4-O5</f>
        <v>107891.18994076442</v>
      </c>
      <c r="P6" s="49">
        <f t="shared" si="3"/>
        <v>96203.059883661306</v>
      </c>
      <c r="Q6" s="49">
        <f t="shared" si="3"/>
        <v>98764.929826558175</v>
      </c>
      <c r="R6" s="49">
        <f t="shared" si="3"/>
        <v>97715.688658343948</v>
      </c>
      <c r="S6" s="49">
        <f t="shared" si="3"/>
        <v>87666.447490129707</v>
      </c>
      <c r="T6" s="49">
        <f t="shared" si="3"/>
        <v>88074.052300868832</v>
      </c>
      <c r="U6" s="49">
        <f t="shared" si="3"/>
        <v>93635.526730572004</v>
      </c>
      <c r="V6" s="49">
        <f t="shared" si="3"/>
        <v>97153.748435566493</v>
      </c>
      <c r="W6" s="49">
        <f t="shared" si="3"/>
        <v>91530.476381799235</v>
      </c>
      <c r="X6" s="49">
        <f t="shared" si="3"/>
        <v>88894.26052307291</v>
      </c>
      <c r="Y6" s="49">
        <f t="shared" si="3"/>
        <v>86371.000480844305</v>
      </c>
      <c r="Z6" s="50"/>
      <c r="AA6" s="50"/>
      <c r="AB6" s="50"/>
      <c r="AC6" s="50"/>
      <c r="AE6" s="33">
        <f t="array" ref="AE6:AG6">LINEST(O6:Y6,O2:Y3)</f>
        <v>-14089.902147780442</v>
      </c>
      <c r="AF6" s="33">
        <v>22.817831569140818</v>
      </c>
      <c r="AG6" s="33">
        <v>554513.71273316175</v>
      </c>
    </row>
    <row r="7" spans="1:33" x14ac:dyDescent="0.3">
      <c r="A7" s="9" t="s">
        <v>14</v>
      </c>
      <c r="B7" s="9" t="s">
        <v>286</v>
      </c>
      <c r="C7" s="17" t="s">
        <v>206</v>
      </c>
      <c r="D7" s="17" t="s">
        <v>64</v>
      </c>
      <c r="E7" s="2"/>
      <c r="F7" s="2"/>
      <c r="G7" s="2"/>
      <c r="H7" s="2"/>
      <c r="I7" s="2"/>
      <c r="J7" s="2"/>
      <c r="K7" s="2"/>
      <c r="L7" s="2"/>
      <c r="M7" s="2"/>
      <c r="N7" s="1"/>
      <c r="O7" s="47">
        <f>$AF$6*O2+$AE$6*O3+$AG$6</f>
        <v>108290.24692597392</v>
      </c>
      <c r="P7" s="47">
        <f>$AF$6*P2+$AE$6*P3+$AG$6</f>
        <v>93876.301047977293</v>
      </c>
      <c r="Q7" s="47">
        <f t="shared" ref="Q7:Y7" si="4">$AF$6*Q2+$AE$6*Q3+$AG$6</f>
        <v>99228.378834763833</v>
      </c>
      <c r="R7" s="47">
        <f t="shared" si="4"/>
        <v>98145.129468552652</v>
      </c>
      <c r="S7" s="47">
        <f t="shared" si="4"/>
        <v>89458.816111880064</v>
      </c>
      <c r="T7" s="47">
        <f t="shared" si="4"/>
        <v>90040.200235692202</v>
      </c>
      <c r="U7" s="47">
        <f t="shared" si="4"/>
        <v>94539.075813345262</v>
      </c>
      <c r="V7" s="47">
        <f t="shared" si="4"/>
        <v>94511.838508987916</v>
      </c>
      <c r="W7" s="47">
        <f t="shared" si="4"/>
        <v>90695.808664277662</v>
      </c>
      <c r="X7" s="47">
        <f t="shared" si="4"/>
        <v>86834.638959520147</v>
      </c>
      <c r="Y7" s="47">
        <f t="shared" si="4"/>
        <v>88279.946081209579</v>
      </c>
      <c r="Z7" s="50"/>
      <c r="AA7" s="50"/>
      <c r="AB7" s="47">
        <f>AF6*AB2+AE6*AB3+AG6</f>
        <v>97054.54273821786</v>
      </c>
      <c r="AC7" s="47">
        <f>AF6*AC2+AE6*AC3+AG6</f>
        <v>103183.95150037832</v>
      </c>
    </row>
    <row r="8" spans="1:33" x14ac:dyDescent="0.3">
      <c r="A8" s="9" t="s">
        <v>14</v>
      </c>
      <c r="B8" s="9" t="s">
        <v>286</v>
      </c>
      <c r="C8" s="17" t="s">
        <v>85</v>
      </c>
      <c r="D8" s="17" t="s">
        <v>64</v>
      </c>
      <c r="E8" s="2"/>
      <c r="F8" s="2"/>
      <c r="G8" s="2"/>
      <c r="H8" s="2"/>
      <c r="I8" s="2"/>
      <c r="J8" s="2"/>
      <c r="K8" s="2"/>
      <c r="L8" s="2"/>
      <c r="M8" s="2"/>
      <c r="N8" s="1"/>
      <c r="O8" s="49">
        <f t="shared" ref="O8:Y8" si="5">O5+O7</f>
        <v>128871.27920743171</v>
      </c>
      <c r="P8" s="49">
        <f t="shared" si="5"/>
        <v>114701.01894209377</v>
      </c>
      <c r="Q8" s="49">
        <f t="shared" si="5"/>
        <v>120296.78234153899</v>
      </c>
      <c r="R8" s="49">
        <f t="shared" si="5"/>
        <v>119457.21858798648</v>
      </c>
      <c r="S8" s="49">
        <f t="shared" si="5"/>
        <v>111014.59084397258</v>
      </c>
      <c r="T8" s="49">
        <f t="shared" si="5"/>
        <v>111438.37015704559</v>
      </c>
      <c r="U8" s="49">
        <f t="shared" si="5"/>
        <v>116709.10463832882</v>
      </c>
      <c r="V8" s="49">
        <f t="shared" si="5"/>
        <v>117274.75674008809</v>
      </c>
      <c r="W8" s="49">
        <f t="shared" si="5"/>
        <v>113498.66561581174</v>
      </c>
      <c r="X8" s="49">
        <f t="shared" si="5"/>
        <v>109134.82288089168</v>
      </c>
      <c r="Y8" s="49">
        <f t="shared" si="5"/>
        <v>111297.83448925416</v>
      </c>
      <c r="Z8" s="49"/>
      <c r="AA8" s="49"/>
      <c r="AB8" s="49">
        <f>TREND($Q$8:$Y$8,$Q$1:$Y$1,AB$1)</f>
        <v>106034.24989443528</v>
      </c>
      <c r="AC8" s="49">
        <f>TREND($Q$8:$Y$8,$Q$1:$Y$1,AC$1)</f>
        <v>101354.37969412678</v>
      </c>
    </row>
    <row r="9" spans="1:33" x14ac:dyDescent="0.3">
      <c r="A9" s="9" t="s">
        <v>14</v>
      </c>
      <c r="B9" s="9" t="s">
        <v>286</v>
      </c>
      <c r="C9" s="17" t="s">
        <v>164</v>
      </c>
      <c r="D9" s="17"/>
      <c r="E9" s="2"/>
      <c r="F9" s="2"/>
      <c r="G9" s="2"/>
      <c r="H9" s="2"/>
      <c r="I9" s="2"/>
      <c r="J9" s="2"/>
      <c r="K9" s="2"/>
      <c r="L9" s="2"/>
      <c r="M9" s="2"/>
      <c r="N9" s="1"/>
      <c r="O9" s="51">
        <f t="shared" ref="O9:Y9" si="6">O8/O4</f>
        <v>1.0031061732902793</v>
      </c>
      <c r="P9" s="51">
        <f t="shared" si="6"/>
        <v>0.98011789269294458</v>
      </c>
      <c r="Q9" s="51">
        <f t="shared" si="6"/>
        <v>1.0038674465218831</v>
      </c>
      <c r="R9" s="51">
        <f t="shared" si="6"/>
        <v>1.003607904123107</v>
      </c>
      <c r="S9" s="51">
        <f t="shared" si="6"/>
        <v>1.0164102925694336</v>
      </c>
      <c r="T9" s="51">
        <f t="shared" si="6"/>
        <v>1.0179602450275669</v>
      </c>
      <c r="U9" s="51">
        <f t="shared" si="6"/>
        <v>1.0078022947900784</v>
      </c>
      <c r="V9" s="51">
        <f t="shared" si="6"/>
        <v>0.97796878448996327</v>
      </c>
      <c r="W9" s="51">
        <f t="shared" si="6"/>
        <v>0.99269969926365953</v>
      </c>
      <c r="X9" s="51">
        <f t="shared" si="6"/>
        <v>0.98147729795455918</v>
      </c>
      <c r="Y9" s="51">
        <f t="shared" si="6"/>
        <v>1.0174510009175088</v>
      </c>
      <c r="Z9" s="50"/>
      <c r="AA9" s="50"/>
      <c r="AB9" s="51"/>
      <c r="AC9" s="47"/>
    </row>
    <row r="10" spans="1:33" x14ac:dyDescent="0.3">
      <c r="A10" s="9" t="s">
        <v>14</v>
      </c>
      <c r="B10" s="9" t="s">
        <v>286</v>
      </c>
      <c r="C10" s="17" t="s">
        <v>207</v>
      </c>
      <c r="D10" s="17"/>
      <c r="E10" s="2"/>
      <c r="F10" s="2"/>
      <c r="G10" s="2"/>
      <c r="H10" s="2"/>
      <c r="I10" s="2"/>
      <c r="J10" s="2"/>
      <c r="K10" s="2"/>
      <c r="L10" s="2"/>
      <c r="M10" s="2"/>
      <c r="N10" s="1"/>
      <c r="O10" s="52">
        <f>O5/O4</f>
        <v>0.16019830532594176</v>
      </c>
      <c r="P10" s="52">
        <f>P5/P4</f>
        <v>0.17794679425307217</v>
      </c>
      <c r="Q10" s="52">
        <f>Q5/Q4</f>
        <v>0.17581421563372868</v>
      </c>
      <c r="R10" s="52">
        <f t="shared" ref="R10:Y10" si="7">R5/R4</f>
        <v>0.17905139050166113</v>
      </c>
      <c r="S10" s="52">
        <f t="shared" si="7"/>
        <v>0.1973570423080698</v>
      </c>
      <c r="T10" s="52">
        <f t="shared" si="7"/>
        <v>0.19546666256501449</v>
      </c>
      <c r="U10" s="52">
        <f t="shared" si="7"/>
        <v>0.1914418416165527</v>
      </c>
      <c r="V10" s="52">
        <f t="shared" si="7"/>
        <v>0.18982280665267698</v>
      </c>
      <c r="W10" s="52">
        <f t="shared" si="7"/>
        <v>0.19944189753528355</v>
      </c>
      <c r="X10" s="52">
        <f t="shared" si="7"/>
        <v>0.20055124186094803</v>
      </c>
      <c r="Y10" s="52">
        <f t="shared" si="7"/>
        <v>0.21042254512178901</v>
      </c>
      <c r="Z10" s="50"/>
      <c r="AA10" s="50"/>
      <c r="AB10" s="47"/>
      <c r="AC10" s="47"/>
      <c r="AE10" s="9" t="s">
        <v>173</v>
      </c>
      <c r="AF10" s="8">
        <f>AVERAGE(O10:Y10)</f>
        <v>0.18886497667043078</v>
      </c>
    </row>
    <row r="11" spans="1:33" x14ac:dyDescent="0.3">
      <c r="C11" s="17"/>
      <c r="D11" s="17"/>
      <c r="E11" s="2"/>
      <c r="F11" s="2"/>
      <c r="G11" s="2"/>
      <c r="H11" s="2"/>
      <c r="I11" s="2"/>
      <c r="J11" s="2"/>
      <c r="K11" s="2"/>
      <c r="L11" s="2"/>
      <c r="M11" s="2"/>
      <c r="N11" s="1"/>
      <c r="O11" s="49"/>
      <c r="P11" s="49"/>
      <c r="Q11" s="52"/>
      <c r="R11" s="52"/>
      <c r="S11" s="52"/>
      <c r="T11" s="52"/>
      <c r="U11" s="52"/>
      <c r="V11" s="52"/>
      <c r="W11" s="52"/>
      <c r="X11" s="52"/>
      <c r="Y11" s="52"/>
      <c r="Z11" s="50"/>
      <c r="AA11" s="50"/>
      <c r="AB11" s="47"/>
      <c r="AC11" s="47"/>
      <c r="AF11" s="8"/>
    </row>
    <row r="12" spans="1:33" x14ac:dyDescent="0.3">
      <c r="C12" s="17"/>
      <c r="D12" s="10"/>
      <c r="J12" s="85"/>
      <c r="K12" s="85"/>
      <c r="L12" s="85"/>
      <c r="M12" s="85"/>
      <c r="N12" s="85"/>
      <c r="O12" s="85"/>
      <c r="P12" s="85"/>
      <c r="Q12" s="8"/>
      <c r="R12" s="8"/>
      <c r="S12" s="8"/>
      <c r="T12" s="8"/>
      <c r="U12" s="8"/>
      <c r="V12" s="8"/>
      <c r="W12" s="8"/>
      <c r="X12" s="8"/>
      <c r="Y12" s="10"/>
      <c r="AB12" s="10"/>
      <c r="AC12" s="10"/>
    </row>
    <row r="13" spans="1:33" x14ac:dyDescent="0.3">
      <c r="C13" s="40" t="s">
        <v>288</v>
      </c>
      <c r="D13" s="10"/>
      <c r="O13" s="47"/>
      <c r="P13" s="47"/>
      <c r="Q13" s="10"/>
      <c r="R13" s="10"/>
      <c r="S13" s="10"/>
      <c r="T13" s="10"/>
      <c r="U13" s="10"/>
      <c r="V13" s="10"/>
      <c r="W13" s="10"/>
      <c r="X13" s="10"/>
      <c r="Y13" s="10"/>
      <c r="AB13" s="10"/>
      <c r="AC13" s="10"/>
    </row>
    <row r="14" spans="1:33" x14ac:dyDescent="0.3">
      <c r="C14" s="17"/>
      <c r="D14" s="10"/>
      <c r="M14" s="9">
        <v>425000</v>
      </c>
      <c r="N14" s="9">
        <v>423000</v>
      </c>
      <c r="O14" s="47">
        <v>462500</v>
      </c>
      <c r="P14" s="47">
        <v>421300</v>
      </c>
      <c r="Q14" s="10">
        <v>431400</v>
      </c>
      <c r="R14" s="10">
        <v>428500</v>
      </c>
      <c r="S14" s="10">
        <v>393200</v>
      </c>
      <c r="T14" s="10">
        <v>394100</v>
      </c>
      <c r="U14" s="10">
        <v>416900</v>
      </c>
      <c r="V14" s="10">
        <v>431700</v>
      </c>
      <c r="W14" s="10">
        <v>411600</v>
      </c>
      <c r="X14" s="10">
        <v>400300</v>
      </c>
      <c r="Y14" s="10">
        <v>393800</v>
      </c>
      <c r="AB14" s="10"/>
      <c r="AC14" s="10"/>
    </row>
    <row r="15" spans="1:33" x14ac:dyDescent="0.3">
      <c r="C15" s="17"/>
      <c r="D15" s="10"/>
      <c r="O15" s="47"/>
      <c r="P15" s="47"/>
      <c r="Q15" s="10"/>
      <c r="R15" s="10"/>
      <c r="S15" s="10"/>
      <c r="T15" s="10"/>
      <c r="U15" s="10"/>
      <c r="V15" s="10"/>
      <c r="W15" s="10"/>
      <c r="X15" s="10"/>
      <c r="Y15" s="10"/>
      <c r="AB15" s="10"/>
      <c r="AC15" s="10"/>
    </row>
    <row r="16" spans="1:33" x14ac:dyDescent="0.3">
      <c r="C16" s="17"/>
      <c r="D16" s="10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AB16" s="10"/>
      <c r="AC16" s="10"/>
    </row>
    <row r="18" spans="3:26" x14ac:dyDescent="0.3">
      <c r="C18" s="9" t="s">
        <v>176</v>
      </c>
    </row>
    <row r="19" spans="3:26" x14ac:dyDescent="0.3">
      <c r="C19" s="22" t="s">
        <v>72</v>
      </c>
      <c r="O19" s="23" t="s">
        <v>16</v>
      </c>
      <c r="P19" s="23" t="s">
        <v>17</v>
      </c>
      <c r="Q19" s="23" t="s">
        <v>18</v>
      </c>
      <c r="R19" s="23" t="s">
        <v>19</v>
      </c>
      <c r="S19" s="23" t="s">
        <v>20</v>
      </c>
      <c r="T19" s="23" t="s">
        <v>21</v>
      </c>
      <c r="U19" s="23" t="s">
        <v>22</v>
      </c>
      <c r="V19" s="23" t="s">
        <v>23</v>
      </c>
      <c r="W19" s="23" t="s">
        <v>24</v>
      </c>
      <c r="X19" s="23" t="s">
        <v>25</v>
      </c>
    </row>
    <row r="20" spans="3:26" x14ac:dyDescent="0.3">
      <c r="C20" s="24" t="s">
        <v>73</v>
      </c>
      <c r="O20" s="82" t="s">
        <v>51</v>
      </c>
      <c r="P20" s="82" t="s">
        <v>51</v>
      </c>
      <c r="Q20" s="82" t="s">
        <v>51</v>
      </c>
      <c r="R20" s="82" t="s">
        <v>51</v>
      </c>
      <c r="S20" s="82" t="s">
        <v>51</v>
      </c>
      <c r="T20" s="83" t="s">
        <v>287</v>
      </c>
      <c r="U20" s="83">
        <v>833739.29</v>
      </c>
      <c r="V20" s="84">
        <v>837193.47</v>
      </c>
      <c r="W20" s="83">
        <v>824549.5</v>
      </c>
      <c r="X20" s="83">
        <v>771528.96</v>
      </c>
    </row>
    <row r="21" spans="3:26" x14ac:dyDescent="0.3">
      <c r="C21" s="24" t="s">
        <v>74</v>
      </c>
      <c r="O21" s="82" t="s">
        <v>51</v>
      </c>
      <c r="P21" s="82" t="s">
        <v>51</v>
      </c>
      <c r="Q21" s="82" t="s">
        <v>51</v>
      </c>
      <c r="R21" s="82" t="s">
        <v>51</v>
      </c>
      <c r="S21" s="82" t="s">
        <v>51</v>
      </c>
      <c r="T21" s="83">
        <v>522381.59299999999</v>
      </c>
      <c r="U21" s="83">
        <v>553789.34</v>
      </c>
      <c r="V21" s="83">
        <v>553012.91299999994</v>
      </c>
      <c r="W21" s="84">
        <v>539061.44799999997</v>
      </c>
      <c r="X21" s="83">
        <v>487413.31599999999</v>
      </c>
    </row>
    <row r="22" spans="3:26" x14ac:dyDescent="0.3">
      <c r="C22" s="24" t="s">
        <v>75</v>
      </c>
      <c r="O22" s="25" t="s">
        <v>51</v>
      </c>
      <c r="P22" s="25" t="s">
        <v>51</v>
      </c>
      <c r="Q22" s="25" t="s">
        <v>51</v>
      </c>
      <c r="R22" s="25" t="s">
        <v>51</v>
      </c>
      <c r="S22" s="25" t="s">
        <v>51</v>
      </c>
      <c r="T22" s="25" t="s">
        <v>51</v>
      </c>
      <c r="U22" s="25" t="s">
        <v>51</v>
      </c>
      <c r="V22" s="25" t="s">
        <v>51</v>
      </c>
      <c r="W22" s="25" t="s">
        <v>51</v>
      </c>
      <c r="X22" s="25" t="s">
        <v>51</v>
      </c>
    </row>
    <row r="23" spans="3:26" x14ac:dyDescent="0.3">
      <c r="C23" s="24" t="s">
        <v>76</v>
      </c>
      <c r="O23" s="82" t="s">
        <v>51</v>
      </c>
      <c r="P23" s="82" t="s">
        <v>51</v>
      </c>
      <c r="Q23" s="82" t="s">
        <v>51</v>
      </c>
      <c r="R23" s="82" t="s">
        <v>51</v>
      </c>
      <c r="S23" s="82" t="s">
        <v>51</v>
      </c>
      <c r="T23" s="83">
        <v>127737.88</v>
      </c>
      <c r="U23" s="84">
        <v>132345.546</v>
      </c>
      <c r="V23" s="83">
        <v>135884.84099999999</v>
      </c>
      <c r="W23" s="83">
        <v>136123.258</v>
      </c>
      <c r="X23" s="83">
        <v>133122.516</v>
      </c>
    </row>
    <row r="24" spans="3:26" x14ac:dyDescent="0.3">
      <c r="C24" s="24" t="s">
        <v>77</v>
      </c>
      <c r="O24" s="25" t="s">
        <v>51</v>
      </c>
      <c r="P24" s="25" t="s">
        <v>51</v>
      </c>
      <c r="Q24" s="25" t="s">
        <v>51</v>
      </c>
      <c r="R24" s="25" t="s">
        <v>51</v>
      </c>
      <c r="S24" s="25" t="s">
        <v>51</v>
      </c>
      <c r="T24" s="26"/>
      <c r="U24" s="27"/>
      <c r="V24" s="26"/>
      <c r="W24" s="27"/>
      <c r="X24" s="27"/>
    </row>
    <row r="26" spans="3:26" x14ac:dyDescent="0.3">
      <c r="Z26" s="9" t="s">
        <v>78</v>
      </c>
    </row>
    <row r="27" spans="3:26" x14ac:dyDescent="0.3">
      <c r="C27" s="9" t="s">
        <v>167</v>
      </c>
      <c r="O27" s="8"/>
      <c r="P27" s="8"/>
      <c r="Q27" s="8"/>
      <c r="R27" s="8"/>
      <c r="S27" s="8"/>
      <c r="T27" s="8">
        <f>T23/(T21+T23)</f>
        <v>0.19648370077356536</v>
      </c>
      <c r="U27" s="8">
        <f t="shared" ref="U27:X27" si="8">U23/(U21+U23)</f>
        <v>0.19288560995862264</v>
      </c>
      <c r="V27" s="8">
        <f t="shared" si="8"/>
        <v>0.1972496501999047</v>
      </c>
      <c r="W27" s="8">
        <f t="shared" si="8"/>
        <v>0.20160891796029515</v>
      </c>
      <c r="X27" s="8">
        <f t="shared" si="8"/>
        <v>0.21452833041235242</v>
      </c>
      <c r="Z27" s="8">
        <f>AVERAGE(O27:X27)</f>
        <v>0.20055124186094803</v>
      </c>
    </row>
    <row r="36" spans="16:23" x14ac:dyDescent="0.3">
      <c r="P36" s="95"/>
      <c r="Q36" s="95"/>
      <c r="R36" s="95"/>
      <c r="S36" s="95"/>
      <c r="T36" s="95"/>
      <c r="W36" s="95"/>
    </row>
  </sheetData>
  <pageMargins left="0.7" right="0.7" top="0.75" bottom="0.75" header="0.3" footer="0.3"/>
  <pageSetup paperSize="9"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6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AA14" sqref="AA14"/>
    </sheetView>
  </sheetViews>
  <sheetFormatPr defaultColWidth="8.88671875" defaultRowHeight="14.4" x14ac:dyDescent="0.3"/>
  <cols>
    <col min="1" max="2" width="8.88671875" style="9"/>
    <col min="3" max="3" width="19" style="9" customWidth="1"/>
    <col min="4" max="4" width="6.44140625" style="9" customWidth="1"/>
    <col min="5" max="14" width="9.109375" style="9" customWidth="1"/>
    <col min="15" max="15" width="13.33203125" style="9" customWidth="1"/>
    <col min="16" max="19" width="8.88671875" style="9"/>
    <col min="20" max="20" width="10.88671875" style="9" customWidth="1"/>
    <col min="21" max="22" width="8.88671875" style="9"/>
    <col min="23" max="26" width="8.88671875" style="9" customWidth="1"/>
    <col min="27" max="31" width="8.88671875" style="9"/>
    <col min="32" max="32" width="8.88671875" style="9" customWidth="1"/>
    <col min="33" max="16384" width="8.88671875" style="9"/>
  </cols>
  <sheetData>
    <row r="1" spans="1:33" x14ac:dyDescent="0.3">
      <c r="A1" s="9" t="s">
        <v>68</v>
      </c>
      <c r="B1" s="9" t="s">
        <v>69</v>
      </c>
      <c r="C1" s="9" t="s">
        <v>70</v>
      </c>
      <c r="D1" s="9" t="s">
        <v>71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2025</v>
      </c>
      <c r="AC1" s="1">
        <v>2030</v>
      </c>
    </row>
    <row r="2" spans="1:33" x14ac:dyDescent="0.3">
      <c r="A2" s="9" t="s">
        <v>262</v>
      </c>
      <c r="B2" s="9" t="s">
        <v>263</v>
      </c>
      <c r="C2" s="17" t="s">
        <v>60</v>
      </c>
      <c r="E2" s="2"/>
      <c r="F2" s="2"/>
      <c r="G2" s="2"/>
      <c r="H2" s="2"/>
      <c r="I2" s="2"/>
      <c r="J2" s="2"/>
      <c r="K2" s="2"/>
      <c r="L2" s="2"/>
      <c r="M2" s="2"/>
      <c r="N2" s="1"/>
      <c r="O2" s="46">
        <f>HLOOKUP(O$1,  HDD!$B$4:$AP$33,   MATCH($A$2, HDD!$A$4:$A$33,0), FALSE)</f>
        <v>3635.4</v>
      </c>
      <c r="P2" s="46">
        <f>HLOOKUP(P$1,  HDD!$B$4:$AP$33,   MATCH($A$2, HDD!$A$4:$A$33,0), FALSE)</f>
        <v>2873.02</v>
      </c>
      <c r="Q2" s="46">
        <f>HLOOKUP(Q$1,  HDD!$B$4:$AP$33,   MATCH($A$2, HDD!$A$4:$A$33,0), FALSE)</f>
        <v>3130.93</v>
      </c>
      <c r="R2" s="46">
        <f>HLOOKUP(R$1,  HDD!$B$4:$AP$33,   MATCH($A$2, HDD!$A$4:$A$33,0), FALSE)</f>
        <v>3289.06</v>
      </c>
      <c r="S2" s="46">
        <f>HLOOKUP(S$1,  HDD!$B$4:$AP$33,   MATCH($A$2, HDD!$A$4:$A$33,0), FALSE)</f>
        <v>2659</v>
      </c>
      <c r="T2" s="46">
        <f>HLOOKUP(T$1,  HDD!$B$4:$AP$33,   MATCH($A$2, HDD!$A$4:$A$33,0), FALSE)</f>
        <v>2908.42</v>
      </c>
      <c r="U2" s="46">
        <f>HLOOKUP(U$1,  HDD!$B$4:$AP$33,   MATCH($A$2, HDD!$A$4:$A$33,0), FALSE)</f>
        <v>3009.02</v>
      </c>
      <c r="V2" s="46">
        <f>HLOOKUP(V$1,  HDD!$B$4:$AP$33,   MATCH($A$2, HDD!$A$4:$A$33,0), FALSE)</f>
        <v>2965.83</v>
      </c>
      <c r="W2" s="46">
        <f>HLOOKUP(W$1,  HDD!$B$4:$AP$33,   MATCH($A$2, HDD!$A$4:$A$33,0), FALSE)</f>
        <v>2774.95</v>
      </c>
      <c r="X2" s="46">
        <f>HLOOKUP(X$1,  HDD!$B$4:$AP$33,   MATCH($A$2, HDD!$A$4:$A$33,0), FALSE)</f>
        <v>2800.81</v>
      </c>
      <c r="Y2" s="46">
        <f>HLOOKUP(Y$1,  HDD!$B$4:$AP$33,   MATCH($A$2, HDD!$A$4:$A$33,0), FALSE)</f>
        <v>2741.03</v>
      </c>
      <c r="Z2" s="47"/>
      <c r="AA2" s="47"/>
      <c r="AB2" s="46">
        <f>HLOOKUP(AB$1,  HDD!$B$4:$AP$33,   MATCH($A$2, HDD!$A$4:$A$33,0), FALSE)</f>
        <v>2860.0933277310905</v>
      </c>
      <c r="AC2" s="46">
        <f>HLOOKUP(AC$1,  HDD!$B$4:$AP$33,   MATCH($A$2, HDD!$A$4:$A$33,0), FALSE)</f>
        <v>2803.1710588235292</v>
      </c>
    </row>
    <row r="3" spans="1:33" x14ac:dyDescent="0.3">
      <c r="A3" s="9" t="s">
        <v>262</v>
      </c>
      <c r="B3" s="9" t="s">
        <v>263</v>
      </c>
      <c r="C3" s="17" t="s">
        <v>61</v>
      </c>
      <c r="D3" s="17" t="s">
        <v>62</v>
      </c>
      <c r="E3" s="2"/>
      <c r="F3" s="2"/>
      <c r="G3" s="2"/>
      <c r="H3" s="2"/>
      <c r="I3" s="2"/>
      <c r="J3" s="2"/>
      <c r="K3" s="2"/>
      <c r="L3" s="2"/>
      <c r="M3" s="19"/>
      <c r="N3" s="21"/>
      <c r="O3" s="34">
        <f>HLOOKUP(O$1, Pop!$B$8:$M$62, MATCH($A$3, Pop!$A$8:$A$62,0), FALSE)/1000000</f>
        <v>81.802256999999997</v>
      </c>
      <c r="P3" s="34">
        <f>HLOOKUP(P$1, Pop!$B$8:$P$62, MATCH($A$3, Pop!$A$8:$A$62,0), FALSE)/1000000</f>
        <v>80.222065000000001</v>
      </c>
      <c r="Q3" s="34">
        <f>HLOOKUP(Q$1, Pop!$B$8:$P$62, MATCH($A$3, Pop!$A$8:$A$62,0), FALSE)/1000000</f>
        <v>80.3279</v>
      </c>
      <c r="R3" s="34">
        <f>HLOOKUP(R$1, Pop!$B$8:$P$62, MATCH($A$3, Pop!$A$8:$A$62,0), FALSE)/1000000</f>
        <v>80.523746000000003</v>
      </c>
      <c r="S3" s="34">
        <f>HLOOKUP(S$1, Pop!$B$8:$P$62, MATCH($A$3, Pop!$A$8:$A$62,0), FALSE)/1000000</f>
        <v>80.767463000000006</v>
      </c>
      <c r="T3" s="34">
        <f>HLOOKUP(T$1, Pop!$B$8:$P$62, MATCH($A$3, Pop!$A$8:$A$62,0), FALSE)/1000000</f>
        <v>81.197536999999997</v>
      </c>
      <c r="U3" s="34">
        <f>HLOOKUP(U$1, Pop!$B$8:$P$62, MATCH($A$3, Pop!$A$8:$A$62,0), FALSE)/1000000</f>
        <v>82.175684000000004</v>
      </c>
      <c r="V3" s="34">
        <f>HLOOKUP(V$1, Pop!$B$8:$P$62, MATCH($A$3, Pop!$A$8:$A$62,0), FALSE)/1000000</f>
        <v>82.521653000000001</v>
      </c>
      <c r="W3" s="34">
        <f>HLOOKUP(W$1, Pop!$B$8:$P$62, MATCH($A$3, Pop!$A$8:$A$62,0), FALSE)/1000000</f>
        <v>82.792350999999996</v>
      </c>
      <c r="X3" s="34">
        <f>HLOOKUP(X$1, Pop!$B$8:$P$62, MATCH($A$3, Pop!$A$8:$A$62,0), FALSE)/1000000</f>
        <v>83.019212999999993</v>
      </c>
      <c r="Y3" s="34">
        <f>HLOOKUP(Y$1, Pop!$B$8:$P$62, MATCH($A$3, Pop!$A$8:$A$62,0), FALSE)/1000000</f>
        <v>83.166711000000006</v>
      </c>
      <c r="Z3" s="34">
        <f>HLOOKUP(Z$1, Pop!$B$8:$M$62, MATCH($A$3, Pop!$A$8:$A$62,0), FALSE)/1000000</f>
        <v>83.155030999999994</v>
      </c>
      <c r="AA3" s="48"/>
      <c r="AB3" s="34">
        <f>HLOOKUP(AB$1, Pop!$B$8:$P$62, MATCH($A$3, Pop!$A$8:$A$62,0), FALSE)/1000000</f>
        <v>83.482307000000006</v>
      </c>
      <c r="AC3" s="34">
        <f>HLOOKUP(AC$1, Pop!$B$8:$P$62, MATCH($A$3, Pop!$A$8:$A$62,0), FALSE)/1000000</f>
        <v>83.453697000000005</v>
      </c>
    </row>
    <row r="4" spans="1:33" x14ac:dyDescent="0.3">
      <c r="A4" s="9" t="s">
        <v>262</v>
      </c>
      <c r="B4" s="9" t="s">
        <v>263</v>
      </c>
      <c r="C4" s="17" t="s">
        <v>163</v>
      </c>
      <c r="D4" s="17" t="s">
        <v>64</v>
      </c>
      <c r="E4" s="54">
        <f>E13*1000/3600</f>
        <v>73536.111111111109</v>
      </c>
      <c r="F4" s="54">
        <f t="shared" ref="F4:X4" si="0">F13*1000/3600</f>
        <v>74344.444444444438</v>
      </c>
      <c r="G4" s="54">
        <f t="shared" si="0"/>
        <v>75116.111111111109</v>
      </c>
      <c r="H4" s="54">
        <f t="shared" si="0"/>
        <v>119028.05555555556</v>
      </c>
      <c r="I4" s="54">
        <f t="shared" si="0"/>
        <v>124666.11111111111</v>
      </c>
      <c r="J4" s="54">
        <f t="shared" si="0"/>
        <v>125088.05555555556</v>
      </c>
      <c r="K4" s="54">
        <f t="shared" si="0"/>
        <v>124891.11111111111</v>
      </c>
      <c r="L4" s="54">
        <f t="shared" si="0"/>
        <v>118690.83333333333</v>
      </c>
      <c r="M4" s="54">
        <f t="shared" si="0"/>
        <v>121097.77777777778</v>
      </c>
      <c r="N4" s="54">
        <f t="shared" si="0"/>
        <v>118784.72222222222</v>
      </c>
      <c r="O4" s="54">
        <f t="shared" si="0"/>
        <v>131084.72222222222</v>
      </c>
      <c r="P4" s="54">
        <f t="shared" si="0"/>
        <v>116719.16666666667</v>
      </c>
      <c r="Q4" s="54">
        <f t="shared" si="0"/>
        <v>119594.44444444444</v>
      </c>
      <c r="R4" s="54">
        <f t="shared" si="0"/>
        <v>120788.33333333333</v>
      </c>
      <c r="S4" s="54">
        <f t="shared" si="0"/>
        <v>106415.55555555556</v>
      </c>
      <c r="T4" s="54">
        <f t="shared" si="0"/>
        <v>111591.38888888889</v>
      </c>
      <c r="U4" s="54">
        <f t="shared" si="0"/>
        <v>113760.83333333333</v>
      </c>
      <c r="V4" s="54">
        <f t="shared" si="0"/>
        <v>114055.83333333333</v>
      </c>
      <c r="W4" s="54">
        <f t="shared" si="0"/>
        <v>109472.5</v>
      </c>
      <c r="X4" s="54">
        <f t="shared" si="0"/>
        <v>112010.27777777778</v>
      </c>
      <c r="Y4" s="54">
        <f>Y13*1000/3600</f>
        <v>104065.27777777778</v>
      </c>
      <c r="Z4" s="50"/>
      <c r="AA4" s="50"/>
      <c r="AB4" s="50"/>
      <c r="AC4" s="50"/>
    </row>
    <row r="5" spans="1:33" x14ac:dyDescent="0.3">
      <c r="A5" s="9" t="s">
        <v>262</v>
      </c>
      <c r="B5" s="9" t="s">
        <v>263</v>
      </c>
      <c r="C5" s="17" t="s">
        <v>76</v>
      </c>
      <c r="D5" s="17"/>
      <c r="E5" s="2"/>
      <c r="F5" s="2"/>
      <c r="G5" s="2"/>
      <c r="H5" s="2"/>
      <c r="I5" s="2"/>
      <c r="J5" s="2"/>
      <c r="K5" s="2"/>
      <c r="L5" s="2"/>
      <c r="M5" s="2"/>
      <c r="N5" s="1"/>
      <c r="O5" s="49">
        <f t="shared" ref="O5:W5" si="1">O22/$X$22*$X$5</f>
        <v>17329.376948296584</v>
      </c>
      <c r="P5" s="49">
        <f t="shared" si="1"/>
        <v>20454.013818608626</v>
      </c>
      <c r="Q5" s="49">
        <f t="shared" si="1"/>
        <v>20196.710555080997</v>
      </c>
      <c r="R5" s="49">
        <f t="shared" si="1"/>
        <v>18754.442073273502</v>
      </c>
      <c r="S5" s="49">
        <f t="shared" si="1"/>
        <v>18292.661414760663</v>
      </c>
      <c r="T5" s="49">
        <f t="shared" si="1"/>
        <v>17900.187843769152</v>
      </c>
      <c r="U5" s="49">
        <f t="shared" si="1"/>
        <v>18444.605343109128</v>
      </c>
      <c r="V5" s="49">
        <f t="shared" si="1"/>
        <v>19456.052713169898</v>
      </c>
      <c r="W5" s="49">
        <f t="shared" si="1"/>
        <v>20336.137083654969</v>
      </c>
      <c r="X5" s="49">
        <f>$Z$26*X4</f>
        <v>20780.732222265884</v>
      </c>
      <c r="Y5" s="49">
        <f>TREND($O$5:$X$5,$O$1:$X$1,Y$1)</f>
        <v>20034.88491326588</v>
      </c>
      <c r="Z5" s="50"/>
      <c r="AA5" s="50"/>
      <c r="AB5" s="49">
        <f>$AF$10*AB$8</f>
        <v>16895.89041764124</v>
      </c>
      <c r="AC5" s="49"/>
      <c r="AE5" s="9" t="s">
        <v>82</v>
      </c>
      <c r="AF5" s="9" t="s">
        <v>83</v>
      </c>
      <c r="AG5" s="9" t="s">
        <v>81</v>
      </c>
    </row>
    <row r="6" spans="1:33" x14ac:dyDescent="0.3">
      <c r="A6" s="9" t="s">
        <v>262</v>
      </c>
      <c r="B6" s="9" t="s">
        <v>263</v>
      </c>
      <c r="C6" s="17" t="s">
        <v>74</v>
      </c>
      <c r="D6" s="17"/>
      <c r="E6" s="2"/>
      <c r="F6" s="2"/>
      <c r="G6" s="2"/>
      <c r="H6" s="2"/>
      <c r="I6" s="2"/>
      <c r="J6" s="2"/>
      <c r="K6" s="2"/>
      <c r="L6" s="2"/>
      <c r="M6" s="2"/>
      <c r="N6" s="1"/>
      <c r="O6" s="49">
        <f t="shared" ref="O6:Y6" si="2">O4-O5</f>
        <v>113755.34527392563</v>
      </c>
      <c r="P6" s="49">
        <f t="shared" si="2"/>
        <v>96265.152848058045</v>
      </c>
      <c r="Q6" s="49">
        <f t="shared" si="2"/>
        <v>99397.733889363444</v>
      </c>
      <c r="R6" s="49">
        <f t="shared" si="2"/>
        <v>102033.89126005983</v>
      </c>
      <c r="S6" s="49">
        <f t="shared" si="2"/>
        <v>88122.894140794902</v>
      </c>
      <c r="T6" s="49">
        <f t="shared" si="2"/>
        <v>93691.201045119742</v>
      </c>
      <c r="U6" s="49">
        <f t="shared" si="2"/>
        <v>95316.227990224201</v>
      </c>
      <c r="V6" s="49">
        <f t="shared" si="2"/>
        <v>94599.780620163423</v>
      </c>
      <c r="W6" s="49">
        <f t="shared" si="2"/>
        <v>89136.362916345039</v>
      </c>
      <c r="X6" s="49">
        <f t="shared" si="2"/>
        <v>91229.545555511897</v>
      </c>
      <c r="Y6" s="49">
        <f t="shared" si="2"/>
        <v>84030.392864511901</v>
      </c>
      <c r="Z6" s="50"/>
      <c r="AA6" s="50"/>
      <c r="AB6" s="50"/>
      <c r="AC6" s="50"/>
      <c r="AE6" s="33">
        <f t="array" ref="AE6:AG6">LINEST(O6:Y6,O2:Y3)</f>
        <v>-1062.922263997636</v>
      </c>
      <c r="AF6" s="33">
        <v>26.180451065982492</v>
      </c>
      <c r="AG6" s="33">
        <v>104021.91381315657</v>
      </c>
    </row>
    <row r="7" spans="1:33" x14ac:dyDescent="0.3">
      <c r="A7" s="9" t="s">
        <v>262</v>
      </c>
      <c r="B7" s="9" t="s">
        <v>263</v>
      </c>
      <c r="C7" s="17" t="s">
        <v>206</v>
      </c>
      <c r="D7" s="17"/>
      <c r="E7" s="2"/>
      <c r="F7" s="2"/>
      <c r="G7" s="2"/>
      <c r="H7" s="2"/>
      <c r="I7" s="2"/>
      <c r="J7" s="2"/>
      <c r="K7" s="2"/>
      <c r="L7" s="2"/>
      <c r="M7" s="2"/>
      <c r="N7" s="1"/>
      <c r="O7" s="47">
        <f>$AF$6*O2+$AE$6*O3+$AG$6</f>
        <v>112248.88540787286</v>
      </c>
      <c r="P7" s="47">
        <f>$AF$6*P2+$AE$6*P3+$AG$6</f>
        <v>93969.054382380069</v>
      </c>
      <c r="Q7" s="47">
        <f t="shared" ref="Q7:Y7" si="3">$AF$6*Q2+$AE$6*Q3+$AG$6</f>
        <v>100608.76013899743</v>
      </c>
      <c r="R7" s="47">
        <f t="shared" si="3"/>
        <v>104540.50579234635</v>
      </c>
      <c r="S7" s="47">
        <f t="shared" si="3"/>
        <v>87786.198568298714</v>
      </c>
      <c r="T7" s="47">
        <f t="shared" si="3"/>
        <v>93858.991443409555</v>
      </c>
      <c r="U7" s="47">
        <f t="shared" si="3"/>
        <v>95453.050596884888</v>
      </c>
      <c r="V7" s="47">
        <f t="shared" si="3"/>
        <v>93954.578762592108</v>
      </c>
      <c r="W7" s="47">
        <f t="shared" si="3"/>
        <v>88669.523332097742</v>
      </c>
      <c r="X7" s="47">
        <f t="shared" si="3"/>
        <v>89105.413126009022</v>
      </c>
      <c r="Y7" s="47">
        <f t="shared" si="3"/>
        <v>87383.566853189463</v>
      </c>
      <c r="Z7" s="50"/>
      <c r="AA7" s="50"/>
      <c r="AB7" s="47">
        <f>AF6*AB2+AE6*AB3+AG6</f>
        <v>90165.244463777708</v>
      </c>
      <c r="AC7" s="47">
        <f>AF6*AC2+AE6*AC3+AG6</f>
        <v>88705.403994051565</v>
      </c>
    </row>
    <row r="8" spans="1:33" x14ac:dyDescent="0.3">
      <c r="A8" s="9" t="s">
        <v>262</v>
      </c>
      <c r="B8" s="9" t="s">
        <v>263</v>
      </c>
      <c r="C8" s="17" t="s">
        <v>85</v>
      </c>
      <c r="D8" s="17"/>
      <c r="E8" s="2"/>
      <c r="F8" s="2"/>
      <c r="G8" s="2"/>
      <c r="H8" s="2"/>
      <c r="I8" s="2"/>
      <c r="J8" s="2"/>
      <c r="K8" s="2"/>
      <c r="L8" s="2"/>
      <c r="M8" s="2"/>
      <c r="N8" s="1"/>
      <c r="O8" s="49">
        <f t="shared" ref="O8:Y8" si="4">O5+O7</f>
        <v>129578.26235616945</v>
      </c>
      <c r="P8" s="49">
        <f t="shared" si="4"/>
        <v>114423.0682009887</v>
      </c>
      <c r="Q8" s="49">
        <f t="shared" si="4"/>
        <v>120805.47069407842</v>
      </c>
      <c r="R8" s="49">
        <f t="shared" si="4"/>
        <v>123294.94786561985</v>
      </c>
      <c r="S8" s="49">
        <f t="shared" si="4"/>
        <v>106078.85998305937</v>
      </c>
      <c r="T8" s="49">
        <f t="shared" si="4"/>
        <v>111759.1792871787</v>
      </c>
      <c r="U8" s="49">
        <f t="shared" si="4"/>
        <v>113897.65593999402</v>
      </c>
      <c r="V8" s="49">
        <f t="shared" si="4"/>
        <v>113410.631475762</v>
      </c>
      <c r="W8" s="49">
        <f t="shared" si="4"/>
        <v>109005.6604157527</v>
      </c>
      <c r="X8" s="49">
        <f t="shared" si="4"/>
        <v>109886.14534827491</v>
      </c>
      <c r="Y8" s="49">
        <f t="shared" si="4"/>
        <v>107418.45176645534</v>
      </c>
      <c r="Z8" s="49"/>
      <c r="AA8" s="49"/>
      <c r="AB8" s="49">
        <f>TREND($Q$8:$Y$8,$Q$1:$Y$1,AB$1)</f>
        <v>99899.252443847246</v>
      </c>
      <c r="AC8" s="49">
        <f>TREND($Q$8:$Y$8,$Q$1:$Y$1,AC$1)</f>
        <v>92710.133259800728</v>
      </c>
    </row>
    <row r="9" spans="1:33" x14ac:dyDescent="0.3">
      <c r="A9" s="9" t="s">
        <v>262</v>
      </c>
      <c r="B9" s="9" t="s">
        <v>263</v>
      </c>
      <c r="C9" s="17" t="s">
        <v>164</v>
      </c>
      <c r="D9" s="17"/>
      <c r="E9" s="2"/>
      <c r="F9" s="2"/>
      <c r="G9" s="2"/>
      <c r="H9" s="2"/>
      <c r="I9" s="2"/>
      <c r="J9" s="2"/>
      <c r="K9" s="2"/>
      <c r="L9" s="2"/>
      <c r="M9" s="2"/>
      <c r="N9" s="1"/>
      <c r="O9" s="51">
        <f t="shared" ref="O9:Y9" si="5">O8/O4</f>
        <v>0.9885077388080441</v>
      </c>
      <c r="P9" s="51">
        <f t="shared" si="5"/>
        <v>0.98032800840469236</v>
      </c>
      <c r="Q9" s="51">
        <f t="shared" si="5"/>
        <v>1.0101261079079351</v>
      </c>
      <c r="R9" s="51">
        <f t="shared" si="5"/>
        <v>1.0207521245066702</v>
      </c>
      <c r="S9" s="51">
        <f t="shared" si="5"/>
        <v>0.99683603049630831</v>
      </c>
      <c r="T9" s="51">
        <f t="shared" si="5"/>
        <v>1.0015036142121763</v>
      </c>
      <c r="U9" s="51">
        <f t="shared" si="5"/>
        <v>1.0012027215576014</v>
      </c>
      <c r="V9" s="51">
        <f t="shared" si="5"/>
        <v>0.99434310513793978</v>
      </c>
      <c r="W9" s="51">
        <f t="shared" si="5"/>
        <v>0.99573555382176071</v>
      </c>
      <c r="X9" s="51">
        <f t="shared" si="5"/>
        <v>0.98103627210248479</v>
      </c>
      <c r="Y9" s="51">
        <f t="shared" si="5"/>
        <v>1.0322218328753032</v>
      </c>
      <c r="Z9" s="50"/>
      <c r="AA9" s="50"/>
      <c r="AB9" s="51"/>
      <c r="AC9" s="47"/>
    </row>
    <row r="10" spans="1:33" x14ac:dyDescent="0.3">
      <c r="A10" s="9" t="s">
        <v>262</v>
      </c>
      <c r="B10" s="9" t="s">
        <v>263</v>
      </c>
      <c r="C10" s="17" t="s">
        <v>207</v>
      </c>
      <c r="D10" s="17"/>
      <c r="E10" s="2"/>
      <c r="F10" s="2"/>
      <c r="G10" s="2"/>
      <c r="H10" s="2"/>
      <c r="I10" s="2"/>
      <c r="J10" s="2"/>
      <c r="K10" s="2"/>
      <c r="L10" s="2"/>
      <c r="M10" s="2"/>
      <c r="N10" s="1"/>
      <c r="O10" s="52">
        <f>O5/O4</f>
        <v>0.13219982202745828</v>
      </c>
      <c r="P10" s="52">
        <f>P5/P4</f>
        <v>0.17524125987827158</v>
      </c>
      <c r="Q10" s="52">
        <f>Q5/Q4</f>
        <v>0.1688766618625252</v>
      </c>
      <c r="R10" s="52">
        <f t="shared" ref="R10:Y10" si="6">R5/R4</f>
        <v>0.15526699935098728</v>
      </c>
      <c r="S10" s="52">
        <f t="shared" si="6"/>
        <v>0.17189837819538284</v>
      </c>
      <c r="T10" s="52">
        <f t="shared" si="6"/>
        <v>0.16040832560648832</v>
      </c>
      <c r="U10" s="52">
        <f t="shared" si="6"/>
        <v>0.16213493522031569</v>
      </c>
      <c r="V10" s="52">
        <f t="shared" si="6"/>
        <v>0.17058358300981155</v>
      </c>
      <c r="W10" s="52">
        <f t="shared" si="6"/>
        <v>0.18576480014300367</v>
      </c>
      <c r="X10" s="52">
        <f t="shared" si="6"/>
        <v>0.18552522710008551</v>
      </c>
      <c r="Y10" s="52">
        <f t="shared" si="6"/>
        <v>0.19252228352331513</v>
      </c>
      <c r="Z10" s="50"/>
      <c r="AA10" s="50"/>
      <c r="AB10" s="47"/>
      <c r="AC10" s="47"/>
      <c r="AE10" s="9" t="s">
        <v>173</v>
      </c>
      <c r="AF10" s="8">
        <f>AVERAGE(O10:Y10)</f>
        <v>0.169129297810695</v>
      </c>
    </row>
    <row r="11" spans="1:33" x14ac:dyDescent="0.3">
      <c r="C11" s="17"/>
      <c r="D11" s="17"/>
      <c r="E11" s="2"/>
      <c r="F11" s="2"/>
      <c r="G11" s="2"/>
      <c r="H11" s="2"/>
      <c r="I11" s="2"/>
      <c r="J11" s="2"/>
      <c r="K11" s="2"/>
      <c r="L11" s="2"/>
      <c r="M11" s="2"/>
      <c r="N11" s="1"/>
      <c r="O11" s="49"/>
      <c r="P11" s="49"/>
      <c r="Q11" s="52"/>
      <c r="R11" s="52"/>
      <c r="S11" s="52"/>
      <c r="T11" s="52"/>
      <c r="U11" s="52"/>
      <c r="V11" s="52"/>
      <c r="W11" s="52"/>
      <c r="X11" s="52"/>
      <c r="Y11" s="52"/>
      <c r="Z11" s="50"/>
      <c r="AA11" s="50"/>
      <c r="AB11" s="47"/>
      <c r="AC11" s="47"/>
      <c r="AF11" s="8"/>
    </row>
    <row r="12" spans="1:33" x14ac:dyDescent="0.3">
      <c r="C12" s="17"/>
      <c r="D12" s="10"/>
      <c r="J12" s="85"/>
      <c r="K12" s="85"/>
      <c r="L12" s="85"/>
      <c r="M12" s="85"/>
      <c r="N12" s="85"/>
      <c r="O12" s="85"/>
      <c r="P12" s="85"/>
      <c r="Q12" s="8"/>
      <c r="R12" s="8"/>
      <c r="S12" s="8"/>
      <c r="T12" s="8"/>
      <c r="U12" s="8"/>
      <c r="V12" s="8"/>
      <c r="W12" s="8"/>
      <c r="X12" s="8"/>
      <c r="Y12" s="10"/>
      <c r="AB12" s="10"/>
      <c r="AC12" s="10"/>
    </row>
    <row r="13" spans="1:33" x14ac:dyDescent="0.3">
      <c r="C13" s="40" t="s">
        <v>298</v>
      </c>
      <c r="D13" s="10" t="s">
        <v>296</v>
      </c>
      <c r="E13" s="9" t="s">
        <v>285</v>
      </c>
      <c r="F13" s="9" t="s">
        <v>284</v>
      </c>
      <c r="G13" s="9" t="s">
        <v>283</v>
      </c>
      <c r="H13" s="9" t="s">
        <v>282</v>
      </c>
      <c r="I13" s="9" t="s">
        <v>281</v>
      </c>
      <c r="J13" s="9" t="s">
        <v>280</v>
      </c>
      <c r="K13" s="9" t="s">
        <v>279</v>
      </c>
      <c r="L13" s="9" t="s">
        <v>278</v>
      </c>
      <c r="M13" s="9" t="s">
        <v>277</v>
      </c>
      <c r="N13" s="9" t="s">
        <v>276</v>
      </c>
      <c r="O13" s="47" t="s">
        <v>275</v>
      </c>
      <c r="P13" s="47" t="s">
        <v>274</v>
      </c>
      <c r="Q13" s="10" t="s">
        <v>273</v>
      </c>
      <c r="R13" s="10" t="s">
        <v>272</v>
      </c>
      <c r="S13" s="10" t="s">
        <v>271</v>
      </c>
      <c r="T13" s="10" t="s">
        <v>270</v>
      </c>
      <c r="U13" s="10" t="s">
        <v>269</v>
      </c>
      <c r="V13" s="10" t="s">
        <v>265</v>
      </c>
      <c r="W13" s="10" t="s">
        <v>268</v>
      </c>
      <c r="X13" s="10" t="s">
        <v>267</v>
      </c>
      <c r="Y13" s="10" t="s">
        <v>266</v>
      </c>
      <c r="AB13" s="10"/>
      <c r="AC13" s="10"/>
    </row>
    <row r="14" spans="1:33" x14ac:dyDescent="0.3">
      <c r="C14" s="17"/>
      <c r="D14" s="10"/>
      <c r="O14" s="47"/>
      <c r="P14" s="47"/>
      <c r="Q14" s="10"/>
      <c r="R14" s="10"/>
      <c r="S14" s="10"/>
      <c r="T14" s="10"/>
      <c r="U14" s="10"/>
      <c r="V14" s="10"/>
      <c r="W14" s="10"/>
      <c r="X14" s="10"/>
      <c r="Y14" s="10"/>
      <c r="AB14" s="10"/>
      <c r="AC14" s="10"/>
    </row>
    <row r="15" spans="1:33" x14ac:dyDescent="0.3">
      <c r="C15" s="17"/>
      <c r="D15" s="10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AB15" s="10"/>
      <c r="AC15" s="10"/>
    </row>
    <row r="17" spans="3:26" x14ac:dyDescent="0.3">
      <c r="C17" s="9" t="s">
        <v>176</v>
      </c>
    </row>
    <row r="18" spans="3:26" x14ac:dyDescent="0.3">
      <c r="C18" s="22" t="s">
        <v>72</v>
      </c>
      <c r="O18" s="23" t="s">
        <v>16</v>
      </c>
      <c r="P18" s="23" t="s">
        <v>17</v>
      </c>
      <c r="Q18" s="23" t="s">
        <v>18</v>
      </c>
      <c r="R18" s="23" t="s">
        <v>19</v>
      </c>
      <c r="S18" s="23" t="s">
        <v>20</v>
      </c>
      <c r="T18" s="23" t="s">
        <v>21</v>
      </c>
      <c r="U18" s="23" t="s">
        <v>22</v>
      </c>
      <c r="V18" s="23" t="s">
        <v>23</v>
      </c>
      <c r="W18" s="23" t="s">
        <v>24</v>
      </c>
      <c r="X18" s="23" t="s">
        <v>25</v>
      </c>
    </row>
    <row r="19" spans="3:26" x14ac:dyDescent="0.3">
      <c r="C19" s="24" t="s">
        <v>73</v>
      </c>
      <c r="O19" s="82">
        <v>2671611.0690000001</v>
      </c>
      <c r="P19" s="82">
        <v>2344389.719</v>
      </c>
      <c r="Q19" s="82">
        <v>2477306.0610000002</v>
      </c>
      <c r="R19" s="82">
        <v>2615756.628</v>
      </c>
      <c r="S19" s="82">
        <v>2249855.7400000002</v>
      </c>
      <c r="T19" s="83">
        <v>2295341.2119999998</v>
      </c>
      <c r="U19" s="83">
        <v>2381618.1669999999</v>
      </c>
      <c r="V19" s="84">
        <v>2365892.7820000001</v>
      </c>
      <c r="W19" s="83">
        <v>2337023.173</v>
      </c>
      <c r="X19" s="83">
        <v>2409028.83</v>
      </c>
    </row>
    <row r="20" spans="3:26" x14ac:dyDescent="0.3">
      <c r="C20" s="24" t="s">
        <v>74</v>
      </c>
      <c r="O20" s="82">
        <v>1922857.6140000001</v>
      </c>
      <c r="P20" s="82">
        <v>1543489.0330000001</v>
      </c>
      <c r="Q20" s="82">
        <v>1676595.827</v>
      </c>
      <c r="R20" s="82">
        <v>1846294.8019999999</v>
      </c>
      <c r="S20" s="82">
        <v>1500409.503</v>
      </c>
      <c r="T20" s="83">
        <v>1556113.219</v>
      </c>
      <c r="U20" s="83">
        <v>1633708.648</v>
      </c>
      <c r="V20" s="83">
        <v>1597438.8</v>
      </c>
      <c r="W20" s="84">
        <v>1548081.2080000001</v>
      </c>
      <c r="X20" s="83">
        <v>1608346.838</v>
      </c>
    </row>
    <row r="21" spans="3:26" x14ac:dyDescent="0.3">
      <c r="C21" s="24" t="s">
        <v>75</v>
      </c>
      <c r="O21" s="25" t="s">
        <v>51</v>
      </c>
      <c r="P21" s="25" t="s">
        <v>51</v>
      </c>
      <c r="Q21" s="25" t="s">
        <v>51</v>
      </c>
      <c r="R21" s="25" t="s">
        <v>51</v>
      </c>
      <c r="S21" s="25" t="s">
        <v>51</v>
      </c>
      <c r="T21" s="25" t="s">
        <v>51</v>
      </c>
      <c r="U21" s="25" t="s">
        <v>51</v>
      </c>
      <c r="V21" s="25" t="s">
        <v>51</v>
      </c>
      <c r="W21" s="25" t="s">
        <v>51</v>
      </c>
      <c r="X21" s="25" t="s">
        <v>51</v>
      </c>
    </row>
    <row r="22" spans="3:26" x14ac:dyDescent="0.3">
      <c r="C22" s="24" t="s">
        <v>76</v>
      </c>
      <c r="O22" s="82">
        <v>336154.533</v>
      </c>
      <c r="P22" s="82">
        <v>396766.109</v>
      </c>
      <c r="Q22" s="82">
        <v>391774.951</v>
      </c>
      <c r="R22" s="82">
        <v>363797.88699999999</v>
      </c>
      <c r="S22" s="82">
        <v>354840.28499999997</v>
      </c>
      <c r="T22" s="83">
        <v>347227.09899999999</v>
      </c>
      <c r="U22" s="84">
        <v>357787.68699999998</v>
      </c>
      <c r="V22" s="83">
        <v>377407.701</v>
      </c>
      <c r="W22" s="83">
        <v>394479.54100000003</v>
      </c>
      <c r="X22" s="83">
        <v>403103.77899999998</v>
      </c>
    </row>
    <row r="23" spans="3:26" x14ac:dyDescent="0.3">
      <c r="C23" s="24" t="s">
        <v>77</v>
      </c>
      <c r="O23" s="25" t="s">
        <v>51</v>
      </c>
      <c r="P23" s="25" t="s">
        <v>51</v>
      </c>
      <c r="Q23" s="25" t="s">
        <v>51</v>
      </c>
      <c r="R23" s="25" t="s">
        <v>51</v>
      </c>
      <c r="S23" s="25" t="s">
        <v>51</v>
      </c>
      <c r="T23" s="26"/>
      <c r="U23" s="27"/>
      <c r="V23" s="26"/>
      <c r="W23" s="27"/>
      <c r="X23" s="27"/>
    </row>
    <row r="25" spans="3:26" x14ac:dyDescent="0.3">
      <c r="Z25" s="9" t="s">
        <v>78</v>
      </c>
    </row>
    <row r="26" spans="3:26" x14ac:dyDescent="0.3">
      <c r="C26" s="9" t="s">
        <v>167</v>
      </c>
      <c r="O26" s="8">
        <f t="shared" ref="O26:S26" si="7">O22/(O20+O22)</f>
        <v>0.14880598736328973</v>
      </c>
      <c r="P26" s="8">
        <f t="shared" si="7"/>
        <v>0.20449171885250955</v>
      </c>
      <c r="Q26" s="8">
        <f t="shared" si="7"/>
        <v>0.18941234094344761</v>
      </c>
      <c r="R26" s="8">
        <f t="shared" si="7"/>
        <v>0.16460752474802653</v>
      </c>
      <c r="S26" s="8">
        <f t="shared" si="7"/>
        <v>0.19126280854209157</v>
      </c>
      <c r="T26" s="8">
        <f>T22/(T20+T22)</f>
        <v>0.18243038079751325</v>
      </c>
      <c r="U26" s="8">
        <f t="shared" ref="U26:X26" si="8">U22/(U20+U22)</f>
        <v>0.17965771802437186</v>
      </c>
      <c r="V26" s="8">
        <f t="shared" si="8"/>
        <v>0.19110735989298033</v>
      </c>
      <c r="W26" s="8">
        <f t="shared" si="8"/>
        <v>0.20307191999172841</v>
      </c>
      <c r="X26" s="8">
        <f t="shared" si="8"/>
        <v>0.20040451184489605</v>
      </c>
      <c r="Z26" s="8">
        <f>AVERAGE(O26:X26)</f>
        <v>0.18552522710008551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23"/>
  <sheetViews>
    <sheetView workbookViewId="0">
      <pane xSplit="4" ySplit="1" topLeftCell="U62" activePane="bottomRight" state="frozen"/>
      <selection pane="topRight" activeCell="F1" sqref="F1"/>
      <selection pane="bottomLeft" activeCell="A2" sqref="A2"/>
      <selection pane="bottomRight" activeCell="A75" sqref="A75"/>
    </sheetView>
  </sheetViews>
  <sheetFormatPr defaultColWidth="8.88671875" defaultRowHeight="14.4" x14ac:dyDescent="0.3"/>
  <cols>
    <col min="1" max="2" width="8.88671875" style="9"/>
    <col min="3" max="3" width="19" style="9" customWidth="1"/>
    <col min="4" max="4" width="6.44140625" style="9" customWidth="1"/>
    <col min="5" max="14" width="9.109375" style="9" customWidth="1"/>
    <col min="15" max="15" width="13.33203125" style="9" customWidth="1"/>
    <col min="16" max="19" width="8.88671875" style="9"/>
    <col min="20" max="20" width="10.88671875" style="9" customWidth="1"/>
    <col min="21" max="22" width="8.88671875" style="9"/>
    <col min="23" max="26" width="8.88671875" style="9" customWidth="1"/>
    <col min="27" max="31" width="8.88671875" style="9"/>
    <col min="32" max="32" width="8.88671875" style="9" customWidth="1"/>
    <col min="33" max="16384" width="8.88671875" style="9"/>
  </cols>
  <sheetData>
    <row r="1" spans="1:33" x14ac:dyDescent="0.3">
      <c r="A1" s="9" t="s">
        <v>68</v>
      </c>
      <c r="B1" s="9" t="s">
        <v>69</v>
      </c>
      <c r="C1" s="9" t="s">
        <v>70</v>
      </c>
      <c r="D1" s="9" t="s">
        <v>71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  <c r="Y1" s="1">
        <v>2020</v>
      </c>
      <c r="Z1" s="1">
        <v>2021</v>
      </c>
      <c r="AA1" s="1">
        <v>2022</v>
      </c>
      <c r="AB1" s="1">
        <v>2025</v>
      </c>
      <c r="AC1" s="1">
        <v>2030</v>
      </c>
    </row>
    <row r="2" spans="1:33" x14ac:dyDescent="0.3">
      <c r="A2" s="9" t="s">
        <v>7</v>
      </c>
      <c r="B2" s="9" t="s">
        <v>243</v>
      </c>
      <c r="C2" s="17" t="s">
        <v>60</v>
      </c>
      <c r="E2" s="2"/>
      <c r="F2" s="2"/>
      <c r="G2" s="2"/>
      <c r="H2" s="2"/>
      <c r="I2" s="2"/>
      <c r="J2" s="2"/>
      <c r="K2" s="2"/>
      <c r="L2" s="2"/>
      <c r="M2" s="2"/>
      <c r="N2" s="1"/>
      <c r="O2" s="46">
        <f>HLOOKUP(O$1,  HDD!$B$4:$AP$33,   MATCH($A$2, HDD!$A$4:$A$33,0), FALSE)</f>
        <v>6179.75</v>
      </c>
      <c r="P2" s="46">
        <f>HLOOKUP(P$1,  HDD!$B$4:$AP$33,   MATCH($A$2, HDD!$A$4:$A$33,0), FALSE)</f>
        <v>5239.13</v>
      </c>
      <c r="Q2" s="46">
        <f>HLOOKUP(Q$1,  HDD!$B$4:$AP$33,   MATCH($A$2, HDD!$A$4:$A$33,0), FALSE)</f>
        <v>5839.92</v>
      </c>
      <c r="R2" s="46">
        <f>HLOOKUP(R$1,  HDD!$B$4:$AP$33,   MATCH($A$2, HDD!$A$4:$A$33,0), FALSE)</f>
        <v>5238.58</v>
      </c>
      <c r="S2" s="46">
        <f>HLOOKUP(S$1,  HDD!$B$4:$AP$33,   MATCH($A$2, HDD!$A$4:$A$33,0), FALSE)</f>
        <v>5237.1400000000003</v>
      </c>
      <c r="T2" s="46">
        <f>HLOOKUP(T$1,  HDD!$B$4:$AP$33,   MATCH($A$2, HDD!$A$4:$A$33,0), FALSE)</f>
        <v>5014.74</v>
      </c>
      <c r="U2" s="46">
        <f>HLOOKUP(U$1,  HDD!$B$4:$AP$33,   MATCH($A$2, HDD!$A$4:$A$33,0), FALSE)</f>
        <v>5325.9</v>
      </c>
      <c r="V2" s="46">
        <f>HLOOKUP(V$1,  HDD!$B$4:$AP$33,   MATCH($A$2, HDD!$A$4:$A$33,0), FALSE)</f>
        <v>5508.23</v>
      </c>
      <c r="W2" s="46">
        <f>HLOOKUP(W$1,  HDD!$B$4:$AP$33,   MATCH($A$2, HDD!$A$4:$A$33,0), FALSE)</f>
        <v>5349.59</v>
      </c>
      <c r="X2" s="46">
        <f>HLOOKUP(X$1,  HDD!$B$4:$AP$33,   MATCH($A$2, HDD!$A$4:$A$33,0), FALSE)</f>
        <v>5482.97</v>
      </c>
      <c r="Y2" s="46">
        <f>HLOOKUP(Y$1,  HDD!$B$4:$AP$33,   MATCH($A$2, HDD!$A$4:$A$33,0), FALSE)</f>
        <v>4871.03</v>
      </c>
      <c r="Z2" s="47"/>
      <c r="AA2" s="47"/>
      <c r="AB2" s="46">
        <f>HLOOKUP(AB$1,  HDD!$B$4:$AP$33,   MATCH($A$2, HDD!$A$4:$A$33,0), FALSE)</f>
        <v>5220.632789915966</v>
      </c>
      <c r="AC2" s="46">
        <f>HLOOKUP(AC$1,  HDD!$B$4:$AP$33,   MATCH($A$2, HDD!$A$4:$A$33,0), FALSE)</f>
        <v>5137.9993725490131</v>
      </c>
    </row>
    <row r="3" spans="1:33" x14ac:dyDescent="0.3">
      <c r="A3" s="9" t="s">
        <v>7</v>
      </c>
      <c r="B3" s="9" t="s">
        <v>243</v>
      </c>
      <c r="C3" s="17" t="s">
        <v>61</v>
      </c>
      <c r="D3" s="17" t="s">
        <v>62</v>
      </c>
      <c r="E3" s="2"/>
      <c r="F3" s="2"/>
      <c r="G3" s="2"/>
      <c r="H3" s="2"/>
      <c r="I3" s="2"/>
      <c r="J3" s="2"/>
      <c r="K3" s="2"/>
      <c r="L3" s="2"/>
      <c r="M3" s="19"/>
      <c r="N3" s="21"/>
      <c r="O3" s="34">
        <f>HLOOKUP(O$1, Pop!$B$8:$M$62, MATCH($A$3, Pop!$A$8:$A$62,0), FALSE)/1000000</f>
        <v>5.3514270000000002</v>
      </c>
      <c r="P3" s="34">
        <f>HLOOKUP(P$1, Pop!$B$8:$P$62, MATCH($A$3, Pop!$A$8:$A$62,0), FALSE)/1000000</f>
        <v>5.3752760000000004</v>
      </c>
      <c r="Q3" s="34">
        <f>HLOOKUP(Q$1, Pop!$B$8:$P$62, MATCH($A$3, Pop!$A$8:$A$62,0), FALSE)/1000000</f>
        <v>5.4012669999999998</v>
      </c>
      <c r="R3" s="34">
        <f>HLOOKUP(R$1, Pop!$B$8:$P$62, MATCH($A$3, Pop!$A$8:$A$62,0), FALSE)/1000000</f>
        <v>5.4266740000000002</v>
      </c>
      <c r="S3" s="34">
        <f>HLOOKUP(S$1, Pop!$B$8:$P$62, MATCH($A$3, Pop!$A$8:$A$62,0), FALSE)/1000000</f>
        <v>5.4512700000000001</v>
      </c>
      <c r="T3" s="34">
        <f>HLOOKUP(T$1, Pop!$B$8:$P$62, MATCH($A$3, Pop!$A$8:$A$62,0), FALSE)/1000000</f>
        <v>5.4717529999999996</v>
      </c>
      <c r="U3" s="34">
        <f>HLOOKUP(U$1, Pop!$B$8:$P$62, MATCH($A$3, Pop!$A$8:$A$62,0), FALSE)/1000000</f>
        <v>5.4873079999999996</v>
      </c>
      <c r="V3" s="34">
        <f>HLOOKUP(V$1, Pop!$B$8:$P$62, MATCH($A$3, Pop!$A$8:$A$62,0), FALSE)/1000000</f>
        <v>5.5032969999999999</v>
      </c>
      <c r="W3" s="34">
        <f>HLOOKUP(W$1, Pop!$B$8:$P$62, MATCH($A$3, Pop!$A$8:$A$62,0), FALSE)/1000000</f>
        <v>5.5131300000000003</v>
      </c>
      <c r="X3" s="34">
        <f>HLOOKUP(X$1, Pop!$B$8:$P$62, MATCH($A$3, Pop!$A$8:$A$62,0), FALSE)/1000000</f>
        <v>5.517919</v>
      </c>
      <c r="Y3" s="34">
        <f>HLOOKUP(Y$1, Pop!$B$8:$P$62, MATCH($A$3, Pop!$A$8:$A$62,0), FALSE)/1000000</f>
        <v>5.5252920000000003</v>
      </c>
      <c r="Z3" s="34">
        <f>HLOOKUP(Z$1, Pop!$B$8:$M$62, MATCH($A$3, Pop!$A$8:$A$62,0), FALSE)/1000000</f>
        <v>5.5337930000000002</v>
      </c>
      <c r="AA3" s="48"/>
      <c r="AB3" s="34">
        <f>HLOOKUP(AB$1, Pop!$B$8:$P$62, MATCH($A$3, Pop!$A$8:$A$62,0), FALSE)/1000000</f>
        <v>5.5761859999999999</v>
      </c>
      <c r="AC3" s="34">
        <f>HLOOKUP(AC$1, Pop!$B$8:$P$62, MATCH($A$3, Pop!$A$8:$A$62,0), FALSE)/1000000</f>
        <v>5.598821</v>
      </c>
    </row>
    <row r="4" spans="1:33" x14ac:dyDescent="0.3">
      <c r="A4" s="9" t="s">
        <v>7</v>
      </c>
      <c r="B4" s="9" t="s">
        <v>243</v>
      </c>
      <c r="C4" s="17" t="s">
        <v>163</v>
      </c>
      <c r="D4" s="17" t="s">
        <v>64</v>
      </c>
      <c r="E4" s="54">
        <v>27934</v>
      </c>
      <c r="F4" s="54">
        <v>30909</v>
      </c>
      <c r="G4" s="54">
        <v>31941</v>
      </c>
      <c r="H4" s="54">
        <v>33457</v>
      </c>
      <c r="I4" s="54">
        <v>32855</v>
      </c>
      <c r="J4" s="54">
        <v>32242</v>
      </c>
      <c r="K4" s="54">
        <v>33338</v>
      </c>
      <c r="L4" s="54">
        <v>33151</v>
      </c>
      <c r="M4" s="54">
        <v>33400</v>
      </c>
      <c r="N4" s="54">
        <v>35482</v>
      </c>
      <c r="O4" s="54">
        <v>39473</v>
      </c>
      <c r="P4" s="54">
        <v>35469</v>
      </c>
      <c r="Q4" s="54">
        <v>38807</v>
      </c>
      <c r="R4" s="54">
        <v>36471</v>
      </c>
      <c r="S4" s="54">
        <v>36211</v>
      </c>
      <c r="T4" s="54">
        <v>35062</v>
      </c>
      <c r="U4" s="54">
        <v>38525</v>
      </c>
      <c r="V4" s="54">
        <v>38301</v>
      </c>
      <c r="W4" s="54">
        <v>38509</v>
      </c>
      <c r="X4" s="54">
        <v>38141</v>
      </c>
      <c r="Y4" s="54">
        <v>35148</v>
      </c>
      <c r="Z4" s="50"/>
      <c r="AA4" s="50"/>
      <c r="AB4" s="50"/>
      <c r="AC4" s="50"/>
    </row>
    <row r="5" spans="1:33" x14ac:dyDescent="0.3">
      <c r="A5" s="9" t="s">
        <v>7</v>
      </c>
      <c r="B5" s="9" t="s">
        <v>243</v>
      </c>
      <c r="C5" s="17" t="s">
        <v>76</v>
      </c>
      <c r="D5" s="17"/>
      <c r="E5" s="2"/>
      <c r="F5" s="2"/>
      <c r="G5" s="2"/>
      <c r="H5" s="2"/>
      <c r="I5" s="2"/>
      <c r="J5" s="2"/>
      <c r="K5" s="2"/>
      <c r="L5" s="2"/>
      <c r="M5" s="2"/>
      <c r="N5" s="1"/>
      <c r="O5" s="49">
        <f>TREND($T$5:$X$5,$T$1:$X$1,O$1)</f>
        <v>5475.7004385587061</v>
      </c>
      <c r="P5" s="49">
        <f>TREND($T$5:$X$5,$T$1:$X$1,P$1)</f>
        <v>5668.163941959152</v>
      </c>
      <c r="Q5" s="49">
        <f>TREND($T$5:$X$5,$T$1:$X$1,Q$1)</f>
        <v>5860.6274453595979</v>
      </c>
      <c r="R5" s="49">
        <f>TREND($T$5:$X$5,$T$1:$X$1,R$1)</f>
        <v>6053.0909487599856</v>
      </c>
      <c r="S5" s="49">
        <f>TREND($T$5:$X$5,$T$1:$X$1,S$1)</f>
        <v>6245.5544521604315</v>
      </c>
      <c r="T5" s="49">
        <f>Y81/$AC$81*$X$5</f>
        <v>6441.2630708777615</v>
      </c>
      <c r="U5" s="49">
        <f>Z81/$AC$81*$X$5</f>
        <v>6457.6123895031924</v>
      </c>
      <c r="V5" s="49">
        <f>AA81/$AC$81*$X$5</f>
        <v>7050.0894780930657</v>
      </c>
      <c r="W5" s="49">
        <f>AB81/$AC$81*$X$5</f>
        <v>7066.7461814059361</v>
      </c>
      <c r="X5" s="49">
        <f>$AE$87*X4</f>
        <v>7099.0136919285169</v>
      </c>
      <c r="Y5" s="49">
        <f>TREND($T$5:$X$5,$T$1:$X$1,Y$1)</f>
        <v>7400.3354725629906</v>
      </c>
      <c r="Z5" s="50"/>
      <c r="AA5" s="50"/>
      <c r="AB5" s="49">
        <f>$AF$10*AB$8</f>
        <v>6509.4487944942384</v>
      </c>
      <c r="AC5" s="49"/>
      <c r="AE5" s="9" t="s">
        <v>82</v>
      </c>
      <c r="AF5" s="9" t="s">
        <v>83</v>
      </c>
      <c r="AG5" s="9" t="s">
        <v>81</v>
      </c>
    </row>
    <row r="6" spans="1:33" x14ac:dyDescent="0.3">
      <c r="A6" s="9" t="s">
        <v>7</v>
      </c>
      <c r="B6" s="9" t="s">
        <v>243</v>
      </c>
      <c r="C6" s="17" t="s">
        <v>74</v>
      </c>
      <c r="D6" s="17"/>
      <c r="E6" s="2"/>
      <c r="F6" s="2"/>
      <c r="G6" s="2"/>
      <c r="H6" s="2"/>
      <c r="I6" s="2"/>
      <c r="J6" s="2"/>
      <c r="K6" s="2"/>
      <c r="L6" s="2"/>
      <c r="M6" s="2"/>
      <c r="N6" s="1"/>
      <c r="O6" s="49">
        <f t="shared" ref="O6:Y6" si="0">O4-O5</f>
        <v>33997.299561441294</v>
      </c>
      <c r="P6" s="49">
        <f t="shared" si="0"/>
        <v>29800.836058040848</v>
      </c>
      <c r="Q6" s="49">
        <f t="shared" si="0"/>
        <v>32946.372554640402</v>
      </c>
      <c r="R6" s="49">
        <f t="shared" si="0"/>
        <v>30417.909051240014</v>
      </c>
      <c r="S6" s="49">
        <f t="shared" si="0"/>
        <v>29965.445547839568</v>
      </c>
      <c r="T6" s="49">
        <f t="shared" si="0"/>
        <v>28620.736929122239</v>
      </c>
      <c r="U6" s="49">
        <f t="shared" si="0"/>
        <v>32067.387610496808</v>
      </c>
      <c r="V6" s="49">
        <f t="shared" si="0"/>
        <v>31250.910521906935</v>
      </c>
      <c r="W6" s="49">
        <f t="shared" si="0"/>
        <v>31442.253818594065</v>
      </c>
      <c r="X6" s="49">
        <f t="shared" si="0"/>
        <v>31041.986308071482</v>
      </c>
      <c r="Y6" s="49">
        <f t="shared" si="0"/>
        <v>27747.664527437009</v>
      </c>
      <c r="Z6" s="50"/>
      <c r="AA6" s="50"/>
      <c r="AB6" s="50"/>
      <c r="AC6" s="50"/>
      <c r="AE6" s="33">
        <f t="array" ref="AE6:AG6">LINEST(O6:Y6,O2:Y3)</f>
        <v>3593.4031543008837</v>
      </c>
      <c r="AF6" s="33">
        <v>4.9828730237462313</v>
      </c>
      <c r="AG6" s="33">
        <v>-15619.393136585597</v>
      </c>
    </row>
    <row r="7" spans="1:33" x14ac:dyDescent="0.3">
      <c r="A7" s="9" t="s">
        <v>7</v>
      </c>
      <c r="B7" s="9" t="s">
        <v>243</v>
      </c>
      <c r="C7" s="17" t="s">
        <v>206</v>
      </c>
      <c r="D7" s="17"/>
      <c r="E7" s="2"/>
      <c r="F7" s="2"/>
      <c r="G7" s="2"/>
      <c r="H7" s="2"/>
      <c r="I7" s="2"/>
      <c r="J7" s="2"/>
      <c r="K7" s="2"/>
      <c r="L7" s="2"/>
      <c r="M7" s="2"/>
      <c r="N7" s="1"/>
      <c r="O7" s="47">
        <f>$AF$6*O2+$AE$6*O3+$AG$6</f>
        <v>34403.351093721096</v>
      </c>
      <c r="P7" s="47">
        <f>$AF$6*P2+$AE$6*P3+$AG$6</f>
        <v>29802.060141951835</v>
      </c>
      <c r="Q7" s="47">
        <f t="shared" ref="Q7:Y7" si="1">$AF$6*Q2+$AE$6*Q3+$AG$6</f>
        <v>32889.116567271762</v>
      </c>
      <c r="R7" s="47">
        <f t="shared" si="1"/>
        <v>29984.013297113532</v>
      </c>
      <c r="S7" s="47">
        <f t="shared" si="1"/>
        <v>30065.221303942526</v>
      </c>
      <c r="T7" s="47">
        <f t="shared" si="1"/>
        <v>29030.634020270896</v>
      </c>
      <c r="U7" s="47">
        <f t="shared" si="1"/>
        <v>30637.000176404923</v>
      </c>
      <c r="V7" s="47">
        <f t="shared" si="1"/>
        <v>31602.982337858695</v>
      </c>
      <c r="W7" s="47">
        <f t="shared" si="1"/>
        <v>30847.833294587836</v>
      </c>
      <c r="X7" s="47">
        <f t="shared" si="1"/>
        <v>31529.657706201055</v>
      </c>
      <c r="Y7" s="47">
        <f t="shared" si="1"/>
        <v>28506.93254950644</v>
      </c>
      <c r="Z7" s="50"/>
      <c r="AA7" s="50"/>
      <c r="AB7" s="47">
        <f>AF6*AB2+AE6*AB3+AG6</f>
        <v>30431.841520540125</v>
      </c>
      <c r="AC7" s="47">
        <f>AF6*AC2+AE6*AC3+AG6</f>
        <v>30101.42637467997</v>
      </c>
    </row>
    <row r="8" spans="1:33" x14ac:dyDescent="0.3">
      <c r="A8" s="9" t="s">
        <v>7</v>
      </c>
      <c r="B8" s="9" t="s">
        <v>243</v>
      </c>
      <c r="C8" s="17" t="s">
        <v>85</v>
      </c>
      <c r="D8" s="17"/>
      <c r="E8" s="2"/>
      <c r="F8" s="2"/>
      <c r="G8" s="2"/>
      <c r="H8" s="2"/>
      <c r="I8" s="2"/>
      <c r="J8" s="2"/>
      <c r="K8" s="2"/>
      <c r="L8" s="2"/>
      <c r="M8" s="2"/>
      <c r="N8" s="1"/>
      <c r="O8" s="49">
        <f t="shared" ref="O8:Y8" si="2">O5+O7</f>
        <v>39879.051532279802</v>
      </c>
      <c r="P8" s="49">
        <f t="shared" si="2"/>
        <v>35470.224083910987</v>
      </c>
      <c r="Q8" s="49">
        <f t="shared" si="2"/>
        <v>38749.74401263136</v>
      </c>
      <c r="R8" s="49">
        <f t="shared" si="2"/>
        <v>36037.104245873517</v>
      </c>
      <c r="S8" s="49">
        <f t="shared" si="2"/>
        <v>36310.775756102958</v>
      </c>
      <c r="T8" s="49">
        <f t="shared" si="2"/>
        <v>35471.897091148654</v>
      </c>
      <c r="U8" s="49">
        <f t="shared" si="2"/>
        <v>37094.612565908115</v>
      </c>
      <c r="V8" s="49">
        <f t="shared" si="2"/>
        <v>38653.071815951764</v>
      </c>
      <c r="W8" s="49">
        <f t="shared" si="2"/>
        <v>37914.579475993771</v>
      </c>
      <c r="X8" s="49">
        <f t="shared" si="2"/>
        <v>38628.671398129569</v>
      </c>
      <c r="Y8" s="49">
        <f t="shared" si="2"/>
        <v>35907.268022069431</v>
      </c>
      <c r="Z8" s="49"/>
      <c r="AA8" s="49"/>
      <c r="AB8" s="49">
        <f>TREND($Q$8:$Y$8,$Q$1:$Y$1,AB$1)</f>
        <v>37615.450769289004</v>
      </c>
      <c r="AC8" s="49">
        <f>TREND($Q$8:$Y$8,$Q$1:$Y$1,AC$1)</f>
        <v>37848.249074214444</v>
      </c>
    </row>
    <row r="9" spans="1:33" x14ac:dyDescent="0.3">
      <c r="A9" s="9" t="s">
        <v>7</v>
      </c>
      <c r="B9" s="9" t="s">
        <v>243</v>
      </c>
      <c r="C9" s="17" t="s">
        <v>164</v>
      </c>
      <c r="D9" s="17"/>
      <c r="E9" s="2"/>
      <c r="F9" s="2"/>
      <c r="G9" s="2"/>
      <c r="H9" s="2"/>
      <c r="I9" s="2"/>
      <c r="J9" s="2"/>
      <c r="K9" s="2"/>
      <c r="L9" s="2"/>
      <c r="M9" s="2"/>
      <c r="N9" s="1"/>
      <c r="O9" s="51">
        <f t="shared" ref="O9:Y9" si="3">O8/O4</f>
        <v>1.0102868171225852</v>
      </c>
      <c r="P9" s="51">
        <f t="shared" si="3"/>
        <v>1.0000345113736218</v>
      </c>
      <c r="Q9" s="51">
        <f t="shared" si="3"/>
        <v>0.99852459640351898</v>
      </c>
      <c r="R9" s="51">
        <f t="shared" si="3"/>
        <v>0.98810299267564683</v>
      </c>
      <c r="S9" s="51">
        <f t="shared" si="3"/>
        <v>1.0027553990804716</v>
      </c>
      <c r="T9" s="51">
        <f t="shared" si="3"/>
        <v>1.0116906363341696</v>
      </c>
      <c r="U9" s="51">
        <f t="shared" si="3"/>
        <v>0.96287118925134629</v>
      </c>
      <c r="V9" s="51">
        <f t="shared" si="3"/>
        <v>1.009192235606166</v>
      </c>
      <c r="W9" s="51">
        <f t="shared" si="3"/>
        <v>0.9845641142588426</v>
      </c>
      <c r="X9" s="51">
        <f t="shared" si="3"/>
        <v>1.012786015000382</v>
      </c>
      <c r="Y9" s="51">
        <f t="shared" si="3"/>
        <v>1.0216020263477135</v>
      </c>
      <c r="Z9" s="50"/>
      <c r="AA9" s="50"/>
      <c r="AB9" s="51"/>
      <c r="AC9" s="47"/>
    </row>
    <row r="10" spans="1:33" x14ac:dyDescent="0.3">
      <c r="A10" s="9" t="s">
        <v>7</v>
      </c>
      <c r="B10" s="9" t="s">
        <v>243</v>
      </c>
      <c r="C10" s="17" t="s">
        <v>207</v>
      </c>
      <c r="D10" s="17"/>
      <c r="E10" s="2"/>
      <c r="F10" s="2"/>
      <c r="G10" s="2"/>
      <c r="H10" s="2"/>
      <c r="I10" s="2"/>
      <c r="J10" s="2"/>
      <c r="K10" s="2"/>
      <c r="L10" s="2"/>
      <c r="M10" s="2"/>
      <c r="N10" s="1"/>
      <c r="O10" s="52">
        <f>O5/O4</f>
        <v>0.1387201489260686</v>
      </c>
      <c r="P10" s="52">
        <f>P5/P4</f>
        <v>0.1598061389370761</v>
      </c>
      <c r="Q10" s="52">
        <f>Q5/Q4</f>
        <v>0.15101985325739165</v>
      </c>
      <c r="R10" s="52">
        <f t="shared" ref="R10:Y10" si="4">R5/R4</f>
        <v>0.16596997474047834</v>
      </c>
      <c r="S10" s="52">
        <f t="shared" si="4"/>
        <v>0.17247671846014834</v>
      </c>
      <c r="T10" s="52">
        <f t="shared" si="4"/>
        <v>0.18371065743191378</v>
      </c>
      <c r="U10" s="52">
        <f t="shared" si="4"/>
        <v>0.16762134690469027</v>
      </c>
      <c r="V10" s="52">
        <f t="shared" si="4"/>
        <v>0.18407063727038631</v>
      </c>
      <c r="W10" s="52">
        <f t="shared" si="4"/>
        <v>0.18350895067142581</v>
      </c>
      <c r="X10" s="52">
        <f t="shared" si="4"/>
        <v>0.18612552612486608</v>
      </c>
      <c r="Y10" s="52">
        <f t="shared" si="4"/>
        <v>0.21054783977930439</v>
      </c>
      <c r="Z10" s="50"/>
      <c r="AA10" s="50"/>
      <c r="AB10" s="47"/>
      <c r="AC10" s="47"/>
      <c r="AE10" s="9" t="s">
        <v>173</v>
      </c>
      <c r="AF10" s="8">
        <f>AVERAGE(O10:Y10)</f>
        <v>0.17305252659124995</v>
      </c>
    </row>
    <row r="11" spans="1:33" x14ac:dyDescent="0.3">
      <c r="A11" s="9" t="s">
        <v>7</v>
      </c>
      <c r="C11" s="17"/>
      <c r="D11" s="17"/>
      <c r="E11" s="2"/>
      <c r="F11" s="2"/>
      <c r="G11" s="2"/>
      <c r="H11" s="2"/>
      <c r="I11" s="2"/>
      <c r="J11" s="2"/>
      <c r="K11" s="2"/>
      <c r="L11" s="2"/>
      <c r="M11" s="2"/>
      <c r="N11" s="1"/>
      <c r="O11" s="49"/>
      <c r="P11" s="49"/>
      <c r="Q11" s="52"/>
      <c r="R11" s="52"/>
      <c r="S11" s="52"/>
      <c r="T11" s="52"/>
      <c r="U11" s="52"/>
      <c r="V11" s="52"/>
      <c r="W11" s="52"/>
      <c r="X11" s="52"/>
      <c r="Y11" s="52"/>
      <c r="Z11" s="50"/>
      <c r="AA11" s="50"/>
      <c r="AB11" s="47"/>
      <c r="AC11" s="47"/>
      <c r="AF11" s="8"/>
    </row>
    <row r="12" spans="1:33" x14ac:dyDescent="0.3">
      <c r="A12" s="9" t="s">
        <v>7</v>
      </c>
      <c r="B12" s="9" t="s">
        <v>11</v>
      </c>
      <c r="C12" s="17" t="s">
        <v>241</v>
      </c>
      <c r="D12" s="10"/>
      <c r="E12" s="2"/>
      <c r="F12" s="2"/>
      <c r="G12" s="2"/>
      <c r="H12" s="2"/>
      <c r="I12" s="2"/>
      <c r="J12" s="9">
        <f>J119</f>
        <v>3618</v>
      </c>
      <c r="K12" s="9">
        <f t="shared" ref="K12:Y12" si="5">K119</f>
        <v>3675</v>
      </c>
      <c r="L12" s="9">
        <f t="shared" si="5"/>
        <v>3508.8</v>
      </c>
      <c r="M12" s="9">
        <f t="shared" si="5"/>
        <v>3244</v>
      </c>
      <c r="N12" s="9">
        <f t="shared" si="5"/>
        <v>3737</v>
      </c>
      <c r="O12" s="9">
        <f t="shared" si="5"/>
        <v>4376</v>
      </c>
      <c r="P12" s="9">
        <f t="shared" si="5"/>
        <v>3493</v>
      </c>
      <c r="Q12" s="9">
        <f t="shared" si="5"/>
        <v>3797</v>
      </c>
      <c r="R12" s="9">
        <f t="shared" si="5"/>
        <v>3592</v>
      </c>
      <c r="S12" s="9">
        <f t="shared" si="5"/>
        <v>3464</v>
      </c>
      <c r="T12" s="9">
        <f t="shared" si="5"/>
        <v>3118</v>
      </c>
      <c r="U12" s="9">
        <f t="shared" si="5"/>
        <v>3589</v>
      </c>
      <c r="V12" s="9">
        <f t="shared" si="5"/>
        <v>3549</v>
      </c>
      <c r="W12" s="9">
        <f t="shared" si="5"/>
        <v>3552</v>
      </c>
      <c r="X12" s="9">
        <f t="shared" si="5"/>
        <v>3419</v>
      </c>
      <c r="Y12" s="9">
        <f t="shared" si="5"/>
        <v>2906</v>
      </c>
      <c r="Z12" s="48"/>
      <c r="AA12" s="48"/>
      <c r="AB12" s="10">
        <v>3327.9181538461562</v>
      </c>
      <c r="AC12" s="10">
        <v>3226.6343076923076</v>
      </c>
    </row>
    <row r="13" spans="1:33" x14ac:dyDescent="0.3">
      <c r="A13" s="9" t="s">
        <v>7</v>
      </c>
      <c r="B13" s="9" t="s">
        <v>11</v>
      </c>
      <c r="C13" s="17" t="s">
        <v>61</v>
      </c>
      <c r="D13" s="17" t="s">
        <v>62</v>
      </c>
      <c r="E13" s="2"/>
      <c r="F13" s="2"/>
      <c r="G13" s="2"/>
      <c r="H13" s="2"/>
      <c r="I13" s="2"/>
      <c r="J13" s="33">
        <f t="shared" ref="J13:Y13" si="6">J108</f>
        <v>0.56090499999999999</v>
      </c>
      <c r="K13" s="33">
        <f t="shared" si="6"/>
        <v>0.56452099999999994</v>
      </c>
      <c r="L13" s="33">
        <f t="shared" si="6"/>
        <v>0.5685309999999999</v>
      </c>
      <c r="M13" s="33">
        <f t="shared" si="6"/>
        <v>0.57663199999999992</v>
      </c>
      <c r="N13" s="33">
        <f t="shared" si="6"/>
        <v>0.58335000000000004</v>
      </c>
      <c r="O13" s="33">
        <f t="shared" si="6"/>
        <v>0.58854899999999999</v>
      </c>
      <c r="P13" s="33">
        <f t="shared" si="6"/>
        <v>0.59538400000000002</v>
      </c>
      <c r="Q13" s="33">
        <f t="shared" si="6"/>
        <v>0.60396799999999995</v>
      </c>
      <c r="R13" s="33">
        <f t="shared" si="6"/>
        <v>0.61266399999999999</v>
      </c>
      <c r="S13" s="33">
        <f t="shared" si="6"/>
        <v>0.62071500000000002</v>
      </c>
      <c r="T13" s="33">
        <f t="shared" si="6"/>
        <v>0.62820799999999999</v>
      </c>
      <c r="U13" s="33">
        <f t="shared" si="6"/>
        <v>0.635181</v>
      </c>
      <c r="V13" s="33">
        <f t="shared" si="6"/>
        <v>0.64327200000000007</v>
      </c>
      <c r="W13" s="33">
        <f t="shared" si="6"/>
        <v>0.64804200000000001</v>
      </c>
      <c r="X13" s="33">
        <f t="shared" si="6"/>
        <v>0.65383500000000006</v>
      </c>
      <c r="Y13" s="33">
        <f t="shared" si="6"/>
        <v>0.65691999999999995</v>
      </c>
      <c r="Z13" s="48"/>
      <c r="AA13" s="48"/>
      <c r="AB13" s="48">
        <v>0.69541900000000001</v>
      </c>
      <c r="AC13" s="48">
        <v>0.72368699999999997</v>
      </c>
    </row>
    <row r="14" spans="1:33" x14ac:dyDescent="0.3">
      <c r="A14" s="9" t="s">
        <v>7</v>
      </c>
      <c r="B14" s="9" t="s">
        <v>11</v>
      </c>
      <c r="C14" s="17" t="s">
        <v>163</v>
      </c>
      <c r="D14" s="17" t="s">
        <v>64</v>
      </c>
      <c r="E14" s="2"/>
      <c r="F14" s="2"/>
      <c r="G14" s="2"/>
      <c r="H14" s="2"/>
      <c r="I14" s="2"/>
      <c r="J14" s="47">
        <f>J94</f>
        <v>7072.8</v>
      </c>
      <c r="K14" s="47">
        <f t="shared" ref="K14:X14" si="7">K94</f>
        <v>7183.5</v>
      </c>
      <c r="L14" s="47">
        <f t="shared" si="7"/>
        <v>6863.9</v>
      </c>
      <c r="M14" s="47">
        <f t="shared" si="7"/>
        <v>6532.9</v>
      </c>
      <c r="N14" s="47">
        <f t="shared" si="7"/>
        <v>7183.5</v>
      </c>
      <c r="O14" s="47">
        <f t="shared" si="7"/>
        <v>7770.9</v>
      </c>
      <c r="P14" s="47">
        <f t="shared" si="7"/>
        <v>6881.8</v>
      </c>
      <c r="Q14" s="47">
        <f t="shared" si="7"/>
        <v>7302.2</v>
      </c>
      <c r="R14" s="47">
        <f t="shared" si="7"/>
        <v>6958.2000000000007</v>
      </c>
      <c r="S14" s="47">
        <f t="shared" si="7"/>
        <v>6882.9000000000005</v>
      </c>
      <c r="T14" s="47">
        <f t="shared" si="7"/>
        <v>6440.5</v>
      </c>
      <c r="U14" s="47">
        <f t="shared" si="7"/>
        <v>7099.5</v>
      </c>
      <c r="V14" s="47">
        <f t="shared" si="7"/>
        <v>7100.6</v>
      </c>
      <c r="W14" s="47">
        <f t="shared" si="7"/>
        <v>7196.5</v>
      </c>
      <c r="X14" s="47">
        <f t="shared" si="7"/>
        <v>7037.8</v>
      </c>
      <c r="Y14" s="47">
        <f>Y94</f>
        <v>6418.2</v>
      </c>
      <c r="Z14" s="47"/>
      <c r="AA14" s="47"/>
      <c r="AB14" s="47"/>
      <c r="AC14" s="47"/>
      <c r="AE14" s="9" t="s">
        <v>82</v>
      </c>
      <c r="AF14" s="9" t="s">
        <v>83</v>
      </c>
      <c r="AG14" s="9" t="s">
        <v>81</v>
      </c>
    </row>
    <row r="15" spans="1:33" x14ac:dyDescent="0.3">
      <c r="A15" s="9" t="s">
        <v>7</v>
      </c>
      <c r="B15" s="9" t="s">
        <v>11</v>
      </c>
      <c r="C15" s="17" t="s">
        <v>74</v>
      </c>
      <c r="D15" s="17" t="s">
        <v>64</v>
      </c>
      <c r="E15" s="2"/>
      <c r="F15" s="2"/>
      <c r="G15" s="2"/>
      <c r="H15" s="2"/>
      <c r="I15" s="2"/>
      <c r="J15" s="49">
        <f t="shared" ref="J15:N15" si="8">J14-J16</f>
        <v>6260.9916472624145</v>
      </c>
      <c r="K15" s="49">
        <f t="shared" si="8"/>
        <v>6371.6916472624143</v>
      </c>
      <c r="L15" s="49">
        <f t="shared" si="8"/>
        <v>6052.091647262414</v>
      </c>
      <c r="M15" s="49">
        <f t="shared" si="8"/>
        <v>5721.091647262414</v>
      </c>
      <c r="N15" s="49">
        <f t="shared" si="8"/>
        <v>6371.6916472624143</v>
      </c>
      <c r="O15" s="49">
        <f>O14-O16</f>
        <v>6959.091647262414</v>
      </c>
      <c r="P15" s="49">
        <f t="shared" ref="P15:X15" si="9">P14-P16</f>
        <v>6069.9916472624145</v>
      </c>
      <c r="Q15" s="49">
        <f t="shared" si="9"/>
        <v>6490.3916472624142</v>
      </c>
      <c r="R15" s="49">
        <f t="shared" si="9"/>
        <v>6146.3916472624151</v>
      </c>
      <c r="S15" s="49">
        <f t="shared" si="9"/>
        <v>6071.0916472624149</v>
      </c>
      <c r="T15" s="49">
        <f t="shared" si="9"/>
        <v>5628.6916472624143</v>
      </c>
      <c r="U15" s="49">
        <f t="shared" si="9"/>
        <v>6287.6916472624143</v>
      </c>
      <c r="V15" s="49">
        <f t="shared" si="9"/>
        <v>6288.7916472624147</v>
      </c>
      <c r="W15" s="49">
        <f t="shared" si="9"/>
        <v>6384.6916472624143</v>
      </c>
      <c r="X15" s="49">
        <f t="shared" si="9"/>
        <v>6225.9916472624145</v>
      </c>
      <c r="Y15" s="49">
        <f t="shared" ref="Y15" si="10">Y14-Y16</f>
        <v>5606.3916472624142</v>
      </c>
      <c r="Z15" s="47"/>
      <c r="AA15" s="47"/>
      <c r="AB15" s="47"/>
      <c r="AC15" s="47"/>
      <c r="AE15" s="9">
        <f t="array" ref="AE15:AG15">LINEST(J15:Y15,J12:Y13)</f>
        <v>2125.4582093781673</v>
      </c>
      <c r="AF15" s="9">
        <v>1.107568614829173</v>
      </c>
      <c r="AG15" s="9">
        <v>968.9446730422369</v>
      </c>
    </row>
    <row r="16" spans="1:33" x14ac:dyDescent="0.3">
      <c r="A16" s="9" t="s">
        <v>7</v>
      </c>
      <c r="B16" s="9" t="s">
        <v>11</v>
      </c>
      <c r="C16" s="17" t="s">
        <v>76</v>
      </c>
      <c r="D16" s="17" t="s">
        <v>64</v>
      </c>
      <c r="E16" s="2"/>
      <c r="F16" s="2"/>
      <c r="G16" s="2"/>
      <c r="H16" s="2"/>
      <c r="I16" s="2"/>
      <c r="J16" s="49">
        <f t="shared" ref="J16:N16" si="11">$AB$16</f>
        <v>811.80835273758601</v>
      </c>
      <c r="K16" s="49">
        <f t="shared" si="11"/>
        <v>811.80835273758601</v>
      </c>
      <c r="L16" s="49">
        <f t="shared" si="11"/>
        <v>811.80835273758601</v>
      </c>
      <c r="M16" s="49">
        <f t="shared" si="11"/>
        <v>811.80835273758601</v>
      </c>
      <c r="N16" s="49">
        <f t="shared" si="11"/>
        <v>811.80835273758601</v>
      </c>
      <c r="O16" s="49">
        <f>$AB$16</f>
        <v>811.80835273758601</v>
      </c>
      <c r="P16" s="49">
        <f t="shared" ref="P16" si="12">$AB$16</f>
        <v>811.80835273758601</v>
      </c>
      <c r="Q16" s="49">
        <f>$AB$16</f>
        <v>811.80835273758601</v>
      </c>
      <c r="R16" s="49">
        <f t="shared" ref="R16:Y16" si="13">$AB$16</f>
        <v>811.80835273758601</v>
      </c>
      <c r="S16" s="49">
        <f t="shared" si="13"/>
        <v>811.80835273758601</v>
      </c>
      <c r="T16" s="49">
        <f t="shared" si="13"/>
        <v>811.80835273758601</v>
      </c>
      <c r="U16" s="49">
        <f>$AB$16</f>
        <v>811.80835273758601</v>
      </c>
      <c r="V16" s="49">
        <f t="shared" si="13"/>
        <v>811.80835273758601</v>
      </c>
      <c r="W16" s="49">
        <f t="shared" si="13"/>
        <v>811.80835273758601</v>
      </c>
      <c r="X16" s="49">
        <f t="shared" si="13"/>
        <v>811.80835273758601</v>
      </c>
      <c r="Y16" s="49">
        <f t="shared" si="13"/>
        <v>811.80835273758601</v>
      </c>
      <c r="Z16" s="47"/>
      <c r="AA16" s="47"/>
      <c r="AB16" s="47">
        <f>AB13/AB3*AB5</f>
        <v>811.80835273758601</v>
      </c>
      <c r="AC16" s="49">
        <f t="shared" ref="AC16" si="14">$AB$16</f>
        <v>811.80835273758601</v>
      </c>
    </row>
    <row r="17" spans="1:33" x14ac:dyDescent="0.3">
      <c r="A17" s="9" t="s">
        <v>7</v>
      </c>
      <c r="B17" s="9" t="s">
        <v>11</v>
      </c>
      <c r="C17" s="17" t="s">
        <v>206</v>
      </c>
      <c r="D17" s="17" t="s">
        <v>64</v>
      </c>
      <c r="E17" s="2"/>
      <c r="F17" s="2"/>
      <c r="G17" s="2"/>
      <c r="H17" s="2"/>
      <c r="I17" s="2"/>
      <c r="J17" s="47">
        <f t="shared" ref="J17:N17" si="15">$AF15*J12+$AE15*J13+$AG15</f>
        <v>6168.3080584254458</v>
      </c>
      <c r="K17" s="47">
        <f t="shared" si="15"/>
        <v>6239.1251263558206</v>
      </c>
      <c r="L17" s="47">
        <f t="shared" si="15"/>
        <v>6063.5703099908187</v>
      </c>
      <c r="M17" s="47">
        <f t="shared" si="15"/>
        <v>5787.5044777382254</v>
      </c>
      <c r="N17" s="47">
        <f t="shared" si="15"/>
        <v>6347.8146330996096</v>
      </c>
      <c r="O17" s="47">
        <f>$AF15*O12+$AE15*O13+$AG15</f>
        <v>7066.6012352060088</v>
      </c>
      <c r="P17" s="47">
        <f t="shared" ref="P17:X17" si="16">$AF15*P12+$AE15*P13+$AG15</f>
        <v>6103.1456551729489</v>
      </c>
      <c r="Q17" s="47">
        <f t="shared" si="16"/>
        <v>6458.0914473503199</v>
      </c>
      <c r="R17" s="47">
        <f t="shared" si="16"/>
        <v>6249.5228658990918</v>
      </c>
      <c r="S17" s="47">
        <f t="shared" si="16"/>
        <v>6124.866147244662</v>
      </c>
      <c r="T17" s="47">
        <f t="shared" si="16"/>
        <v>5757.5734648766384</v>
      </c>
      <c r="U17" s="47">
        <f t="shared" si="16"/>
        <v>6294.0591025551721</v>
      </c>
      <c r="V17" s="47">
        <f t="shared" si="16"/>
        <v>6266.9534403340849</v>
      </c>
      <c r="W17" s="47">
        <f t="shared" si="16"/>
        <v>6280.4145818373054</v>
      </c>
      <c r="X17" s="47">
        <f t="shared" si="16"/>
        <v>6145.4207354719538</v>
      </c>
      <c r="Y17" s="47">
        <f t="shared" ref="Y17" si="17">$AF15*Y12+$AE15*Y13+$AG15</f>
        <v>5583.7950746405195</v>
      </c>
      <c r="Z17" s="47"/>
      <c r="AA17" s="47"/>
      <c r="AB17" s="47">
        <f t="shared" ref="AB17:AC17" si="18">$AF15*AB12+$AE15*AB13+$AG15</f>
        <v>6132.9263954700382</v>
      </c>
      <c r="AC17" s="47">
        <f t="shared" si="18"/>
        <v>6080.8300389435517</v>
      </c>
    </row>
    <row r="18" spans="1:33" x14ac:dyDescent="0.3">
      <c r="A18" s="9" t="s">
        <v>7</v>
      </c>
      <c r="B18" s="9" t="s">
        <v>11</v>
      </c>
      <c r="C18" s="17" t="s">
        <v>85</v>
      </c>
      <c r="D18" s="17" t="s">
        <v>64</v>
      </c>
      <c r="E18" s="2"/>
      <c r="F18" s="2"/>
      <c r="G18" s="2"/>
      <c r="H18" s="2"/>
      <c r="I18" s="2"/>
      <c r="J18" s="49">
        <f t="shared" ref="J18:N18" si="19">SUM(J16:J17)</f>
        <v>6980.1164111630314</v>
      </c>
      <c r="K18" s="49">
        <f t="shared" si="19"/>
        <v>7050.9334790934063</v>
      </c>
      <c r="L18" s="49">
        <f t="shared" si="19"/>
        <v>6875.3786627284044</v>
      </c>
      <c r="M18" s="49">
        <f t="shared" si="19"/>
        <v>6599.3128304758111</v>
      </c>
      <c r="N18" s="49">
        <f t="shared" si="19"/>
        <v>7159.6229858371953</v>
      </c>
      <c r="O18" s="49">
        <f>SUM(O16:O17)</f>
        <v>7878.4095879435945</v>
      </c>
      <c r="P18" s="49">
        <f t="shared" ref="P18:X18" si="20">SUM(P16:P17)</f>
        <v>6914.9540079105345</v>
      </c>
      <c r="Q18" s="49">
        <f t="shared" si="20"/>
        <v>7269.8998000879055</v>
      </c>
      <c r="R18" s="49">
        <f t="shared" si="20"/>
        <v>7061.3312186366775</v>
      </c>
      <c r="S18" s="49">
        <f t="shared" si="20"/>
        <v>6936.6744999822477</v>
      </c>
      <c r="T18" s="49">
        <f t="shared" si="20"/>
        <v>6569.381817614224</v>
      </c>
      <c r="U18" s="49">
        <f t="shared" si="20"/>
        <v>7105.8674552927578</v>
      </c>
      <c r="V18" s="49">
        <f t="shared" si="20"/>
        <v>7078.7617930716706</v>
      </c>
      <c r="W18" s="49">
        <f t="shared" si="20"/>
        <v>7092.222934574891</v>
      </c>
      <c r="X18" s="49">
        <f t="shared" si="20"/>
        <v>6957.2290882095394</v>
      </c>
      <c r="Y18" s="49">
        <f t="shared" ref="Y18" si="21">SUM(Y16:Y17)</f>
        <v>6395.6034273781052</v>
      </c>
      <c r="Z18" s="47"/>
      <c r="AA18" s="47"/>
      <c r="AB18" s="49">
        <f t="shared" ref="AB18" si="22">SUM(AB16:AB17)</f>
        <v>6944.7347482076239</v>
      </c>
      <c r="AC18" s="49">
        <f t="shared" ref="AC18" si="23">SUM(AC16:AC17)</f>
        <v>6892.6383916811374</v>
      </c>
    </row>
    <row r="19" spans="1:33" x14ac:dyDescent="0.3">
      <c r="A19" s="9" t="s">
        <v>7</v>
      </c>
      <c r="B19" s="9" t="s">
        <v>11</v>
      </c>
      <c r="C19" s="17" t="s">
        <v>164</v>
      </c>
      <c r="D19" s="17" t="s">
        <v>64</v>
      </c>
      <c r="E19" s="2"/>
      <c r="F19" s="2"/>
      <c r="G19" s="2"/>
      <c r="H19" s="2"/>
      <c r="I19" s="2"/>
      <c r="J19" s="52">
        <f t="shared" ref="J19:N19" si="24">J18/J14</f>
        <v>0.9868957712876133</v>
      </c>
      <c r="K19" s="52">
        <f t="shared" si="24"/>
        <v>0.98154569208511255</v>
      </c>
      <c r="L19" s="52">
        <f t="shared" si="24"/>
        <v>1.0016723237122342</v>
      </c>
      <c r="M19" s="52">
        <f t="shared" si="24"/>
        <v>1.0101659034235655</v>
      </c>
      <c r="N19" s="52">
        <f t="shared" si="24"/>
        <v>0.99667613083276885</v>
      </c>
      <c r="O19" s="52">
        <f>O18/O14</f>
        <v>1.0138348953073124</v>
      </c>
      <c r="P19" s="52">
        <f t="shared" ref="P19:X19" si="25">P18/P14</f>
        <v>1.0048176360705825</v>
      </c>
      <c r="Q19" s="52">
        <f t="shared" si="25"/>
        <v>0.99557664814547753</v>
      </c>
      <c r="R19" s="52">
        <f t="shared" si="25"/>
        <v>1.014821536983225</v>
      </c>
      <c r="S19" s="52">
        <f t="shared" si="25"/>
        <v>1.0078127678714273</v>
      </c>
      <c r="T19" s="52">
        <f t="shared" si="25"/>
        <v>1.020011150937695</v>
      </c>
      <c r="U19" s="52">
        <f t="shared" si="25"/>
        <v>1.0008968878502371</v>
      </c>
      <c r="V19" s="52">
        <f t="shared" si="25"/>
        <v>0.99692445611239477</v>
      </c>
      <c r="W19" s="52">
        <f t="shared" si="25"/>
        <v>0.98551003051134456</v>
      </c>
      <c r="X19" s="52">
        <f t="shared" si="25"/>
        <v>0.98855169061489945</v>
      </c>
      <c r="Y19" s="52">
        <f t="shared" ref="Y19" si="26">Y18/Y14</f>
        <v>0.9964792975254908</v>
      </c>
      <c r="Z19" s="47"/>
      <c r="AA19" s="47"/>
      <c r="AB19" s="47"/>
      <c r="AC19" s="49"/>
    </row>
    <row r="20" spans="1:33" x14ac:dyDescent="0.3">
      <c r="C20" s="17"/>
      <c r="D20" s="17"/>
      <c r="E20" s="2"/>
      <c r="F20" s="2"/>
      <c r="G20" s="2"/>
      <c r="H20" s="2"/>
      <c r="I20" s="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49"/>
      <c r="Z20" s="47"/>
      <c r="AA20" s="47"/>
      <c r="AB20" s="47"/>
      <c r="AC20" s="49"/>
    </row>
    <row r="21" spans="1:33" x14ac:dyDescent="0.3">
      <c r="A21" s="9" t="s">
        <v>7</v>
      </c>
      <c r="B21" s="9" t="s">
        <v>12</v>
      </c>
      <c r="C21" s="17" t="s">
        <v>241</v>
      </c>
      <c r="D21" s="17"/>
      <c r="E21" s="2"/>
      <c r="F21" s="2"/>
      <c r="G21" s="2"/>
      <c r="H21" s="2"/>
      <c r="I21" s="2"/>
      <c r="J21" s="9">
        <f>J117</f>
        <v>3618</v>
      </c>
      <c r="K21" s="9">
        <f t="shared" ref="K21:Y21" si="27">K117</f>
        <v>3675</v>
      </c>
      <c r="L21" s="9">
        <f t="shared" si="27"/>
        <v>3508.8</v>
      </c>
      <c r="M21" s="9">
        <f t="shared" si="27"/>
        <v>3244</v>
      </c>
      <c r="N21" s="9">
        <f t="shared" si="27"/>
        <v>3737</v>
      </c>
      <c r="O21" s="9">
        <f t="shared" si="27"/>
        <v>4376</v>
      </c>
      <c r="P21" s="9">
        <f t="shared" si="27"/>
        <v>3493</v>
      </c>
      <c r="Q21" s="9">
        <f t="shared" si="27"/>
        <v>3797</v>
      </c>
      <c r="R21" s="9">
        <f t="shared" si="27"/>
        <v>3592</v>
      </c>
      <c r="S21" s="9">
        <f t="shared" si="27"/>
        <v>3464</v>
      </c>
      <c r="T21" s="9">
        <f t="shared" si="27"/>
        <v>3118</v>
      </c>
      <c r="U21" s="9">
        <f t="shared" si="27"/>
        <v>3589</v>
      </c>
      <c r="V21" s="9">
        <f t="shared" si="27"/>
        <v>3549</v>
      </c>
      <c r="W21" s="9">
        <f t="shared" si="27"/>
        <v>3552</v>
      </c>
      <c r="X21" s="9">
        <f t="shared" si="27"/>
        <v>3419</v>
      </c>
      <c r="Y21" s="9">
        <f t="shared" si="27"/>
        <v>2906</v>
      </c>
      <c r="Z21" s="48"/>
      <c r="AA21" s="48"/>
      <c r="AB21" s="10">
        <v>3327.9181538461562</v>
      </c>
      <c r="AC21" s="10">
        <v>3226.6343076923076</v>
      </c>
      <c r="AD21" s="33"/>
    </row>
    <row r="22" spans="1:33" x14ac:dyDescent="0.3">
      <c r="A22" s="9" t="s">
        <v>7</v>
      </c>
      <c r="B22" s="9" t="s">
        <v>12</v>
      </c>
      <c r="C22" s="17" t="s">
        <v>61</v>
      </c>
      <c r="D22" s="17" t="s">
        <v>62</v>
      </c>
      <c r="E22" s="2"/>
      <c r="F22" s="2"/>
      <c r="G22" s="2"/>
      <c r="H22" s="2"/>
      <c r="I22" s="2"/>
      <c r="J22" s="81">
        <f>J109</f>
        <v>0.23170400000000002</v>
      </c>
      <c r="K22" s="81">
        <f t="shared" ref="K22:Y22" si="28">K109</f>
        <v>0.23501900000000001</v>
      </c>
      <c r="L22" s="81">
        <f t="shared" si="28"/>
        <v>0.23804700000000001</v>
      </c>
      <c r="M22" s="81">
        <f t="shared" si="28"/>
        <v>0.241565</v>
      </c>
      <c r="N22" s="81">
        <f t="shared" si="28"/>
        <v>0.24433000000000002</v>
      </c>
      <c r="O22" s="81">
        <f t="shared" si="28"/>
        <v>0.24797</v>
      </c>
      <c r="P22" s="81">
        <f t="shared" si="28"/>
        <v>0.25243899999999997</v>
      </c>
      <c r="Q22" s="81">
        <f t="shared" si="28"/>
        <v>0.256824</v>
      </c>
      <c r="R22" s="81">
        <f t="shared" si="28"/>
        <v>0.26075300000000001</v>
      </c>
      <c r="S22" s="81">
        <f t="shared" si="28"/>
        <v>0.26554300000000003</v>
      </c>
      <c r="T22" s="81">
        <f t="shared" si="28"/>
        <v>0.26980200000000004</v>
      </c>
      <c r="U22" s="81">
        <f t="shared" si="28"/>
        <v>0.27458300000000002</v>
      </c>
      <c r="V22" s="81">
        <f t="shared" si="28"/>
        <v>0.27904399999999996</v>
      </c>
      <c r="W22" s="81">
        <f t="shared" si="28"/>
        <v>0.283632</v>
      </c>
      <c r="X22" s="81">
        <f t="shared" si="28"/>
        <v>0.28973100000000002</v>
      </c>
      <c r="Y22" s="81">
        <f t="shared" si="28"/>
        <v>0.292796</v>
      </c>
      <c r="Z22" s="48"/>
      <c r="AA22" s="48"/>
      <c r="AB22" s="48">
        <v>0.310666</v>
      </c>
      <c r="AC22" s="48">
        <v>0.325322</v>
      </c>
      <c r="AD22" s="33"/>
    </row>
    <row r="23" spans="1:33" x14ac:dyDescent="0.3">
      <c r="A23" s="9" t="s">
        <v>7</v>
      </c>
      <c r="B23" s="9" t="s">
        <v>12</v>
      </c>
      <c r="C23" s="17" t="s">
        <v>163</v>
      </c>
      <c r="D23" s="17" t="s">
        <v>64</v>
      </c>
      <c r="E23" s="2"/>
      <c r="F23" s="2"/>
      <c r="G23" s="2"/>
      <c r="H23" s="2"/>
      <c r="I23" s="2"/>
      <c r="J23" s="86">
        <f>J95</f>
        <v>2107.6</v>
      </c>
      <c r="K23" s="86">
        <f t="shared" ref="K23:Y23" si="29">K95</f>
        <v>2191.5</v>
      </c>
      <c r="L23" s="86">
        <f t="shared" si="29"/>
        <v>2103.5</v>
      </c>
      <c r="M23" s="86">
        <f t="shared" si="29"/>
        <v>2125.6999999999998</v>
      </c>
      <c r="N23" s="86">
        <f t="shared" si="29"/>
        <v>2363.3000000000002</v>
      </c>
      <c r="O23" s="86">
        <f t="shared" si="29"/>
        <v>2504.4</v>
      </c>
      <c r="P23" s="86">
        <f t="shared" si="29"/>
        <v>2187.6</v>
      </c>
      <c r="Q23" s="86">
        <f t="shared" si="29"/>
        <v>2390.5</v>
      </c>
      <c r="R23" s="86">
        <f t="shared" si="29"/>
        <v>2288.1999999999998</v>
      </c>
      <c r="S23" s="86">
        <f t="shared" si="29"/>
        <v>2280.1</v>
      </c>
      <c r="T23" s="86">
        <f t="shared" si="29"/>
        <v>2146.1000000000004</v>
      </c>
      <c r="U23" s="86">
        <f t="shared" si="29"/>
        <v>2413.6999999999998</v>
      </c>
      <c r="V23" s="86">
        <f t="shared" si="29"/>
        <v>2389.8000000000002</v>
      </c>
      <c r="W23" s="86">
        <f t="shared" si="29"/>
        <v>2380.6999999999998</v>
      </c>
      <c r="X23" s="86">
        <f t="shared" si="29"/>
        <v>2370.9</v>
      </c>
      <c r="Y23" s="86">
        <f t="shared" si="29"/>
        <v>2152.4</v>
      </c>
      <c r="Z23" s="47"/>
      <c r="AA23" s="47"/>
      <c r="AB23" s="47"/>
      <c r="AC23" s="47"/>
      <c r="AD23" s="10"/>
      <c r="AE23" s="9" t="s">
        <v>82</v>
      </c>
      <c r="AF23" s="9" t="s">
        <v>83</v>
      </c>
      <c r="AG23" s="9" t="s">
        <v>81</v>
      </c>
    </row>
    <row r="24" spans="1:33" x14ac:dyDescent="0.3">
      <c r="A24" s="9" t="s">
        <v>7</v>
      </c>
      <c r="B24" s="9" t="s">
        <v>12</v>
      </c>
      <c r="C24" s="17" t="s">
        <v>74</v>
      </c>
      <c r="D24" s="17" t="s">
        <v>64</v>
      </c>
      <c r="E24" s="2"/>
      <c r="F24" s="2"/>
      <c r="G24" s="2"/>
      <c r="H24" s="2"/>
      <c r="I24" s="2"/>
      <c r="J24" s="49">
        <f t="shared" ref="J24:N24" si="30">J23-J25</f>
        <v>1744.9391384020641</v>
      </c>
      <c r="K24" s="49">
        <f t="shared" si="30"/>
        <v>1828.8391384020642</v>
      </c>
      <c r="L24" s="49">
        <f t="shared" si="30"/>
        <v>1740.8391384020642</v>
      </c>
      <c r="M24" s="49">
        <f t="shared" si="30"/>
        <v>1763.0391384020641</v>
      </c>
      <c r="N24" s="49">
        <f t="shared" si="30"/>
        <v>2000.6391384020644</v>
      </c>
      <c r="O24" s="49">
        <f t="shared" ref="O24:P24" si="31">O23-O25</f>
        <v>2141.7391384020643</v>
      </c>
      <c r="P24" s="49">
        <f t="shared" si="31"/>
        <v>1824.9391384020641</v>
      </c>
      <c r="Q24" s="49">
        <f>Q23-Q25</f>
        <v>2027.8391384020642</v>
      </c>
      <c r="R24" s="49">
        <f t="shared" ref="R24:X24" si="32">R23-R25</f>
        <v>1925.5391384020641</v>
      </c>
      <c r="S24" s="49">
        <f t="shared" si="32"/>
        <v>1917.4391384020641</v>
      </c>
      <c r="T24" s="49">
        <f t="shared" si="32"/>
        <v>1783.4391384020646</v>
      </c>
      <c r="U24" s="49">
        <f t="shared" si="32"/>
        <v>2051.0391384020641</v>
      </c>
      <c r="V24" s="49">
        <f t="shared" si="32"/>
        <v>2027.1391384020644</v>
      </c>
      <c r="W24" s="49">
        <f t="shared" si="32"/>
        <v>2018.0391384020641</v>
      </c>
      <c r="X24" s="49">
        <f t="shared" si="32"/>
        <v>2008.2391384020643</v>
      </c>
      <c r="Y24" s="49">
        <f t="shared" ref="Y24" si="33">Y23-Y25</f>
        <v>1789.7391384020643</v>
      </c>
      <c r="Z24" s="47"/>
      <c r="AA24" s="47"/>
      <c r="AB24" s="47"/>
      <c r="AC24" s="47"/>
      <c r="AD24" s="10"/>
      <c r="AE24" s="9">
        <f t="array" ref="AE24:AG24">LINEST(J24:Y24,J21:Y22)</f>
        <v>5059.3419843381243</v>
      </c>
      <c r="AF24" s="9">
        <v>0.39643378975917754</v>
      </c>
      <c r="AG24" s="9">
        <v>-807.85678558879295</v>
      </c>
    </row>
    <row r="25" spans="1:33" x14ac:dyDescent="0.3">
      <c r="A25" s="9" t="s">
        <v>7</v>
      </c>
      <c r="B25" s="9" t="s">
        <v>12</v>
      </c>
      <c r="C25" s="17" t="s">
        <v>76</v>
      </c>
      <c r="D25" s="10" t="s">
        <v>64</v>
      </c>
      <c r="J25" s="47">
        <f t="shared" ref="J25:N25" si="34">$AB$25</f>
        <v>362.66086159793576</v>
      </c>
      <c r="K25" s="47">
        <f t="shared" si="34"/>
        <v>362.66086159793576</v>
      </c>
      <c r="L25" s="47">
        <f t="shared" si="34"/>
        <v>362.66086159793576</v>
      </c>
      <c r="M25" s="47">
        <f t="shared" si="34"/>
        <v>362.66086159793576</v>
      </c>
      <c r="N25" s="47">
        <f t="shared" si="34"/>
        <v>362.66086159793576</v>
      </c>
      <c r="O25" s="47">
        <f t="shared" ref="O25:P25" si="35">$AB$25</f>
        <v>362.66086159793576</v>
      </c>
      <c r="P25" s="47">
        <f t="shared" si="35"/>
        <v>362.66086159793576</v>
      </c>
      <c r="Q25" s="10">
        <f>$AB$25</f>
        <v>362.66086159793576</v>
      </c>
      <c r="R25" s="10">
        <f t="shared" ref="R25:Y25" si="36">$AB$25</f>
        <v>362.66086159793576</v>
      </c>
      <c r="S25" s="10">
        <f t="shared" si="36"/>
        <v>362.66086159793576</v>
      </c>
      <c r="T25" s="10">
        <f t="shared" si="36"/>
        <v>362.66086159793576</v>
      </c>
      <c r="U25" s="10">
        <f t="shared" si="36"/>
        <v>362.66086159793576</v>
      </c>
      <c r="V25" s="10">
        <f t="shared" si="36"/>
        <v>362.66086159793576</v>
      </c>
      <c r="W25" s="10">
        <f t="shared" si="36"/>
        <v>362.66086159793576</v>
      </c>
      <c r="X25" s="10">
        <f t="shared" si="36"/>
        <v>362.66086159793576</v>
      </c>
      <c r="Y25" s="10">
        <f t="shared" si="36"/>
        <v>362.66086159793576</v>
      </c>
      <c r="AB25" s="10">
        <f>AB22/AB3*AB5</f>
        <v>362.66086159793576</v>
      </c>
      <c r="AC25" s="10">
        <f t="shared" ref="AC25" si="37">$AB$25</f>
        <v>362.66086159793576</v>
      </c>
    </row>
    <row r="26" spans="1:33" x14ac:dyDescent="0.3">
      <c r="A26" s="9" t="s">
        <v>7</v>
      </c>
      <c r="B26" s="9" t="s">
        <v>12</v>
      </c>
      <c r="C26" s="17" t="s">
        <v>206</v>
      </c>
      <c r="D26" s="10" t="s">
        <v>64</v>
      </c>
      <c r="J26" s="47">
        <f t="shared" ref="J26:N26" si="38">$AF24*J21+$AE24*J22+$AG24</f>
        <v>1798.7104408989919</v>
      </c>
      <c r="K26" s="47">
        <f t="shared" si="38"/>
        <v>1838.0788855933463</v>
      </c>
      <c r="L26" s="47">
        <f t="shared" si="38"/>
        <v>1787.511277263947</v>
      </c>
      <c r="M26" s="47">
        <f t="shared" si="38"/>
        <v>1700.3343748366181</v>
      </c>
      <c r="N26" s="47">
        <f t="shared" si="38"/>
        <v>1909.7653137745876</v>
      </c>
      <c r="O26" s="47">
        <f>$AF24*O21+$AE24*O22+$AG24</f>
        <v>2181.502510253692</v>
      </c>
      <c r="P26" s="47">
        <f>$AF24*P21+$AE24*P22+$AG24</f>
        <v>1854.0616732243454</v>
      </c>
      <c r="Q26" s="10">
        <f t="shared" ref="Q26:X26" si="39">$AF24*Q21+$AE24*Q22+$AG24</f>
        <v>1996.7627599124587</v>
      </c>
      <c r="R26" s="10">
        <f t="shared" si="39"/>
        <v>1935.3719876682919</v>
      </c>
      <c r="S26" s="10">
        <f t="shared" si="39"/>
        <v>1908.862710684097</v>
      </c>
      <c r="T26" s="10">
        <f t="shared" si="39"/>
        <v>1793.2443569387176</v>
      </c>
      <c r="U26" s="10">
        <f t="shared" si="39"/>
        <v>2004.1533859424105</v>
      </c>
      <c r="V26" s="10">
        <f t="shared" si="39"/>
        <v>2010.8657589441757</v>
      </c>
      <c r="W26" s="10">
        <f t="shared" si="39"/>
        <v>2035.2673213375967</v>
      </c>
      <c r="X26" s="10">
        <f t="shared" si="39"/>
        <v>2013.3985540621045</v>
      </c>
      <c r="Y26" s="10">
        <f t="shared" ref="Y26" si="40">$AF24*Y21+$AE24*Y22+$AG24</f>
        <v>1825.5349030976424</v>
      </c>
      <c r="AB26" s="10">
        <f t="shared" ref="AB26:AC26" si="41">$AF24*AB21+$AE24*AB22+$AG24</f>
        <v>2083.2079570551923</v>
      </c>
      <c r="AC26" s="10">
        <f t="shared" si="41"/>
        <v>2117.205334205496</v>
      </c>
    </row>
    <row r="27" spans="1:33" x14ac:dyDescent="0.3">
      <c r="A27" s="9" t="s">
        <v>7</v>
      </c>
      <c r="B27" s="9" t="s">
        <v>12</v>
      </c>
      <c r="C27" s="17" t="s">
        <v>85</v>
      </c>
      <c r="D27" s="10" t="s">
        <v>64</v>
      </c>
      <c r="J27" s="47">
        <f t="shared" ref="J27:N27" si="42">SUM(J25:J26)</f>
        <v>2161.3713024969275</v>
      </c>
      <c r="K27" s="47">
        <f t="shared" si="42"/>
        <v>2200.7397471912818</v>
      </c>
      <c r="L27" s="47">
        <f t="shared" si="42"/>
        <v>2150.1721388618826</v>
      </c>
      <c r="M27" s="47">
        <f t="shared" si="42"/>
        <v>2062.9952364345536</v>
      </c>
      <c r="N27" s="47">
        <f t="shared" si="42"/>
        <v>2272.4261753725232</v>
      </c>
      <c r="O27" s="47">
        <f>SUM(O25:O26)</f>
        <v>2544.1633718516277</v>
      </c>
      <c r="P27" s="47">
        <f t="shared" ref="P27" si="43">SUM(P25:P26)</f>
        <v>2216.722534822281</v>
      </c>
      <c r="Q27" s="10">
        <f t="shared" ref="Q27" si="44">SUM(Q25:Q26)</f>
        <v>2359.4236215103947</v>
      </c>
      <c r="R27" s="10">
        <f t="shared" ref="R27" si="45">SUM(R25:R26)</f>
        <v>2298.0328492662275</v>
      </c>
      <c r="S27" s="10">
        <f t="shared" ref="S27" si="46">SUM(S25:S26)</f>
        <v>2271.5235722820325</v>
      </c>
      <c r="T27" s="10">
        <f t="shared" ref="T27" si="47">SUM(T25:T26)</f>
        <v>2155.9052185366536</v>
      </c>
      <c r="U27" s="10">
        <f t="shared" ref="U27" si="48">SUM(U25:U26)</f>
        <v>2366.8142475403465</v>
      </c>
      <c r="V27" s="10">
        <f t="shared" ref="V27" si="49">SUM(V25:V26)</f>
        <v>2373.5266205421112</v>
      </c>
      <c r="W27" s="10">
        <f t="shared" ref="W27" si="50">SUM(W25:W26)</f>
        <v>2397.9281829355323</v>
      </c>
      <c r="X27" s="10">
        <f t="shared" ref="X27:Y27" si="51">SUM(X25:X26)</f>
        <v>2376.05941566004</v>
      </c>
      <c r="Y27" s="10">
        <f t="shared" si="51"/>
        <v>2188.195764695578</v>
      </c>
      <c r="AB27" s="10">
        <f t="shared" ref="AB27" si="52">SUM(AB25:AB26)</f>
        <v>2445.8688186531281</v>
      </c>
      <c r="AC27" s="10">
        <f t="shared" ref="AC27" si="53">SUM(AC25:AC26)</f>
        <v>2479.8661958034318</v>
      </c>
    </row>
    <row r="28" spans="1:33" x14ac:dyDescent="0.3">
      <c r="A28" s="9" t="s">
        <v>7</v>
      </c>
      <c r="B28" s="9" t="s">
        <v>12</v>
      </c>
      <c r="C28" s="17" t="s">
        <v>164</v>
      </c>
      <c r="D28" s="10" t="s">
        <v>64</v>
      </c>
      <c r="J28" s="85">
        <f t="shared" ref="J28:N28" si="54">J27/J23</f>
        <v>1.0255130492014271</v>
      </c>
      <c r="K28" s="85">
        <f t="shared" si="54"/>
        <v>1.0042161748534255</v>
      </c>
      <c r="L28" s="85">
        <f t="shared" si="54"/>
        <v>1.0221878482823306</v>
      </c>
      <c r="M28" s="85">
        <f t="shared" si="54"/>
        <v>0.97050159309147754</v>
      </c>
      <c r="N28" s="85">
        <f t="shared" si="54"/>
        <v>0.96154790986016292</v>
      </c>
      <c r="O28" s="85">
        <f>O27/O23</f>
        <v>1.0158774045087158</v>
      </c>
      <c r="P28" s="85">
        <f t="shared" ref="P28" si="55">P27/P23</f>
        <v>1.0133125502021765</v>
      </c>
      <c r="Q28" s="8">
        <f t="shared" ref="Q28" si="56">Q27/Q23</f>
        <v>0.98700005083053532</v>
      </c>
      <c r="R28" s="8">
        <f t="shared" ref="R28" si="57">R27/R23</f>
        <v>1.004297198350768</v>
      </c>
      <c r="S28" s="8">
        <f t="shared" ref="S28" si="58">S27/S23</f>
        <v>0.99623857387045855</v>
      </c>
      <c r="T28" s="8">
        <f t="shared" ref="T28" si="59">T27/T23</f>
        <v>1.0045688544507028</v>
      </c>
      <c r="U28" s="8">
        <f t="shared" ref="U28" si="60">U27/U23</f>
        <v>0.98057515330834266</v>
      </c>
      <c r="V28" s="8">
        <f t="shared" ref="V28:X28" si="61">V27/V23</f>
        <v>0.99319048478622107</v>
      </c>
      <c r="W28" s="8">
        <f t="shared" si="61"/>
        <v>1.0072366039129383</v>
      </c>
      <c r="X28" s="8">
        <f t="shared" si="61"/>
        <v>1.0021761422497955</v>
      </c>
      <c r="Y28" s="8">
        <f t="shared" ref="Y28" si="62">Y27/Y23</f>
        <v>1.0166306284591979</v>
      </c>
      <c r="AB28" s="10"/>
      <c r="AC28" s="10"/>
    </row>
    <row r="29" spans="1:33" x14ac:dyDescent="0.3">
      <c r="C29" s="17"/>
      <c r="D29" s="10"/>
      <c r="J29" s="85"/>
      <c r="K29" s="85"/>
      <c r="L29" s="85"/>
      <c r="M29" s="85"/>
      <c r="N29" s="85"/>
      <c r="O29" s="85"/>
      <c r="P29" s="85"/>
      <c r="Q29" s="8"/>
      <c r="R29" s="8"/>
      <c r="S29" s="8"/>
      <c r="T29" s="8"/>
      <c r="U29" s="8"/>
      <c r="V29" s="8"/>
      <c r="W29" s="8"/>
      <c r="X29" s="8"/>
      <c r="Y29" s="10"/>
      <c r="AB29" s="10"/>
      <c r="AC29" s="10"/>
    </row>
    <row r="30" spans="1:33" x14ac:dyDescent="0.3">
      <c r="A30" s="9" t="s">
        <v>7</v>
      </c>
      <c r="B30" s="9" t="s">
        <v>13</v>
      </c>
      <c r="C30" s="17" t="s">
        <v>241</v>
      </c>
      <c r="D30" s="17"/>
      <c r="E30" s="2"/>
      <c r="F30" s="2"/>
      <c r="G30" s="2"/>
      <c r="H30" s="2"/>
      <c r="I30" s="2"/>
      <c r="J30" s="9">
        <f>J118</f>
        <v>3873</v>
      </c>
      <c r="K30" s="9">
        <f t="shared" ref="K30:Y30" si="63">K118</f>
        <v>3886</v>
      </c>
      <c r="L30" s="9">
        <f t="shared" si="63"/>
        <v>3723.1</v>
      </c>
      <c r="M30" s="9">
        <f t="shared" si="63"/>
        <v>3440</v>
      </c>
      <c r="N30" s="9">
        <f t="shared" si="63"/>
        <v>3952</v>
      </c>
      <c r="O30" s="9">
        <f t="shared" si="63"/>
        <v>4632</v>
      </c>
      <c r="P30" s="9">
        <f t="shared" si="63"/>
        <v>3655</v>
      </c>
      <c r="Q30" s="9">
        <f t="shared" si="63"/>
        <v>4059</v>
      </c>
      <c r="R30" s="9">
        <f t="shared" si="63"/>
        <v>3798</v>
      </c>
      <c r="S30" s="9">
        <f t="shared" si="63"/>
        <v>3678</v>
      </c>
      <c r="T30" s="9">
        <f t="shared" si="63"/>
        <v>3263</v>
      </c>
      <c r="U30" s="9">
        <f t="shared" si="63"/>
        <v>3817</v>
      </c>
      <c r="V30" s="9">
        <f t="shared" si="63"/>
        <v>3802</v>
      </c>
      <c r="W30" s="9">
        <f t="shared" si="63"/>
        <v>3789</v>
      </c>
      <c r="X30" s="9">
        <f t="shared" si="63"/>
        <v>3629</v>
      </c>
      <c r="Y30" s="9">
        <f t="shared" si="63"/>
        <v>3148</v>
      </c>
      <c r="Z30" s="48"/>
      <c r="AA30" s="48"/>
      <c r="AB30" s="10">
        <v>3568.5604615384582</v>
      </c>
      <c r="AC30" s="10">
        <v>3478.0539230769209</v>
      </c>
      <c r="AD30" s="33"/>
    </row>
    <row r="31" spans="1:33" x14ac:dyDescent="0.3">
      <c r="A31" s="9" t="s">
        <v>7</v>
      </c>
      <c r="B31" s="9" t="s">
        <v>13</v>
      </c>
      <c r="C31" s="17" t="s">
        <v>61</v>
      </c>
      <c r="D31" s="17" t="s">
        <v>62</v>
      </c>
      <c r="E31" s="2"/>
      <c r="F31" s="2"/>
      <c r="G31" s="2"/>
      <c r="H31" s="2"/>
      <c r="I31" s="2"/>
      <c r="J31" s="81">
        <f>J110</f>
        <v>0.187281</v>
      </c>
      <c r="K31" s="81">
        <f t="shared" ref="K31:Y31" si="64">K110</f>
        <v>0.18971100000000002</v>
      </c>
      <c r="L31" s="81">
        <f t="shared" si="64"/>
        <v>0.192522</v>
      </c>
      <c r="M31" s="81">
        <f t="shared" si="64"/>
        <v>0.19539699999999999</v>
      </c>
      <c r="N31" s="81">
        <f t="shared" si="64"/>
        <v>0.19763600000000001</v>
      </c>
      <c r="O31" s="81">
        <f t="shared" si="64"/>
        <v>0.20005500000000001</v>
      </c>
      <c r="P31" s="81">
        <f t="shared" si="64"/>
        <v>0.20300100000000001</v>
      </c>
      <c r="Q31" s="81">
        <f t="shared" si="64"/>
        <v>0.20531200000000002</v>
      </c>
      <c r="R31" s="81">
        <f t="shared" si="64"/>
        <v>0.20809800000000001</v>
      </c>
      <c r="S31" s="81">
        <f t="shared" si="64"/>
        <v>0.21080299999999999</v>
      </c>
      <c r="T31" s="81">
        <f t="shared" si="64"/>
        <v>0.21460499999999999</v>
      </c>
      <c r="U31" s="81">
        <f t="shared" si="64"/>
        <v>0.21934100000000001</v>
      </c>
      <c r="V31" s="81">
        <f t="shared" si="64"/>
        <v>0.22302699999999998</v>
      </c>
      <c r="W31" s="81">
        <f t="shared" si="64"/>
        <v>0.22816600000000001</v>
      </c>
      <c r="X31" s="81">
        <f t="shared" si="64"/>
        <v>0.23377500000000001</v>
      </c>
      <c r="Y31" s="81">
        <f t="shared" si="64"/>
        <v>0.237231</v>
      </c>
      <c r="Z31" s="48"/>
      <c r="AA31" s="48"/>
      <c r="AB31" s="48">
        <v>0.24993299999999999</v>
      </c>
      <c r="AC31" s="48">
        <v>0.26201999999999998</v>
      </c>
      <c r="AD31" s="33"/>
    </row>
    <row r="32" spans="1:33" x14ac:dyDescent="0.3">
      <c r="A32" s="9" t="s">
        <v>7</v>
      </c>
      <c r="B32" s="9" t="s">
        <v>13</v>
      </c>
      <c r="C32" s="17" t="s">
        <v>163</v>
      </c>
      <c r="D32" s="17" t="s">
        <v>64</v>
      </c>
      <c r="E32" s="2"/>
      <c r="F32" s="2"/>
      <c r="G32" s="2"/>
      <c r="H32" s="2"/>
      <c r="I32" s="2"/>
      <c r="J32" s="86">
        <f>J98</f>
        <v>1838.7</v>
      </c>
      <c r="K32" s="86">
        <f t="shared" ref="K32:Y32" si="65">K98</f>
        <v>1859.5</v>
      </c>
      <c r="L32" s="86">
        <f t="shared" si="65"/>
        <v>1818</v>
      </c>
      <c r="M32" s="86">
        <f t="shared" si="65"/>
        <v>1764.7</v>
      </c>
      <c r="N32" s="86">
        <f t="shared" si="65"/>
        <v>1987.2</v>
      </c>
      <c r="O32" s="86">
        <f t="shared" si="65"/>
        <v>2174.4</v>
      </c>
      <c r="P32" s="86">
        <f t="shared" si="65"/>
        <v>1868.5000000000002</v>
      </c>
      <c r="Q32" s="86">
        <f t="shared" si="65"/>
        <v>2015.5</v>
      </c>
      <c r="R32" s="86">
        <f t="shared" si="65"/>
        <v>1887.6000000000001</v>
      </c>
      <c r="S32" s="86">
        <f t="shared" si="65"/>
        <v>1803.8</v>
      </c>
      <c r="T32" s="86">
        <f t="shared" si="65"/>
        <v>1727.1000000000001</v>
      </c>
      <c r="U32" s="86">
        <f t="shared" si="65"/>
        <v>1889.1</v>
      </c>
      <c r="V32" s="86">
        <f t="shared" si="65"/>
        <v>1906.5</v>
      </c>
      <c r="W32" s="86">
        <f t="shared" si="65"/>
        <v>1929.6</v>
      </c>
      <c r="X32" s="86">
        <f t="shared" si="65"/>
        <v>1864.7</v>
      </c>
      <c r="Y32" s="86">
        <f t="shared" si="65"/>
        <v>1734.6</v>
      </c>
      <c r="Z32" s="47"/>
      <c r="AA32" s="47"/>
      <c r="AB32" s="47"/>
      <c r="AC32" s="47"/>
      <c r="AD32" s="10"/>
      <c r="AE32" s="9" t="s">
        <v>82</v>
      </c>
      <c r="AF32" s="9" t="s">
        <v>83</v>
      </c>
      <c r="AG32" s="9" t="s">
        <v>81</v>
      </c>
    </row>
    <row r="33" spans="1:33" x14ac:dyDescent="0.3">
      <c r="A33" s="9" t="s">
        <v>7</v>
      </c>
      <c r="B33" s="9" t="s">
        <v>13</v>
      </c>
      <c r="C33" s="17" t="s">
        <v>74</v>
      </c>
      <c r="D33" s="17" t="s">
        <v>64</v>
      </c>
      <c r="E33" s="2"/>
      <c r="F33" s="2"/>
      <c r="G33" s="2"/>
      <c r="H33" s="2"/>
      <c r="I33" s="2"/>
      <c r="J33" s="49">
        <f t="shared" ref="J33:N33" si="66">J32-J34</f>
        <v>1546.9367651376176</v>
      </c>
      <c r="K33" s="49">
        <f t="shared" si="66"/>
        <v>1567.7367651376176</v>
      </c>
      <c r="L33" s="49">
        <f t="shared" si="66"/>
        <v>1526.2367651376176</v>
      </c>
      <c r="M33" s="49">
        <f t="shared" si="66"/>
        <v>1472.9367651376176</v>
      </c>
      <c r="N33" s="49">
        <f t="shared" si="66"/>
        <v>1695.4367651376176</v>
      </c>
      <c r="O33" s="49">
        <f t="shared" ref="O33:P33" si="67">O32-O34</f>
        <v>1882.6367651376177</v>
      </c>
      <c r="P33" s="49">
        <f t="shared" si="67"/>
        <v>1576.7367651376178</v>
      </c>
      <c r="Q33" s="49">
        <f>Q32-Q34</f>
        <v>1723.7367651376176</v>
      </c>
      <c r="R33" s="49">
        <f t="shared" ref="R33:X33" si="68">R32-R34</f>
        <v>1595.8367651376177</v>
      </c>
      <c r="S33" s="49">
        <f t="shared" si="68"/>
        <v>1512.0367651376175</v>
      </c>
      <c r="T33" s="49">
        <f t="shared" si="68"/>
        <v>1435.3367651376177</v>
      </c>
      <c r="U33" s="49">
        <f t="shared" si="68"/>
        <v>1597.3367651376175</v>
      </c>
      <c r="V33" s="49">
        <f t="shared" si="68"/>
        <v>1614.7367651376176</v>
      </c>
      <c r="W33" s="49">
        <f t="shared" si="68"/>
        <v>1637.8367651376175</v>
      </c>
      <c r="X33" s="49">
        <f t="shared" si="68"/>
        <v>1572.9367651376176</v>
      </c>
      <c r="Y33" s="49">
        <f t="shared" ref="Y33" si="69">Y32-Y34</f>
        <v>1442.8367651376175</v>
      </c>
      <c r="Z33" s="47"/>
      <c r="AA33" s="47"/>
      <c r="AB33" s="47"/>
      <c r="AC33" s="47"/>
      <c r="AD33" s="10"/>
      <c r="AE33" s="9">
        <f t="array" ref="AE33:AG33">LINEST(J33:Y33,J30:Y31)</f>
        <v>1830.4504355986769</v>
      </c>
      <c r="AF33" s="9">
        <v>0.34843685595375457</v>
      </c>
      <c r="AG33" s="9">
        <v>-104.98428974453196</v>
      </c>
    </row>
    <row r="34" spans="1:33" x14ac:dyDescent="0.3">
      <c r="A34" s="9" t="s">
        <v>7</v>
      </c>
      <c r="B34" s="9" t="s">
        <v>13</v>
      </c>
      <c r="C34" s="17" t="s">
        <v>76</v>
      </c>
      <c r="D34" s="10" t="s">
        <v>64</v>
      </c>
      <c r="J34" s="10">
        <f t="shared" ref="J34:N34" si="70">$AB$34</f>
        <v>291.76323486238238</v>
      </c>
      <c r="K34" s="10">
        <f t="shared" si="70"/>
        <v>291.76323486238238</v>
      </c>
      <c r="L34" s="10">
        <f t="shared" si="70"/>
        <v>291.76323486238238</v>
      </c>
      <c r="M34" s="10">
        <f t="shared" si="70"/>
        <v>291.76323486238238</v>
      </c>
      <c r="N34" s="10">
        <f t="shared" si="70"/>
        <v>291.76323486238238</v>
      </c>
      <c r="O34" s="10">
        <f t="shared" ref="O34:Y34" si="71">$AB$34</f>
        <v>291.76323486238238</v>
      </c>
      <c r="P34" s="10">
        <f t="shared" si="71"/>
        <v>291.76323486238238</v>
      </c>
      <c r="Q34" s="10">
        <f t="shared" si="71"/>
        <v>291.76323486238238</v>
      </c>
      <c r="R34" s="10">
        <f t="shared" si="71"/>
        <v>291.76323486238238</v>
      </c>
      <c r="S34" s="10">
        <f t="shared" si="71"/>
        <v>291.76323486238238</v>
      </c>
      <c r="T34" s="10">
        <f t="shared" si="71"/>
        <v>291.76323486238238</v>
      </c>
      <c r="U34" s="10">
        <f t="shared" si="71"/>
        <v>291.76323486238238</v>
      </c>
      <c r="V34" s="10">
        <f t="shared" si="71"/>
        <v>291.76323486238238</v>
      </c>
      <c r="W34" s="10">
        <f t="shared" si="71"/>
        <v>291.76323486238238</v>
      </c>
      <c r="X34" s="10">
        <f t="shared" si="71"/>
        <v>291.76323486238238</v>
      </c>
      <c r="Y34" s="10">
        <f t="shared" si="71"/>
        <v>291.76323486238238</v>
      </c>
      <c r="AB34" s="10">
        <f>AB31/AB3*AB5</f>
        <v>291.76323486238238</v>
      </c>
      <c r="AC34" s="10">
        <f>AB34</f>
        <v>291.76323486238238</v>
      </c>
    </row>
    <row r="35" spans="1:33" x14ac:dyDescent="0.3">
      <c r="A35" s="9" t="s">
        <v>7</v>
      </c>
      <c r="B35" s="9" t="s">
        <v>13</v>
      </c>
      <c r="C35" s="17" t="s">
        <v>206</v>
      </c>
      <c r="D35" s="10" t="s">
        <v>64</v>
      </c>
      <c r="J35" s="10">
        <f t="shared" ref="J35:N35" si="72">$AF33*J30+$AE33*J31+$AG33</f>
        <v>1587.3202413937154</v>
      </c>
      <c r="K35" s="10">
        <f t="shared" si="72"/>
        <v>1596.2979150796191</v>
      </c>
      <c r="L35" s="10">
        <f t="shared" si="72"/>
        <v>1544.6829474192202</v>
      </c>
      <c r="M35" s="10">
        <f t="shared" si="72"/>
        <v>1451.3030185010584</v>
      </c>
      <c r="N35" s="10">
        <f t="shared" si="72"/>
        <v>1633.8010672746861</v>
      </c>
      <c r="O35" s="10">
        <f>$AF33*O30+$AE33*O31+$AG33</f>
        <v>1875.1659889269527</v>
      </c>
      <c r="P35" s="10">
        <f>$AF33*P30+$AE33*P31+$AG33</f>
        <v>1540.1356876434079</v>
      </c>
      <c r="Q35" s="10">
        <f t="shared" ref="Q35:X35" si="73">$AF33*Q30+$AE33*Q31+$AG33</f>
        <v>1685.1343484053934</v>
      </c>
      <c r="R35" s="10">
        <f t="shared" si="73"/>
        <v>1599.2919639150414</v>
      </c>
      <c r="S35" s="10">
        <f t="shared" si="73"/>
        <v>1562.4309096288853</v>
      </c>
      <c r="T35" s="10">
        <f t="shared" si="73"/>
        <v>1424.7889869642233</v>
      </c>
      <c r="U35" s="10">
        <f t="shared" si="73"/>
        <v>1626.4920184255986</v>
      </c>
      <c r="V35" s="10">
        <f t="shared" si="73"/>
        <v>1628.0125058919091</v>
      </c>
      <c r="W35" s="10">
        <f t="shared" si="73"/>
        <v>1632.889511553052</v>
      </c>
      <c r="X35" s="10">
        <f t="shared" si="73"/>
        <v>1587.406611093724</v>
      </c>
      <c r="Y35" s="10">
        <f t="shared" ref="Y35" si="74">$AF33*Y30+$AE33*Y31+$AG33</f>
        <v>1426.1345200853973</v>
      </c>
      <c r="AB35" s="10">
        <f t="shared" ref="AB35:AC35" si="75">$AF33*AB30+$AE33*AB31+$AG33</f>
        <v>1595.9236664752918</v>
      </c>
      <c r="AC35" s="10">
        <f t="shared" si="75"/>
        <v>1586.5125071855775</v>
      </c>
    </row>
    <row r="36" spans="1:33" x14ac:dyDescent="0.3">
      <c r="A36" s="9" t="s">
        <v>7</v>
      </c>
      <c r="B36" s="9" t="s">
        <v>13</v>
      </c>
      <c r="C36" s="17" t="s">
        <v>85</v>
      </c>
      <c r="D36" s="10" t="s">
        <v>64</v>
      </c>
      <c r="J36" s="10">
        <f t="shared" ref="J36:N36" si="76">SUM(J34:J35)</f>
        <v>1879.0834762560978</v>
      </c>
      <c r="K36" s="10">
        <f t="shared" si="76"/>
        <v>1888.0611499420015</v>
      </c>
      <c r="L36" s="10">
        <f t="shared" si="76"/>
        <v>1836.4461822816027</v>
      </c>
      <c r="M36" s="10">
        <f t="shared" si="76"/>
        <v>1743.0662533634409</v>
      </c>
      <c r="N36" s="10">
        <f t="shared" si="76"/>
        <v>1925.5643021370686</v>
      </c>
      <c r="O36" s="10">
        <f>SUM(O34:O35)</f>
        <v>2166.9292237893351</v>
      </c>
      <c r="P36" s="10">
        <f t="shared" ref="P36" si="77">SUM(P34:P35)</f>
        <v>1831.8989225057903</v>
      </c>
      <c r="Q36" s="10">
        <f t="shared" ref="Q36" si="78">SUM(Q34:Q35)</f>
        <v>1976.8975832677759</v>
      </c>
      <c r="R36" s="10">
        <f t="shared" ref="R36" si="79">SUM(R34:R35)</f>
        <v>1891.0551987774238</v>
      </c>
      <c r="S36" s="10">
        <f t="shared" ref="S36" si="80">SUM(S34:S35)</f>
        <v>1854.1941444912677</v>
      </c>
      <c r="T36" s="10">
        <f t="shared" ref="T36" si="81">SUM(T34:T35)</f>
        <v>1716.5522218266058</v>
      </c>
      <c r="U36" s="10">
        <f t="shared" ref="U36" si="82">SUM(U34:U35)</f>
        <v>1918.2552532879811</v>
      </c>
      <c r="V36" s="10">
        <f t="shared" ref="V36" si="83">SUM(V34:V35)</f>
        <v>1919.7757407542915</v>
      </c>
      <c r="W36" s="10">
        <f t="shared" ref="W36" si="84">SUM(W34:W35)</f>
        <v>1924.6527464154344</v>
      </c>
      <c r="X36" s="10">
        <f t="shared" ref="X36:Y36" si="85">SUM(X34:X35)</f>
        <v>1879.1698459561064</v>
      </c>
      <c r="Y36" s="10">
        <f t="shared" si="85"/>
        <v>1717.8977549477797</v>
      </c>
      <c r="AB36" s="10">
        <f t="shared" ref="AB36" si="86">SUM(AB34:AB35)</f>
        <v>1887.6869013376743</v>
      </c>
      <c r="AC36" s="10">
        <f t="shared" ref="AC36" si="87">SUM(AC34:AC35)</f>
        <v>1878.27574204796</v>
      </c>
    </row>
    <row r="37" spans="1:33" x14ac:dyDescent="0.3">
      <c r="A37" s="9" t="s">
        <v>7</v>
      </c>
      <c r="B37" s="9" t="s">
        <v>13</v>
      </c>
      <c r="C37" s="17" t="s">
        <v>164</v>
      </c>
      <c r="D37" s="10" t="s">
        <v>64</v>
      </c>
      <c r="J37" s="8">
        <f t="shared" ref="J37:N37" si="88">J36/J32</f>
        <v>1.021963058822047</v>
      </c>
      <c r="K37" s="8">
        <f t="shared" si="88"/>
        <v>1.0153595858790005</v>
      </c>
      <c r="L37" s="8">
        <f t="shared" si="88"/>
        <v>1.010146414896371</v>
      </c>
      <c r="M37" s="8">
        <f t="shared" si="88"/>
        <v>0.98774083604206997</v>
      </c>
      <c r="N37" s="8">
        <f t="shared" si="88"/>
        <v>0.9689836464055297</v>
      </c>
      <c r="O37" s="8">
        <f>O36/O32</f>
        <v>0.9965642125594808</v>
      </c>
      <c r="P37" s="8">
        <f t="shared" ref="P37" si="89">P36/P32</f>
        <v>0.98041151860090447</v>
      </c>
      <c r="Q37" s="8">
        <f t="shared" ref="Q37" si="90">Q36/Q32</f>
        <v>0.98084722563521498</v>
      </c>
      <c r="R37" s="8">
        <f t="shared" ref="R37" si="91">R36/R32</f>
        <v>1.001830471910057</v>
      </c>
      <c r="S37" s="8">
        <f t="shared" ref="S37" si="92">S36/S32</f>
        <v>1.027937767208819</v>
      </c>
      <c r="T37" s="8">
        <f t="shared" ref="T37" si="93">T36/T32</f>
        <v>0.99389278086191046</v>
      </c>
      <c r="U37" s="8">
        <f t="shared" ref="U37" si="94">U36/U32</f>
        <v>1.0154334091831989</v>
      </c>
      <c r="V37" s="8">
        <f t="shared" ref="V37:Y37" si="95">V36/V32</f>
        <v>1.0069634097845745</v>
      </c>
      <c r="W37" s="8">
        <f t="shared" si="95"/>
        <v>0.99743612480070198</v>
      </c>
      <c r="X37" s="8">
        <f t="shared" si="95"/>
        <v>1.0077598787773403</v>
      </c>
      <c r="Y37" s="8">
        <f t="shared" si="95"/>
        <v>0.99037112587788534</v>
      </c>
      <c r="AB37" s="10"/>
      <c r="AC37" s="10"/>
    </row>
    <row r="38" spans="1:33" x14ac:dyDescent="0.3">
      <c r="C38" s="17"/>
      <c r="D38" s="10"/>
      <c r="J38" s="50"/>
      <c r="K38" s="50"/>
      <c r="L38" s="50"/>
      <c r="M38" s="50"/>
      <c r="N38" s="50"/>
      <c r="O38" s="8"/>
      <c r="P38" s="8"/>
      <c r="Q38" s="8"/>
      <c r="R38" s="8"/>
      <c r="S38" s="8"/>
      <c r="T38" s="8"/>
      <c r="U38" s="8"/>
      <c r="V38" s="8"/>
      <c r="W38" s="8"/>
      <c r="X38" s="8"/>
      <c r="Y38" s="10"/>
      <c r="AB38" s="10"/>
      <c r="AC38" s="10"/>
    </row>
    <row r="39" spans="1:33" x14ac:dyDescent="0.3">
      <c r="A39" s="9" t="s">
        <v>7</v>
      </c>
      <c r="B39" s="9" t="s">
        <v>8</v>
      </c>
      <c r="C39" s="17" t="s">
        <v>241</v>
      </c>
      <c r="D39" s="17"/>
      <c r="E39" s="2"/>
      <c r="F39" s="2"/>
      <c r="G39" s="2"/>
      <c r="H39" s="2"/>
      <c r="I39" s="2"/>
      <c r="J39" s="9">
        <f>J120</f>
        <v>3847</v>
      </c>
      <c r="K39" s="9">
        <f t="shared" ref="K39:Y39" si="96">K120</f>
        <v>3709</v>
      </c>
      <c r="L39" s="9">
        <f t="shared" si="96"/>
        <v>3714.1</v>
      </c>
      <c r="M39" s="9">
        <f t="shared" si="96"/>
        <v>3528</v>
      </c>
      <c r="N39" s="9">
        <f t="shared" si="96"/>
        <v>4028</v>
      </c>
      <c r="O39" s="9">
        <f t="shared" si="96"/>
        <v>4656</v>
      </c>
      <c r="P39" s="9">
        <f t="shared" si="96"/>
        <v>3629</v>
      </c>
      <c r="Q39" s="9">
        <f t="shared" si="96"/>
        <v>4019</v>
      </c>
      <c r="R39" s="9">
        <f t="shared" si="96"/>
        <v>3769</v>
      </c>
      <c r="S39" s="9">
        <f t="shared" si="96"/>
        <v>3592</v>
      </c>
      <c r="T39" s="9">
        <f t="shared" si="96"/>
        <v>3284</v>
      </c>
      <c r="U39" s="9">
        <f t="shared" si="96"/>
        <v>3772</v>
      </c>
      <c r="V39" s="9">
        <f t="shared" si="96"/>
        <v>3725</v>
      </c>
      <c r="W39" s="9">
        <f t="shared" si="96"/>
        <v>3737</v>
      </c>
      <c r="X39" s="9">
        <f t="shared" si="96"/>
        <v>3614</v>
      </c>
      <c r="Y39" s="9">
        <f t="shared" si="96"/>
        <v>3180</v>
      </c>
      <c r="Z39" s="48"/>
      <c r="AA39" s="48"/>
      <c r="AB39" s="10">
        <v>3565.447230769234</v>
      </c>
      <c r="AC39" s="10">
        <v>3485.491461538466</v>
      </c>
      <c r="AD39" s="33"/>
    </row>
    <row r="40" spans="1:33" x14ac:dyDescent="0.3">
      <c r="A40" s="9" t="s">
        <v>7</v>
      </c>
      <c r="B40" s="9" t="s">
        <v>8</v>
      </c>
      <c r="C40" s="17" t="s">
        <v>61</v>
      </c>
      <c r="D40" s="17" t="s">
        <v>62</v>
      </c>
      <c r="E40" s="2"/>
      <c r="F40" s="2"/>
      <c r="G40" s="2"/>
      <c r="H40" s="2"/>
      <c r="I40" s="2"/>
      <c r="J40" s="81">
        <f>J111</f>
        <v>0.174868</v>
      </c>
      <c r="K40" s="81">
        <f t="shared" ref="K40:Y40" si="97">K111</f>
        <v>0.17535400000000001</v>
      </c>
      <c r="L40" s="81">
        <f t="shared" si="97"/>
        <v>0.175286</v>
      </c>
      <c r="M40" s="81">
        <f t="shared" si="97"/>
        <v>0.17558199999999999</v>
      </c>
      <c r="N40" s="81">
        <f t="shared" si="97"/>
        <v>0.17608699999999999</v>
      </c>
      <c r="O40" s="81">
        <f t="shared" si="97"/>
        <v>0.17732599999999998</v>
      </c>
      <c r="P40" s="81">
        <f t="shared" si="97"/>
        <v>0.17862999999999998</v>
      </c>
      <c r="Q40" s="81">
        <f t="shared" si="97"/>
        <v>0.180225</v>
      </c>
      <c r="R40" s="81">
        <f t="shared" si="97"/>
        <v>0.18207200000000001</v>
      </c>
      <c r="S40" s="81">
        <f t="shared" si="97"/>
        <v>0.18382400000000002</v>
      </c>
      <c r="T40" s="81">
        <f t="shared" si="97"/>
        <v>0.18590799999999999</v>
      </c>
      <c r="U40" s="81">
        <f t="shared" si="97"/>
        <v>0.18760400000000002</v>
      </c>
      <c r="V40" s="81">
        <f t="shared" si="97"/>
        <v>0.189669</v>
      </c>
      <c r="W40" s="81">
        <f t="shared" si="97"/>
        <v>0.191331</v>
      </c>
      <c r="X40" s="81">
        <f t="shared" si="97"/>
        <v>0.19296199999999999</v>
      </c>
      <c r="Y40" s="81">
        <f t="shared" si="97"/>
        <v>0.19439100000000001</v>
      </c>
      <c r="Z40" s="48"/>
      <c r="AA40" s="48"/>
      <c r="AB40" s="48">
        <v>0.20144399999999998</v>
      </c>
      <c r="AC40" s="48">
        <v>0.20764500000000002</v>
      </c>
      <c r="AD40" s="33"/>
    </row>
    <row r="41" spans="1:33" x14ac:dyDescent="0.3">
      <c r="A41" s="9" t="s">
        <v>7</v>
      </c>
      <c r="B41" s="9" t="s">
        <v>8</v>
      </c>
      <c r="C41" s="17" t="s">
        <v>163</v>
      </c>
      <c r="D41" s="17" t="s">
        <v>64</v>
      </c>
      <c r="E41" s="2"/>
      <c r="F41" s="2"/>
      <c r="G41" s="2"/>
      <c r="H41" s="2"/>
      <c r="I41" s="2"/>
      <c r="J41" s="86">
        <f>J99</f>
        <v>1726.1</v>
      </c>
      <c r="K41" s="86">
        <f t="shared" ref="K41:Y41" si="98">K99</f>
        <v>1740</v>
      </c>
      <c r="L41" s="86">
        <f t="shared" si="98"/>
        <v>1744</v>
      </c>
      <c r="M41" s="86">
        <f t="shared" si="98"/>
        <v>1683.5</v>
      </c>
      <c r="N41" s="86">
        <f t="shared" si="98"/>
        <v>1850</v>
      </c>
      <c r="O41" s="86">
        <f t="shared" si="98"/>
        <v>2046.7</v>
      </c>
      <c r="P41" s="86">
        <f t="shared" si="98"/>
        <v>1762.1</v>
      </c>
      <c r="Q41" s="86">
        <f t="shared" si="98"/>
        <v>1944.6</v>
      </c>
      <c r="R41" s="86">
        <f t="shared" si="98"/>
        <v>2169.4</v>
      </c>
      <c r="S41" s="86">
        <f t="shared" si="98"/>
        <v>2135.8000000000002</v>
      </c>
      <c r="T41" s="86">
        <f t="shared" si="98"/>
        <v>2008.1000000000001</v>
      </c>
      <c r="U41" s="86">
        <f t="shared" si="98"/>
        <v>2243</v>
      </c>
      <c r="V41" s="86">
        <f t="shared" si="98"/>
        <v>2164.1</v>
      </c>
      <c r="W41" s="86">
        <f t="shared" si="98"/>
        <v>2165.8000000000002</v>
      </c>
      <c r="X41" s="86">
        <f t="shared" si="98"/>
        <v>2084.8000000000002</v>
      </c>
      <c r="Y41" s="86">
        <f t="shared" si="98"/>
        <v>1884</v>
      </c>
      <c r="Z41" s="47"/>
      <c r="AA41" s="47"/>
      <c r="AB41" s="47"/>
      <c r="AC41" s="47"/>
      <c r="AD41" s="10"/>
      <c r="AE41" s="9" t="s">
        <v>82</v>
      </c>
      <c r="AF41" s="9" t="s">
        <v>83</v>
      </c>
      <c r="AG41" s="9" t="s">
        <v>81</v>
      </c>
    </row>
    <row r="42" spans="1:33" x14ac:dyDescent="0.3">
      <c r="A42" s="9" t="s">
        <v>7</v>
      </c>
      <c r="B42" s="9" t="s">
        <v>8</v>
      </c>
      <c r="C42" s="17" t="s">
        <v>74</v>
      </c>
      <c r="D42" s="17" t="s">
        <v>64</v>
      </c>
      <c r="E42" s="2"/>
      <c r="F42" s="2"/>
      <c r="G42" s="2"/>
      <c r="H42" s="2"/>
      <c r="I42" s="2"/>
      <c r="J42" s="49">
        <f t="shared" ref="J42:N42" si="99">J41-J43</f>
        <v>1490.9411650977752</v>
      </c>
      <c r="K42" s="49">
        <f t="shared" si="99"/>
        <v>1504.8411650977753</v>
      </c>
      <c r="L42" s="49">
        <f t="shared" si="99"/>
        <v>1508.8411650977753</v>
      </c>
      <c r="M42" s="49">
        <f t="shared" si="99"/>
        <v>1448.3411650977753</v>
      </c>
      <c r="N42" s="49">
        <f t="shared" si="99"/>
        <v>1614.8411650977753</v>
      </c>
      <c r="O42" s="49">
        <f t="shared" ref="O42:P42" si="100">O41-O43</f>
        <v>1811.5411650977753</v>
      </c>
      <c r="P42" s="49">
        <f t="shared" si="100"/>
        <v>1526.9411650977752</v>
      </c>
      <c r="Q42" s="49">
        <f>Q41-Q43</f>
        <v>1709.4411650977752</v>
      </c>
      <c r="R42" s="49">
        <f t="shared" ref="R42:X42" si="101">R41-R43</f>
        <v>1934.2411650977754</v>
      </c>
      <c r="S42" s="49">
        <f t="shared" si="101"/>
        <v>1900.6411650977755</v>
      </c>
      <c r="T42" s="49">
        <f t="shared" si="101"/>
        <v>1772.9411650977754</v>
      </c>
      <c r="U42" s="49">
        <f t="shared" si="101"/>
        <v>2007.8411650977753</v>
      </c>
      <c r="V42" s="49">
        <f t="shared" si="101"/>
        <v>1928.9411650977752</v>
      </c>
      <c r="W42" s="49">
        <f t="shared" si="101"/>
        <v>1930.6411650977755</v>
      </c>
      <c r="X42" s="49">
        <f t="shared" si="101"/>
        <v>1849.6411650977755</v>
      </c>
      <c r="Y42" s="49">
        <f t="shared" ref="Y42" si="102">Y41-Y43</f>
        <v>1648.8411650977753</v>
      </c>
      <c r="Z42" s="47"/>
      <c r="AA42" s="47"/>
      <c r="AB42" s="47"/>
      <c r="AC42" s="47"/>
      <c r="AD42" s="10"/>
      <c r="AE42" s="9">
        <f t="array" ref="AE42:AG42">LINEST(J42:Y42,J39:Y40)</f>
        <v>25019.859857250416</v>
      </c>
      <c r="AF42" s="9">
        <v>0.29914149358456049</v>
      </c>
      <c r="AG42" s="9">
        <v>-3961.6323762358688</v>
      </c>
    </row>
    <row r="43" spans="1:33" x14ac:dyDescent="0.3">
      <c r="A43" s="9" t="s">
        <v>7</v>
      </c>
      <c r="B43" s="9" t="s">
        <v>8</v>
      </c>
      <c r="C43" s="17" t="s">
        <v>76</v>
      </c>
      <c r="D43" s="10" t="s">
        <v>64</v>
      </c>
      <c r="J43" s="10">
        <f t="shared" ref="J43:N43" si="103">$AB$43</f>
        <v>235.15883490222481</v>
      </c>
      <c r="K43" s="10">
        <f t="shared" si="103"/>
        <v>235.15883490222481</v>
      </c>
      <c r="L43" s="10">
        <f t="shared" si="103"/>
        <v>235.15883490222481</v>
      </c>
      <c r="M43" s="10">
        <f t="shared" si="103"/>
        <v>235.15883490222481</v>
      </c>
      <c r="N43" s="10">
        <f t="shared" si="103"/>
        <v>235.15883490222481</v>
      </c>
      <c r="O43" s="10">
        <f t="shared" ref="O43:W43" si="104">$AB$43</f>
        <v>235.15883490222481</v>
      </c>
      <c r="P43" s="10">
        <f t="shared" si="104"/>
        <v>235.15883490222481</v>
      </c>
      <c r="Q43" s="10">
        <f t="shared" si="104"/>
        <v>235.15883490222481</v>
      </c>
      <c r="R43" s="10">
        <f t="shared" si="104"/>
        <v>235.15883490222481</v>
      </c>
      <c r="S43" s="10">
        <f t="shared" si="104"/>
        <v>235.15883490222481</v>
      </c>
      <c r="T43" s="10">
        <f t="shared" si="104"/>
        <v>235.15883490222481</v>
      </c>
      <c r="U43" s="10">
        <f t="shared" si="104"/>
        <v>235.15883490222481</v>
      </c>
      <c r="V43" s="10">
        <f t="shared" si="104"/>
        <v>235.15883490222481</v>
      </c>
      <c r="W43" s="10">
        <f t="shared" si="104"/>
        <v>235.15883490222481</v>
      </c>
      <c r="X43" s="10">
        <f>$AB$43</f>
        <v>235.15883490222481</v>
      </c>
      <c r="Y43" s="10">
        <f>$AB$43</f>
        <v>235.15883490222481</v>
      </c>
      <c r="AB43" s="10">
        <f>$AB40/$AB$3*$AB$5</f>
        <v>235.15883490222481</v>
      </c>
      <c r="AC43" s="10">
        <f>$AB40/$AB$3*$AB$5</f>
        <v>235.15883490222481</v>
      </c>
    </row>
    <row r="44" spans="1:33" x14ac:dyDescent="0.3">
      <c r="A44" s="9" t="s">
        <v>7</v>
      </c>
      <c r="B44" s="9" t="s">
        <v>8</v>
      </c>
      <c r="C44" s="17" t="s">
        <v>206</v>
      </c>
      <c r="D44" s="10" t="s">
        <v>64</v>
      </c>
      <c r="J44" s="10">
        <f t="shared" ref="J44:N44" si="105">$AF42*J39+$AE42*J40+$AG42</f>
        <v>1564.3378031016009</v>
      </c>
      <c r="K44" s="10">
        <f t="shared" si="105"/>
        <v>1535.2159288775556</v>
      </c>
      <c r="L44" s="10">
        <f t="shared" si="105"/>
        <v>1535.0402000245431</v>
      </c>
      <c r="M44" s="10">
        <f t="shared" si="105"/>
        <v>1486.7758465862025</v>
      </c>
      <c r="N44" s="10">
        <f t="shared" si="105"/>
        <v>1648.9816226063949</v>
      </c>
      <c r="O44" s="10">
        <f>$AF42*O39+$AE42*O40+$AG42</f>
        <v>1867.8420869406318</v>
      </c>
      <c r="P44" s="10">
        <f>$AF42*P39+$AE42*P40+$AG42</f>
        <v>1593.2496702831431</v>
      </c>
      <c r="Q44" s="10">
        <f t="shared" ref="Q44:X44" si="106">$AF42*Q39+$AE42*Q40+$AG42</f>
        <v>1749.821529253436</v>
      </c>
      <c r="R44" s="10">
        <f t="shared" si="106"/>
        <v>1721.2478370136369</v>
      </c>
      <c r="S44" s="10">
        <f t="shared" si="106"/>
        <v>1712.1345871190733</v>
      </c>
      <c r="T44" s="10">
        <f t="shared" si="106"/>
        <v>1672.1403950375379</v>
      </c>
      <c r="U44" s="10">
        <f t="shared" si="106"/>
        <v>1860.5551262247009</v>
      </c>
      <c r="V44" s="10">
        <f t="shared" si="106"/>
        <v>1898.1614866314476</v>
      </c>
      <c r="W44" s="10">
        <f t="shared" si="106"/>
        <v>1943.3341916372128</v>
      </c>
      <c r="X44" s="10">
        <f t="shared" si="106"/>
        <v>1947.3471793534873</v>
      </c>
      <c r="Y44" s="10">
        <f t="shared" ref="Y44" si="107">$AF42*Y39+$AE42*Y40+$AG42</f>
        <v>1853.2731508737998</v>
      </c>
      <c r="AB44" s="10">
        <f t="shared" ref="AB44:AC44" si="108">$AF42*AB39+$AE42*AB40+$AG42</f>
        <v>2145.0414827573277</v>
      </c>
      <c r="AC44" s="10">
        <f t="shared" si="108"/>
        <v>2276.2715455037442</v>
      </c>
    </row>
    <row r="45" spans="1:33" x14ac:dyDescent="0.3">
      <c r="A45" s="9" t="s">
        <v>7</v>
      </c>
      <c r="B45" s="9" t="s">
        <v>8</v>
      </c>
      <c r="C45" s="17" t="s">
        <v>85</v>
      </c>
      <c r="D45" s="10" t="s">
        <v>64</v>
      </c>
      <c r="J45" s="10">
        <f t="shared" ref="J45:N45" si="109">SUM(J43:J44)</f>
        <v>1799.4966380038256</v>
      </c>
      <c r="K45" s="10">
        <f t="shared" si="109"/>
        <v>1770.3747637797803</v>
      </c>
      <c r="L45" s="10">
        <f t="shared" si="109"/>
        <v>1770.1990349267678</v>
      </c>
      <c r="M45" s="10">
        <f t="shared" si="109"/>
        <v>1721.9346814884273</v>
      </c>
      <c r="N45" s="10">
        <f t="shared" si="109"/>
        <v>1884.1404575086196</v>
      </c>
      <c r="O45" s="10">
        <f>SUM(O43:O44)</f>
        <v>2103.0009218428568</v>
      </c>
      <c r="P45" s="10">
        <f t="shared" ref="P45" si="110">SUM(P43:P44)</f>
        <v>1828.4085051853679</v>
      </c>
      <c r="Q45" s="10">
        <f t="shared" ref="Q45" si="111">SUM(Q43:Q44)</f>
        <v>1984.9803641556607</v>
      </c>
      <c r="R45" s="10">
        <f t="shared" ref="R45" si="112">SUM(R43:R44)</f>
        <v>1956.4066719158616</v>
      </c>
      <c r="S45" s="10">
        <f t="shared" ref="S45" si="113">SUM(S43:S44)</f>
        <v>1947.2934220212981</v>
      </c>
      <c r="T45" s="10">
        <f t="shared" ref="T45" si="114">SUM(T43:T44)</f>
        <v>1907.2992299397627</v>
      </c>
      <c r="U45" s="10">
        <f t="shared" ref="U45" si="115">SUM(U43:U44)</f>
        <v>2095.7139611269258</v>
      </c>
      <c r="V45" s="10">
        <f t="shared" ref="V45" si="116">SUM(V43:V44)</f>
        <v>2133.3203215336725</v>
      </c>
      <c r="W45" s="10">
        <f t="shared" ref="W45" si="117">SUM(W43:W44)</f>
        <v>2178.4930265394378</v>
      </c>
      <c r="X45" s="10">
        <f t="shared" ref="X45:Y45" si="118">SUM(X43:X44)</f>
        <v>2182.5060142557122</v>
      </c>
      <c r="Y45" s="10">
        <f t="shared" si="118"/>
        <v>2088.4319857760247</v>
      </c>
      <c r="AB45" s="10">
        <f t="shared" ref="AB45" si="119">SUM(AB43:AB44)</f>
        <v>2380.2003176595526</v>
      </c>
      <c r="AC45" s="10">
        <f t="shared" ref="AC45" si="120">SUM(AC43:AC44)</f>
        <v>2511.4303804059691</v>
      </c>
    </row>
    <row r="46" spans="1:33" x14ac:dyDescent="0.3">
      <c r="A46" s="9" t="s">
        <v>7</v>
      </c>
      <c r="B46" s="9" t="s">
        <v>8</v>
      </c>
      <c r="C46" s="17" t="s">
        <v>164</v>
      </c>
      <c r="D46" s="10" t="s">
        <v>64</v>
      </c>
      <c r="J46" s="8">
        <f t="shared" ref="J46:N46" si="121">J45/J41</f>
        <v>1.0425216603926921</v>
      </c>
      <c r="K46" s="8">
        <f t="shared" si="121"/>
        <v>1.0174567607929772</v>
      </c>
      <c r="L46" s="8">
        <f t="shared" si="121"/>
        <v>1.0150223824121376</v>
      </c>
      <c r="M46" s="8">
        <f t="shared" si="121"/>
        <v>1.0228302236343494</v>
      </c>
      <c r="N46" s="8">
        <f t="shared" si="121"/>
        <v>1.0184543013560106</v>
      </c>
      <c r="O46" s="8">
        <f>O45/O41</f>
        <v>1.0275081457188922</v>
      </c>
      <c r="P46" s="8">
        <f t="shared" ref="P46" si="122">P45/P41</f>
        <v>1.0376303871433903</v>
      </c>
      <c r="Q46" s="8">
        <f t="shared" ref="Q46" si="123">Q45/Q41</f>
        <v>1.0207653831922558</v>
      </c>
      <c r="R46" s="8">
        <f t="shared" ref="R46" si="124">R45/R41</f>
        <v>0.9018192458356511</v>
      </c>
      <c r="S46" s="8">
        <f t="shared" ref="S46" si="125">S45/S41</f>
        <v>0.9117395926684605</v>
      </c>
      <c r="T46" s="8">
        <f t="shared" ref="T46" si="126">T45/T41</f>
        <v>0.94980291317153653</v>
      </c>
      <c r="U46" s="8">
        <f t="shared" ref="U46" si="127">U45/U41</f>
        <v>0.934335247938888</v>
      </c>
      <c r="V46" s="8">
        <f t="shared" ref="V46:X46" si="128">V45/V41</f>
        <v>0.98577714594227284</v>
      </c>
      <c r="W46" s="8">
        <f t="shared" si="128"/>
        <v>1.0058606642069616</v>
      </c>
      <c r="X46" s="8">
        <f t="shared" si="128"/>
        <v>1.046865893253891</v>
      </c>
      <c r="Y46" s="8">
        <f t="shared" ref="Y46" si="129">Y45/Y41</f>
        <v>1.1085095465902466</v>
      </c>
      <c r="AB46" s="10"/>
      <c r="AC46" s="10"/>
    </row>
    <row r="47" spans="1:33" x14ac:dyDescent="0.3">
      <c r="C47" s="17"/>
      <c r="D47" s="10"/>
      <c r="J47" s="50"/>
      <c r="K47" s="50"/>
      <c r="L47" s="50"/>
      <c r="M47" s="50"/>
      <c r="N47" s="50"/>
      <c r="O47" s="8"/>
      <c r="P47" s="8"/>
      <c r="Q47" s="8"/>
      <c r="R47" s="8"/>
      <c r="S47" s="8"/>
      <c r="T47" s="8"/>
      <c r="U47" s="8"/>
      <c r="V47" s="8"/>
      <c r="W47" s="10"/>
      <c r="X47" s="10"/>
      <c r="Y47" s="10"/>
      <c r="AB47" s="10"/>
      <c r="AC47" s="10"/>
    </row>
    <row r="48" spans="1:33" x14ac:dyDescent="0.3">
      <c r="A48" s="9" t="s">
        <v>7</v>
      </c>
      <c r="B48" s="9" t="s">
        <v>9</v>
      </c>
      <c r="C48" s="17" t="s">
        <v>241</v>
      </c>
      <c r="D48" s="10"/>
      <c r="J48" s="9">
        <f>J121</f>
        <v>4142</v>
      </c>
      <c r="K48" s="9">
        <f t="shared" ref="K48:Y48" si="130">K121</f>
        <v>4119</v>
      </c>
      <c r="L48" s="9">
        <f t="shared" si="130"/>
        <v>4062.3</v>
      </c>
      <c r="M48" s="9">
        <f t="shared" si="130"/>
        <v>3889</v>
      </c>
      <c r="N48" s="9">
        <f t="shared" si="130"/>
        <v>4371</v>
      </c>
      <c r="O48" s="9">
        <f t="shared" si="130"/>
        <v>4997</v>
      </c>
      <c r="P48" s="9">
        <f t="shared" si="130"/>
        <v>3945</v>
      </c>
      <c r="Q48" s="9">
        <f t="shared" si="130"/>
        <v>4506</v>
      </c>
      <c r="R48" s="9">
        <f t="shared" si="130"/>
        <v>4016</v>
      </c>
      <c r="S48" s="9">
        <f t="shared" si="130"/>
        <v>4046</v>
      </c>
      <c r="T48" s="9">
        <f t="shared" si="130"/>
        <v>3619</v>
      </c>
      <c r="U48" s="9">
        <f t="shared" si="130"/>
        <v>4155</v>
      </c>
      <c r="V48" s="9">
        <f t="shared" si="130"/>
        <v>4132</v>
      </c>
      <c r="W48" s="9">
        <f t="shared" si="130"/>
        <v>4116</v>
      </c>
      <c r="X48" s="9">
        <f t="shared" si="130"/>
        <v>4008</v>
      </c>
      <c r="Y48" s="9">
        <f t="shared" si="130"/>
        <v>3524</v>
      </c>
      <c r="AB48" s="10">
        <v>3921.6355384615381</v>
      </c>
      <c r="AC48" s="10">
        <v>3834.2820769230748</v>
      </c>
    </row>
    <row r="49" spans="1:33" x14ac:dyDescent="0.3">
      <c r="A49" s="9" t="s">
        <v>7</v>
      </c>
      <c r="B49" s="9" t="s">
        <v>9</v>
      </c>
      <c r="C49" s="17" t="s">
        <v>61</v>
      </c>
      <c r="D49" s="10" t="s">
        <v>62</v>
      </c>
      <c r="J49" s="48">
        <f>J112</f>
        <v>0.20433699999999999</v>
      </c>
      <c r="K49" s="48">
        <f t="shared" ref="K49:Y49" si="131">K112</f>
        <v>0.206368</v>
      </c>
      <c r="L49" s="48">
        <f t="shared" si="131"/>
        <v>0.20786600000000002</v>
      </c>
      <c r="M49" s="48">
        <f t="shared" si="131"/>
        <v>0.20955199999999999</v>
      </c>
      <c r="N49" s="48">
        <f t="shared" si="131"/>
        <v>0.211507</v>
      </c>
      <c r="O49" s="48">
        <f t="shared" si="131"/>
        <v>0.21321700000000002</v>
      </c>
      <c r="P49" s="48">
        <f t="shared" si="131"/>
        <v>0.215168</v>
      </c>
      <c r="Q49" s="48">
        <f t="shared" si="131"/>
        <v>0.217421</v>
      </c>
      <c r="R49" s="48">
        <f t="shared" si="131"/>
        <v>0.220446</v>
      </c>
      <c r="S49" s="48">
        <f t="shared" si="131"/>
        <v>0.22300399999999998</v>
      </c>
      <c r="T49" s="48">
        <f t="shared" si="131"/>
        <v>0.22511799999999998</v>
      </c>
      <c r="U49" s="48">
        <f t="shared" si="131"/>
        <v>0.228274</v>
      </c>
      <c r="V49" s="48">
        <f t="shared" si="131"/>
        <v>0.231853</v>
      </c>
      <c r="W49" s="48">
        <f t="shared" si="131"/>
        <v>0.235239</v>
      </c>
      <c r="X49" s="48">
        <f t="shared" si="131"/>
        <v>0.23813999999999999</v>
      </c>
      <c r="Y49" s="48">
        <f t="shared" si="131"/>
        <v>0.241009</v>
      </c>
      <c r="AB49" s="33">
        <v>0.25273800000000002</v>
      </c>
      <c r="AC49" s="33">
        <v>0.26277699999999998</v>
      </c>
    </row>
    <row r="50" spans="1:33" x14ac:dyDescent="0.3">
      <c r="A50" s="9" t="s">
        <v>7</v>
      </c>
      <c r="B50" s="9" t="s">
        <v>9</v>
      </c>
      <c r="C50" s="17" t="s">
        <v>163</v>
      </c>
      <c r="D50" s="10" t="s">
        <v>64</v>
      </c>
      <c r="J50" s="47">
        <f>J100</f>
        <v>2103.6999999999998</v>
      </c>
      <c r="K50" s="47">
        <f t="shared" ref="K50:Y50" si="132">K100</f>
        <v>2138.8000000000002</v>
      </c>
      <c r="L50" s="47">
        <f t="shared" si="132"/>
        <v>2132.4</v>
      </c>
      <c r="M50" s="47">
        <f t="shared" si="132"/>
        <v>2099.3000000000002</v>
      </c>
      <c r="N50" s="47">
        <f t="shared" si="132"/>
        <v>2241.8000000000002</v>
      </c>
      <c r="O50" s="47">
        <f t="shared" si="132"/>
        <v>2459.9</v>
      </c>
      <c r="P50" s="47">
        <f t="shared" si="132"/>
        <v>2156.4</v>
      </c>
      <c r="Q50" s="47">
        <f t="shared" si="132"/>
        <v>2355.6</v>
      </c>
      <c r="R50" s="47">
        <f t="shared" si="132"/>
        <v>2157.3000000000002</v>
      </c>
      <c r="S50" s="47">
        <f t="shared" si="132"/>
        <v>2162.5</v>
      </c>
      <c r="T50" s="47">
        <f t="shared" si="132"/>
        <v>2059.5</v>
      </c>
      <c r="U50" s="47">
        <f t="shared" si="132"/>
        <v>2249.8000000000002</v>
      </c>
      <c r="V50" s="47">
        <f t="shared" si="132"/>
        <v>2207.6</v>
      </c>
      <c r="W50" s="47">
        <f t="shared" si="132"/>
        <v>2253</v>
      </c>
      <c r="X50" s="47">
        <f t="shared" si="132"/>
        <v>2232.5</v>
      </c>
      <c r="Y50" s="47">
        <f t="shared" si="132"/>
        <v>2019.9</v>
      </c>
      <c r="AB50" s="10"/>
      <c r="AC50" s="10"/>
      <c r="AE50" s="9" t="s">
        <v>82</v>
      </c>
      <c r="AF50" s="9" t="s">
        <v>83</v>
      </c>
      <c r="AG50" s="9" t="s">
        <v>81</v>
      </c>
    </row>
    <row r="51" spans="1:33" x14ac:dyDescent="0.3">
      <c r="A51" s="9" t="s">
        <v>7</v>
      </c>
      <c r="B51" s="9" t="s">
        <v>9</v>
      </c>
      <c r="C51" s="17" t="s">
        <v>74</v>
      </c>
      <c r="D51" s="10" t="s">
        <v>64</v>
      </c>
      <c r="J51" s="10">
        <f t="shared" ref="J51:N51" si="133">J50-J52</f>
        <v>1808.6623040868999</v>
      </c>
      <c r="K51" s="10">
        <f t="shared" si="133"/>
        <v>1843.7623040869003</v>
      </c>
      <c r="L51" s="10">
        <f t="shared" si="133"/>
        <v>1837.3623040869002</v>
      </c>
      <c r="M51" s="10">
        <f t="shared" si="133"/>
        <v>1804.2623040869003</v>
      </c>
      <c r="N51" s="10">
        <f t="shared" si="133"/>
        <v>1946.7623040869003</v>
      </c>
      <c r="O51" s="10">
        <f t="shared" ref="O51:P51" si="134">O50-O52</f>
        <v>2164.8623040869002</v>
      </c>
      <c r="P51" s="10">
        <f t="shared" si="134"/>
        <v>1861.3623040869002</v>
      </c>
      <c r="Q51" s="10">
        <f>Q50-Q52</f>
        <v>2060.5623040869</v>
      </c>
      <c r="R51" s="10">
        <f t="shared" ref="R51:X51" si="135">R50-R52</f>
        <v>1862.2623040869003</v>
      </c>
      <c r="S51" s="10">
        <f t="shared" si="135"/>
        <v>1867.4623040869001</v>
      </c>
      <c r="T51" s="10">
        <f t="shared" si="135"/>
        <v>1764.4623040869001</v>
      </c>
      <c r="U51" s="10">
        <f t="shared" si="135"/>
        <v>1954.7623040869003</v>
      </c>
      <c r="V51" s="10">
        <f t="shared" si="135"/>
        <v>1912.5623040869</v>
      </c>
      <c r="W51" s="10">
        <f t="shared" si="135"/>
        <v>1957.9623040869001</v>
      </c>
      <c r="X51" s="10">
        <f t="shared" si="135"/>
        <v>1937.4623040869001</v>
      </c>
      <c r="Y51" s="10">
        <f t="shared" ref="Y51" si="136">Y50-Y52</f>
        <v>1724.8623040869002</v>
      </c>
      <c r="AB51" s="10"/>
      <c r="AC51" s="10"/>
      <c r="AE51" s="9">
        <f t="array" ref="AE51:AG51">LINEST(J51:Y51,J48:Y49)</f>
        <v>3344.2813542030035</v>
      </c>
      <c r="AF51" s="9">
        <v>0.3444942116592023</v>
      </c>
      <c r="AG51" s="9">
        <v>-256.62989345723599</v>
      </c>
    </row>
    <row r="52" spans="1:33" x14ac:dyDescent="0.3">
      <c r="A52" s="9" t="s">
        <v>7</v>
      </c>
      <c r="B52" s="9" t="s">
        <v>9</v>
      </c>
      <c r="C52" s="17" t="s">
        <v>76</v>
      </c>
      <c r="D52" s="10" t="s">
        <v>64</v>
      </c>
      <c r="J52" s="10">
        <f t="shared" ref="J52:N52" si="137">$AB$52</f>
        <v>295.03769591309992</v>
      </c>
      <c r="K52" s="10">
        <f t="shared" si="137"/>
        <v>295.03769591309992</v>
      </c>
      <c r="L52" s="10">
        <f t="shared" si="137"/>
        <v>295.03769591309992</v>
      </c>
      <c r="M52" s="10">
        <f t="shared" si="137"/>
        <v>295.03769591309992</v>
      </c>
      <c r="N52" s="10">
        <f t="shared" si="137"/>
        <v>295.03769591309992</v>
      </c>
      <c r="O52" s="10">
        <f t="shared" ref="O52:W52" si="138">$AB$52</f>
        <v>295.03769591309992</v>
      </c>
      <c r="P52" s="10">
        <f t="shared" si="138"/>
        <v>295.03769591309992</v>
      </c>
      <c r="Q52" s="10">
        <f t="shared" si="138"/>
        <v>295.03769591309992</v>
      </c>
      <c r="R52" s="10">
        <f t="shared" si="138"/>
        <v>295.03769591309992</v>
      </c>
      <c r="S52" s="10">
        <f t="shared" si="138"/>
        <v>295.03769591309992</v>
      </c>
      <c r="T52" s="10">
        <f t="shared" si="138"/>
        <v>295.03769591309992</v>
      </c>
      <c r="U52" s="10">
        <f t="shared" si="138"/>
        <v>295.03769591309992</v>
      </c>
      <c r="V52" s="10">
        <f t="shared" si="138"/>
        <v>295.03769591309992</v>
      </c>
      <c r="W52" s="10">
        <f t="shared" si="138"/>
        <v>295.03769591309992</v>
      </c>
      <c r="X52" s="10">
        <f>$AB$52</f>
        <v>295.03769591309992</v>
      </c>
      <c r="Y52" s="10">
        <f>$AB$52</f>
        <v>295.03769591309992</v>
      </c>
      <c r="AB52" s="10">
        <f>$AB49/$AB$3*$AB$5</f>
        <v>295.03769591309992</v>
      </c>
      <c r="AC52" s="10">
        <f>$AB49/$AB$3*$AB$5</f>
        <v>295.03769591309992</v>
      </c>
    </row>
    <row r="53" spans="1:33" x14ac:dyDescent="0.3">
      <c r="A53" s="9" t="s">
        <v>7</v>
      </c>
      <c r="B53" s="9" t="s">
        <v>9</v>
      </c>
      <c r="C53" s="17" t="s">
        <v>206</v>
      </c>
      <c r="D53" s="10" t="s">
        <v>64</v>
      </c>
      <c r="J53" s="10">
        <f t="shared" ref="J53:N53" si="139">$AF51*J48+$AE51*J49+$AG51</f>
        <v>1853.6255503089592</v>
      </c>
      <c r="K53" s="10">
        <f t="shared" si="139"/>
        <v>1852.4944188711834</v>
      </c>
      <c r="L53" s="10">
        <f t="shared" si="139"/>
        <v>1837.9713305387031</v>
      </c>
      <c r="M53" s="10">
        <f t="shared" si="139"/>
        <v>1783.9089420213495</v>
      </c>
      <c r="N53" s="10">
        <f t="shared" si="139"/>
        <v>1956.4932220885521</v>
      </c>
      <c r="O53" s="10">
        <f>$AF51*O48+$AE51*O49+$AG51</f>
        <v>2177.8653197028998</v>
      </c>
      <c r="P53" s="10">
        <f>$AF51*P48+$AE51*P49+$AG51</f>
        <v>1821.9821019594688</v>
      </c>
      <c r="Q53" s="10">
        <f t="shared" ref="Q53:X53" si="140">$AF51*Q48+$AE51*Q49+$AG51</f>
        <v>2022.7780205913009</v>
      </c>
      <c r="R53" s="10">
        <f t="shared" si="140"/>
        <v>1864.0923079747558</v>
      </c>
      <c r="S53" s="10">
        <f t="shared" si="140"/>
        <v>1882.9818060285829</v>
      </c>
      <c r="T53" s="10">
        <f t="shared" si="140"/>
        <v>1742.9525884328889</v>
      </c>
      <c r="U53" s="10">
        <f t="shared" si="140"/>
        <v>1938.1560378360859</v>
      </c>
      <c r="V53" s="10">
        <f t="shared" si="140"/>
        <v>1942.2018539346168</v>
      </c>
      <c r="W53" s="10">
        <f t="shared" si="140"/>
        <v>1948.0136832134012</v>
      </c>
      <c r="X53" s="10">
        <f t="shared" si="140"/>
        <v>1920.5100685627503</v>
      </c>
      <c r="Y53" s="10">
        <f t="shared" ref="Y53" si="141">$AF51*Y48+$AE51*Y49+$AG51</f>
        <v>1763.3696133249045</v>
      </c>
      <c r="AB53" s="10">
        <f t="shared" ref="AB53:AC53" si="142">$AF51*AB48+$AE51*AB49+$AG51</f>
        <v>1939.5778306783418</v>
      </c>
      <c r="AC53" s="10">
        <f t="shared" si="142"/>
        <v>1943.0583093247901</v>
      </c>
    </row>
    <row r="54" spans="1:33" x14ac:dyDescent="0.3">
      <c r="A54" s="9" t="s">
        <v>7</v>
      </c>
      <c r="B54" s="9" t="s">
        <v>9</v>
      </c>
      <c r="C54" s="17" t="s">
        <v>85</v>
      </c>
      <c r="D54" s="10" t="s">
        <v>64</v>
      </c>
      <c r="J54" s="10">
        <f t="shared" ref="J54:N54" si="143">SUM(J52:J53)</f>
        <v>2148.6632462220591</v>
      </c>
      <c r="K54" s="10">
        <f t="shared" si="143"/>
        <v>2147.5321147842833</v>
      </c>
      <c r="L54" s="10">
        <f t="shared" si="143"/>
        <v>2133.009026451803</v>
      </c>
      <c r="M54" s="10">
        <f t="shared" si="143"/>
        <v>2078.9466379344494</v>
      </c>
      <c r="N54" s="10">
        <f t="shared" si="143"/>
        <v>2251.530918001652</v>
      </c>
      <c r="O54" s="10">
        <f>SUM(O52:O53)</f>
        <v>2472.9030156159997</v>
      </c>
      <c r="P54" s="10">
        <f t="shared" ref="P54" si="144">SUM(P52:P53)</f>
        <v>2117.0197978725687</v>
      </c>
      <c r="Q54" s="10">
        <f t="shared" ref="Q54" si="145">SUM(Q52:Q53)</f>
        <v>2317.8157165044008</v>
      </c>
      <c r="R54" s="10">
        <f t="shared" ref="R54" si="146">SUM(R52:R53)</f>
        <v>2159.1300038878558</v>
      </c>
      <c r="S54" s="10">
        <f t="shared" ref="S54" si="147">SUM(S52:S53)</f>
        <v>2178.0195019416828</v>
      </c>
      <c r="T54" s="10">
        <f t="shared" ref="T54" si="148">SUM(T52:T53)</f>
        <v>2037.9902843459888</v>
      </c>
      <c r="U54" s="10">
        <f t="shared" ref="U54" si="149">SUM(U52:U53)</f>
        <v>2233.1937337491859</v>
      </c>
      <c r="V54" s="10">
        <f t="shared" ref="V54" si="150">SUM(V52:V53)</f>
        <v>2237.2395498477167</v>
      </c>
      <c r="W54" s="10">
        <f t="shared" ref="W54" si="151">SUM(W52:W53)</f>
        <v>2243.0513791265012</v>
      </c>
      <c r="X54" s="10">
        <f t="shared" ref="X54:Y54" si="152">SUM(X52:X53)</f>
        <v>2215.5477644758503</v>
      </c>
      <c r="Y54" s="10">
        <f t="shared" si="152"/>
        <v>2058.4073092380045</v>
      </c>
      <c r="AB54" s="10">
        <f t="shared" ref="AB54" si="153">SUM(AB52:AB53)</f>
        <v>2234.6155265914417</v>
      </c>
      <c r="AC54" s="10">
        <f t="shared" ref="AC54" si="154">SUM(AC52:AC53)</f>
        <v>2238.09600523789</v>
      </c>
    </row>
    <row r="55" spans="1:33" x14ac:dyDescent="0.3">
      <c r="A55" s="9" t="s">
        <v>7</v>
      </c>
      <c r="B55" s="9" t="s">
        <v>9</v>
      </c>
      <c r="C55" s="17" t="s">
        <v>164</v>
      </c>
      <c r="D55" s="10" t="s">
        <v>64</v>
      </c>
      <c r="J55" s="8">
        <f t="shared" ref="J55:N55" si="155">J54/J50</f>
        <v>1.0213734117136757</v>
      </c>
      <c r="K55" s="8">
        <f t="shared" si="155"/>
        <v>1.004082716843222</v>
      </c>
      <c r="L55" s="8">
        <f t="shared" si="155"/>
        <v>1.0002856061019523</v>
      </c>
      <c r="M55" s="8">
        <f t="shared" si="155"/>
        <v>0.99030469105628027</v>
      </c>
      <c r="N55" s="8">
        <f t="shared" si="155"/>
        <v>1.0043406717823409</v>
      </c>
      <c r="O55" s="8">
        <f>O54/O50</f>
        <v>1.0052859935834788</v>
      </c>
      <c r="P55" s="8">
        <f t="shared" ref="P55" si="156">P54/P50</f>
        <v>0.98173798825476188</v>
      </c>
      <c r="Q55" s="8">
        <f t="shared" ref="Q55" si="157">Q54/Q50</f>
        <v>0.98395980493479407</v>
      </c>
      <c r="R55" s="8">
        <f t="shared" ref="R55" si="158">R54/R50</f>
        <v>1.0008482843776274</v>
      </c>
      <c r="S55" s="8">
        <f t="shared" ref="S55" si="159">S54/S50</f>
        <v>1.0071766482967319</v>
      </c>
      <c r="T55" s="8">
        <f t="shared" ref="T55" si="160">T54/T50</f>
        <v>0.9895558554726821</v>
      </c>
      <c r="U55" s="8">
        <f t="shared" ref="U55" si="161">U54/U50</f>
        <v>0.99261878111351487</v>
      </c>
      <c r="V55" s="8">
        <f t="shared" ref="V55:X55" si="162">V54/V50</f>
        <v>1.0134261414421619</v>
      </c>
      <c r="W55" s="8">
        <f t="shared" si="162"/>
        <v>0.99558427835175378</v>
      </c>
      <c r="X55" s="8">
        <f t="shared" si="162"/>
        <v>0.99240661342703262</v>
      </c>
      <c r="Y55" s="8">
        <f t="shared" ref="Y55" si="163">Y54/Y50</f>
        <v>1.0190639681360485</v>
      </c>
      <c r="AB55" s="10"/>
      <c r="AC55" s="10"/>
    </row>
    <row r="56" spans="1:33" x14ac:dyDescent="0.3">
      <c r="C56" s="17"/>
      <c r="D56" s="10"/>
      <c r="J56" s="50"/>
      <c r="K56" s="50"/>
      <c r="L56" s="50"/>
      <c r="M56" s="50"/>
      <c r="N56" s="50"/>
      <c r="O56" s="8"/>
      <c r="P56" s="8"/>
      <c r="Q56" s="8"/>
      <c r="R56" s="8"/>
      <c r="S56" s="8"/>
      <c r="T56" s="8"/>
      <c r="U56" s="8"/>
      <c r="V56" s="8"/>
      <c r="W56" s="10"/>
      <c r="X56" s="10"/>
      <c r="Y56" s="10"/>
      <c r="AB56" s="10"/>
      <c r="AC56" s="10"/>
    </row>
    <row r="57" spans="1:33" x14ac:dyDescent="0.3">
      <c r="A57" s="9" t="s">
        <v>7</v>
      </c>
      <c r="B57" s="9" t="s">
        <v>10</v>
      </c>
      <c r="C57" s="17" t="s">
        <v>241</v>
      </c>
      <c r="D57" s="10"/>
      <c r="J57" s="9">
        <f>J122</f>
        <v>4646</v>
      </c>
      <c r="K57" s="9">
        <f t="shared" ref="K57:Y57" si="164">K122</f>
        <v>4748</v>
      </c>
      <c r="L57" s="9">
        <f t="shared" si="164"/>
        <v>4653.7</v>
      </c>
      <c r="M57" s="9">
        <f t="shared" si="164"/>
        <v>4591</v>
      </c>
      <c r="N57" s="9">
        <f t="shared" si="164"/>
        <v>4941</v>
      </c>
      <c r="O57" s="9">
        <f t="shared" si="164"/>
        <v>5605</v>
      </c>
      <c r="P57" s="9">
        <f t="shared" si="164"/>
        <v>4537</v>
      </c>
      <c r="Q57" s="9">
        <f t="shared" si="164"/>
        <v>5209</v>
      </c>
      <c r="R57" s="9">
        <f t="shared" si="164"/>
        <v>4557</v>
      </c>
      <c r="S57" s="9">
        <f t="shared" si="164"/>
        <v>4513</v>
      </c>
      <c r="T57" s="9">
        <f t="shared" si="164"/>
        <v>4119</v>
      </c>
      <c r="U57" s="9">
        <f t="shared" si="164"/>
        <v>4682</v>
      </c>
      <c r="V57" s="9">
        <f t="shared" si="164"/>
        <v>4821</v>
      </c>
      <c r="W57" s="9">
        <f t="shared" si="164"/>
        <v>4655</v>
      </c>
      <c r="X57" s="9">
        <f t="shared" si="164"/>
        <v>4862</v>
      </c>
      <c r="Y57" s="9">
        <f t="shared" si="164"/>
        <v>4223</v>
      </c>
      <c r="Z57" s="33"/>
      <c r="AA57" s="33"/>
      <c r="AB57" s="10">
        <v>4533.1166153846134</v>
      </c>
      <c r="AC57" s="10">
        <v>4446.7312307692337</v>
      </c>
    </row>
    <row r="58" spans="1:33" x14ac:dyDescent="0.3">
      <c r="A58" s="9" t="s">
        <v>7</v>
      </c>
      <c r="B58" s="9" t="s">
        <v>10</v>
      </c>
      <c r="C58" s="17" t="s">
        <v>61</v>
      </c>
      <c r="D58" s="10" t="s">
        <v>62</v>
      </c>
      <c r="J58" s="48">
        <f>J113</f>
        <v>0.17343600000000001</v>
      </c>
      <c r="K58" s="48">
        <f t="shared" ref="K58:Y58" si="165">K113</f>
        <v>0.175286</v>
      </c>
      <c r="L58" s="48">
        <f t="shared" si="165"/>
        <v>0.17727600000000002</v>
      </c>
      <c r="M58" s="48">
        <f t="shared" si="165"/>
        <v>0.17990100000000001</v>
      </c>
      <c r="N58" s="48">
        <f t="shared" si="165"/>
        <v>0.182528</v>
      </c>
      <c r="O58" s="48">
        <f t="shared" si="165"/>
        <v>0.185419</v>
      </c>
      <c r="P58" s="48">
        <f t="shared" si="165"/>
        <v>0.188114</v>
      </c>
      <c r="Q58" s="48">
        <f t="shared" si="165"/>
        <v>0.19084700000000002</v>
      </c>
      <c r="R58" s="48">
        <f t="shared" si="165"/>
        <v>0.193798</v>
      </c>
      <c r="S58" s="48">
        <f t="shared" si="165"/>
        <v>0.19629099999999999</v>
      </c>
      <c r="T58" s="48">
        <f t="shared" si="165"/>
        <v>0.19852500000000001</v>
      </c>
      <c r="U58" s="48">
        <f t="shared" si="165"/>
        <v>0.20052600000000001</v>
      </c>
      <c r="V58" s="48">
        <f t="shared" si="165"/>
        <v>0.20180999999999999</v>
      </c>
      <c r="W58" s="48">
        <f t="shared" si="165"/>
        <v>0.203567</v>
      </c>
      <c r="X58" s="48">
        <f t="shared" si="165"/>
        <v>0.205489</v>
      </c>
      <c r="Y58" s="48">
        <f t="shared" si="165"/>
        <v>0.20732700000000001</v>
      </c>
      <c r="Z58" s="33"/>
      <c r="AA58" s="33"/>
      <c r="AB58" s="33">
        <v>0.213424</v>
      </c>
      <c r="AC58" s="33">
        <v>0.21846399999999999</v>
      </c>
    </row>
    <row r="59" spans="1:33" x14ac:dyDescent="0.3">
      <c r="A59" s="9" t="s">
        <v>7</v>
      </c>
      <c r="B59" s="9" t="s">
        <v>10</v>
      </c>
      <c r="C59" s="17" t="s">
        <v>163</v>
      </c>
      <c r="D59" s="10" t="s">
        <v>64</v>
      </c>
      <c r="J59" s="47">
        <f>J103</f>
        <v>1460.4</v>
      </c>
      <c r="K59" s="47">
        <f t="shared" ref="K59:Y59" si="166">K103</f>
        <v>1521.1</v>
      </c>
      <c r="L59" s="47">
        <f t="shared" si="166"/>
        <v>1541.2</v>
      </c>
      <c r="M59" s="47">
        <f t="shared" si="166"/>
        <v>1522.4</v>
      </c>
      <c r="N59" s="47">
        <f t="shared" si="166"/>
        <v>1673.6</v>
      </c>
      <c r="O59" s="47">
        <f t="shared" si="166"/>
        <v>1824.6</v>
      </c>
      <c r="P59" s="47">
        <f t="shared" si="166"/>
        <v>1628.2</v>
      </c>
      <c r="Q59" s="47">
        <f t="shared" si="166"/>
        <v>1779.1</v>
      </c>
      <c r="R59" s="47">
        <f t="shared" si="166"/>
        <v>1637.1</v>
      </c>
      <c r="S59" s="47">
        <f t="shared" si="166"/>
        <v>1649.8</v>
      </c>
      <c r="T59" s="47">
        <f t="shared" si="166"/>
        <v>1544.4</v>
      </c>
      <c r="U59" s="47">
        <f t="shared" si="166"/>
        <v>1706.6</v>
      </c>
      <c r="V59" s="47">
        <f t="shared" si="166"/>
        <v>1722.7</v>
      </c>
      <c r="W59" s="47">
        <f t="shared" si="166"/>
        <v>1742</v>
      </c>
      <c r="X59" s="47">
        <f t="shared" si="166"/>
        <v>1819.3</v>
      </c>
      <c r="Y59" s="47">
        <f t="shared" si="166"/>
        <v>1686.9</v>
      </c>
      <c r="AB59" s="10"/>
      <c r="AC59" s="10"/>
      <c r="AE59" s="9" t="s">
        <v>82</v>
      </c>
      <c r="AF59" s="9" t="s">
        <v>83</v>
      </c>
      <c r="AG59" s="9" t="s">
        <v>81</v>
      </c>
    </row>
    <row r="60" spans="1:33" x14ac:dyDescent="0.3">
      <c r="A60" s="9" t="s">
        <v>7</v>
      </c>
      <c r="B60" s="9" t="s">
        <v>10</v>
      </c>
      <c r="C60" s="17" t="s">
        <v>74</v>
      </c>
      <c r="D60" s="10" t="s">
        <v>64</v>
      </c>
      <c r="J60" s="10">
        <f t="shared" ref="J60:N60" si="167">J59-J61</f>
        <v>1211.2561228918587</v>
      </c>
      <c r="K60" s="10">
        <f t="shared" si="167"/>
        <v>1271.9561228918585</v>
      </c>
      <c r="L60" s="10">
        <f t="shared" si="167"/>
        <v>1292.0561228918586</v>
      </c>
      <c r="M60" s="10">
        <f t="shared" si="167"/>
        <v>1273.2561228918587</v>
      </c>
      <c r="N60" s="10">
        <f t="shared" si="167"/>
        <v>1424.4561228918585</v>
      </c>
      <c r="O60" s="10">
        <f t="shared" ref="O60:P60" si="168">O59-O61</f>
        <v>1575.4561228918585</v>
      </c>
      <c r="P60" s="10">
        <f t="shared" si="168"/>
        <v>1379.0561228918586</v>
      </c>
      <c r="Q60" s="10">
        <f>Q59-Q61</f>
        <v>1529.9561228918585</v>
      </c>
      <c r="R60" s="10">
        <f t="shared" ref="R60:X60" si="169">R59-R61</f>
        <v>1387.9561228918585</v>
      </c>
      <c r="S60" s="10">
        <f t="shared" si="169"/>
        <v>1400.6561228918586</v>
      </c>
      <c r="T60" s="10">
        <f t="shared" si="169"/>
        <v>1295.2561228918587</v>
      </c>
      <c r="U60" s="10">
        <f t="shared" si="169"/>
        <v>1457.4561228918585</v>
      </c>
      <c r="V60" s="10">
        <f t="shared" si="169"/>
        <v>1473.5561228918586</v>
      </c>
      <c r="W60" s="10">
        <f t="shared" si="169"/>
        <v>1492.8561228918586</v>
      </c>
      <c r="X60" s="10">
        <f t="shared" si="169"/>
        <v>1570.1561228918586</v>
      </c>
      <c r="Y60" s="10">
        <f t="shared" ref="Y60" si="170">Y59-Y61</f>
        <v>1437.7561228918587</v>
      </c>
      <c r="AB60" s="10"/>
      <c r="AC60" s="10"/>
      <c r="AE60" s="9">
        <f t="array" ref="AE60:AG60">LINEST(J60:Y60,J57:Y58)</f>
        <v>8174.5326113474403</v>
      </c>
      <c r="AF60" s="9">
        <v>0.24803919880648398</v>
      </c>
      <c r="AG60" s="9">
        <v>-1327.1887491820266</v>
      </c>
    </row>
    <row r="61" spans="1:33" x14ac:dyDescent="0.3">
      <c r="A61" s="9" t="s">
        <v>7</v>
      </c>
      <c r="B61" s="9" t="s">
        <v>10</v>
      </c>
      <c r="C61" s="17" t="s">
        <v>76</v>
      </c>
      <c r="D61" s="10" t="s">
        <v>64</v>
      </c>
      <c r="J61" s="10">
        <f t="shared" ref="J61:N61" si="171">$AB$61</f>
        <v>249.14387710814137</v>
      </c>
      <c r="K61" s="10">
        <f t="shared" si="171"/>
        <v>249.14387710814137</v>
      </c>
      <c r="L61" s="10">
        <f t="shared" si="171"/>
        <v>249.14387710814137</v>
      </c>
      <c r="M61" s="10">
        <f t="shared" si="171"/>
        <v>249.14387710814137</v>
      </c>
      <c r="N61" s="10">
        <f t="shared" si="171"/>
        <v>249.14387710814137</v>
      </c>
      <c r="O61" s="10">
        <f t="shared" ref="O61:W61" si="172">$AB$61</f>
        <v>249.14387710814137</v>
      </c>
      <c r="P61" s="10">
        <f t="shared" si="172"/>
        <v>249.14387710814137</v>
      </c>
      <c r="Q61" s="10">
        <f t="shared" si="172"/>
        <v>249.14387710814137</v>
      </c>
      <c r="R61" s="10">
        <f t="shared" si="172"/>
        <v>249.14387710814137</v>
      </c>
      <c r="S61" s="10">
        <f t="shared" si="172"/>
        <v>249.14387710814137</v>
      </c>
      <c r="T61" s="10">
        <f t="shared" si="172"/>
        <v>249.14387710814137</v>
      </c>
      <c r="U61" s="10">
        <f t="shared" si="172"/>
        <v>249.14387710814137</v>
      </c>
      <c r="V61" s="10">
        <f t="shared" si="172"/>
        <v>249.14387710814137</v>
      </c>
      <c r="W61" s="10">
        <f t="shared" si="172"/>
        <v>249.14387710814137</v>
      </c>
      <c r="X61" s="10">
        <f>$AB$61</f>
        <v>249.14387710814137</v>
      </c>
      <c r="Y61" s="10">
        <f>$AB$61</f>
        <v>249.14387710814137</v>
      </c>
      <c r="AB61" s="10">
        <f>$AB58/$AB$3*$AB$5</f>
        <v>249.14387710814137</v>
      </c>
      <c r="AC61" s="10">
        <f>$AB58/$AB$3*$AB$5</f>
        <v>249.14387710814137</v>
      </c>
    </row>
    <row r="62" spans="1:33" x14ac:dyDescent="0.3">
      <c r="A62" s="9" t="s">
        <v>7</v>
      </c>
      <c r="B62" s="9" t="s">
        <v>10</v>
      </c>
      <c r="C62" s="17" t="s">
        <v>206</v>
      </c>
      <c r="D62" s="10" t="s">
        <v>64</v>
      </c>
      <c r="J62" s="10">
        <f t="shared" ref="J62:N62" si="173">$AF60*J57+$AE60*J58+$AG60</f>
        <v>1242.9596064545526</v>
      </c>
      <c r="K62" s="10">
        <f t="shared" si="173"/>
        <v>1283.3824900638069</v>
      </c>
      <c r="L62" s="10">
        <f t="shared" si="173"/>
        <v>1276.2597135129367</v>
      </c>
      <c r="M62" s="10">
        <f t="shared" si="173"/>
        <v>1282.165803852557</v>
      </c>
      <c r="N62" s="10">
        <f t="shared" si="173"/>
        <v>1390.4540206048364</v>
      </c>
      <c r="O62" s="10">
        <f>$AF60*O57+$AE60*O58+$AG60</f>
        <v>1578.7846223917472</v>
      </c>
      <c r="P62" s="10">
        <f>$AF60*P57+$AE60*P58+$AG60</f>
        <v>1335.9091234540033</v>
      </c>
      <c r="Q62" s="10">
        <f t="shared" ref="Q62:X62" si="174">$AF60*Q57+$AE60*Q58+$AG60</f>
        <v>1524.9324626787734</v>
      </c>
      <c r="R62" s="10">
        <f t="shared" si="174"/>
        <v>1387.3339507930318</v>
      </c>
      <c r="S62" s="10">
        <f t="shared" si="174"/>
        <v>1396.7993358456356</v>
      </c>
      <c r="T62" s="10">
        <f t="shared" si="174"/>
        <v>1317.3337973696316</v>
      </c>
      <c r="U62" s="10">
        <f t="shared" si="174"/>
        <v>1473.3371060529885</v>
      </c>
      <c r="V62" s="10">
        <f t="shared" si="174"/>
        <v>1518.3106545600599</v>
      </c>
      <c r="W62" s="10">
        <f t="shared" si="174"/>
        <v>1491.4988013563207</v>
      </c>
      <c r="X62" s="10">
        <f t="shared" si="174"/>
        <v>1558.5543671882729</v>
      </c>
      <c r="Y62" s="10">
        <f t="shared" ref="Y62" si="175">$AF60*Y57+$AE60*Y58+$AG60</f>
        <v>1415.082110090586</v>
      </c>
      <c r="AB62" s="10">
        <f t="shared" ref="AB62:AC62" si="176">$AF60*AB57+$AE60*AB58+$AG60</f>
        <v>1541.8433122385491</v>
      </c>
      <c r="AC62" s="10">
        <f t="shared" si="176"/>
        <v>1561.6159950111519</v>
      </c>
    </row>
    <row r="63" spans="1:33" x14ac:dyDescent="0.3">
      <c r="A63" s="9" t="s">
        <v>7</v>
      </c>
      <c r="B63" s="9" t="s">
        <v>10</v>
      </c>
      <c r="C63" s="17" t="s">
        <v>85</v>
      </c>
      <c r="D63" s="10" t="s">
        <v>64</v>
      </c>
      <c r="J63" s="10">
        <f t="shared" ref="J63:N63" si="177">SUM(J61:J62)</f>
        <v>1492.103483562694</v>
      </c>
      <c r="K63" s="10">
        <f t="shared" si="177"/>
        <v>1532.5263671719483</v>
      </c>
      <c r="L63" s="10">
        <f t="shared" si="177"/>
        <v>1525.4035906210781</v>
      </c>
      <c r="M63" s="10">
        <f t="shared" si="177"/>
        <v>1531.3096809606984</v>
      </c>
      <c r="N63" s="10">
        <f t="shared" si="177"/>
        <v>1639.5978977129778</v>
      </c>
      <c r="O63" s="10">
        <f>SUM(O61:O62)</f>
        <v>1827.9284994998886</v>
      </c>
      <c r="P63" s="10">
        <f t="shared" ref="P63" si="178">SUM(P61:P62)</f>
        <v>1585.0530005621447</v>
      </c>
      <c r="Q63" s="10">
        <f t="shared" ref="Q63" si="179">SUM(Q61:Q62)</f>
        <v>1774.0763397869148</v>
      </c>
      <c r="R63" s="10">
        <f t="shared" ref="R63" si="180">SUM(R61:R62)</f>
        <v>1636.4778279011732</v>
      </c>
      <c r="S63" s="10">
        <f t="shared" ref="S63" si="181">SUM(S61:S62)</f>
        <v>1645.943212953777</v>
      </c>
      <c r="T63" s="10">
        <f t="shared" ref="T63" si="182">SUM(T61:T62)</f>
        <v>1566.477674477773</v>
      </c>
      <c r="U63" s="10">
        <f t="shared" ref="U63" si="183">SUM(U61:U62)</f>
        <v>1722.4809831611299</v>
      </c>
      <c r="V63" s="10">
        <f t="shared" ref="V63" si="184">SUM(V61:V62)</f>
        <v>1767.4545316682013</v>
      </c>
      <c r="W63" s="10">
        <f t="shared" ref="W63" si="185">SUM(W61:W62)</f>
        <v>1740.6426784644621</v>
      </c>
      <c r="X63" s="10">
        <f t="shared" ref="X63:Y63" si="186">SUM(X61:X62)</f>
        <v>1807.6982442964143</v>
      </c>
      <c r="Y63" s="10">
        <f t="shared" si="186"/>
        <v>1664.2259871987274</v>
      </c>
      <c r="AB63" s="10">
        <f t="shared" ref="AB63" si="187">SUM(AB61:AB62)</f>
        <v>1790.9871893466905</v>
      </c>
      <c r="AC63" s="10">
        <f t="shared" ref="AC63" si="188">SUM(AC61:AC62)</f>
        <v>1810.7598721192933</v>
      </c>
    </row>
    <row r="64" spans="1:33" x14ac:dyDescent="0.3">
      <c r="A64" s="9" t="s">
        <v>7</v>
      </c>
      <c r="B64" s="9" t="s">
        <v>10</v>
      </c>
      <c r="C64" s="17" t="s">
        <v>164</v>
      </c>
      <c r="D64" s="10" t="s">
        <v>64</v>
      </c>
      <c r="J64" s="8">
        <f t="shared" ref="J64:N64" si="189">J63/J59</f>
        <v>1.021708767161527</v>
      </c>
      <c r="K64" s="8">
        <f t="shared" si="189"/>
        <v>1.0075119105725781</v>
      </c>
      <c r="L64" s="8">
        <f t="shared" si="189"/>
        <v>0.98975057787508314</v>
      </c>
      <c r="M64" s="8">
        <f t="shared" si="189"/>
        <v>1.0058523915926816</v>
      </c>
      <c r="N64" s="8">
        <f t="shared" si="189"/>
        <v>0.97968325628165509</v>
      </c>
      <c r="O64" s="8">
        <f>O63/O59</f>
        <v>1.0018242351747719</v>
      </c>
      <c r="P64" s="8">
        <f t="shared" ref="P64" si="190">P63/P59</f>
        <v>0.97350018459780407</v>
      </c>
      <c r="Q64" s="8">
        <f t="shared" ref="Q64" si="191">Q63/Q59</f>
        <v>0.99717629126351237</v>
      </c>
      <c r="R64" s="8">
        <f t="shared" ref="R64" si="192">R63/R59</f>
        <v>0.99961995473775167</v>
      </c>
      <c r="S64" s="8">
        <f t="shared" ref="S64" si="193">S63/S59</f>
        <v>0.99766226994410057</v>
      </c>
      <c r="T64" s="8">
        <f t="shared" ref="T64" si="194">T63/T59</f>
        <v>1.0142953085196664</v>
      </c>
      <c r="U64" s="8">
        <f t="shared" ref="U64" si="195">U63/U59</f>
        <v>1.0093056270720322</v>
      </c>
      <c r="V64" s="8">
        <f t="shared" ref="V64:X64" si="196">V63/V59</f>
        <v>1.0259792950996698</v>
      </c>
      <c r="W64" s="8">
        <f t="shared" si="196"/>
        <v>0.99922082575457061</v>
      </c>
      <c r="X64" s="8">
        <f t="shared" si="196"/>
        <v>0.99362295624493724</v>
      </c>
      <c r="Y64" s="8">
        <f t="shared" ref="Y64" si="197">Y63/Y59</f>
        <v>0.98655876886521265</v>
      </c>
      <c r="AB64" s="10"/>
      <c r="AC64" s="10"/>
    </row>
    <row r="65" spans="1:33" x14ac:dyDescent="0.3">
      <c r="C65" s="17"/>
      <c r="D65" s="10"/>
      <c r="O65" s="47"/>
      <c r="P65" s="47"/>
      <c r="Q65" s="10"/>
      <c r="R65" s="10"/>
      <c r="S65" s="10"/>
      <c r="T65" s="10"/>
      <c r="U65" s="10"/>
      <c r="V65" s="10"/>
      <c r="W65" s="10"/>
      <c r="X65" s="10"/>
      <c r="Y65" s="10"/>
      <c r="AB65" s="10"/>
      <c r="AC65" s="10"/>
    </row>
    <row r="66" spans="1:33" s="97" customFormat="1" x14ac:dyDescent="0.3">
      <c r="A66" s="97" t="s">
        <v>7</v>
      </c>
      <c r="B66" s="97" t="s">
        <v>311</v>
      </c>
      <c r="C66" s="17" t="s">
        <v>241</v>
      </c>
      <c r="D66" s="10"/>
      <c r="J66" s="97">
        <f t="shared" ref="J66:M66" si="198">J123</f>
        <v>4463</v>
      </c>
      <c r="K66" s="97">
        <f t="shared" si="198"/>
        <v>4521</v>
      </c>
      <c r="L66" s="97">
        <f t="shared" si="198"/>
        <v>4403.8999999999996</v>
      </c>
      <c r="M66" s="97">
        <f t="shared" si="198"/>
        <v>4289</v>
      </c>
      <c r="N66" s="97">
        <f>N123</f>
        <v>4679</v>
      </c>
      <c r="O66" s="97">
        <f t="shared" ref="O66:Y66" si="199">O123</f>
        <v>5403</v>
      </c>
      <c r="P66" s="97">
        <f t="shared" si="199"/>
        <v>4356</v>
      </c>
      <c r="Q66" s="97">
        <f t="shared" si="199"/>
        <v>4936</v>
      </c>
      <c r="R66" s="97">
        <f t="shared" si="199"/>
        <v>4312</v>
      </c>
      <c r="S66" s="97">
        <f t="shared" si="199"/>
        <v>4349</v>
      </c>
      <c r="T66" s="97">
        <f t="shared" si="199"/>
        <v>3975</v>
      </c>
      <c r="U66" s="97">
        <f t="shared" si="199"/>
        <v>4540</v>
      </c>
      <c r="V66" s="97">
        <f t="shared" si="199"/>
        <v>4458</v>
      </c>
      <c r="W66" s="97">
        <f t="shared" si="199"/>
        <v>4405</v>
      </c>
      <c r="X66" s="97">
        <f t="shared" si="199"/>
        <v>4376</v>
      </c>
      <c r="Y66" s="97">
        <f t="shared" si="199"/>
        <v>3915</v>
      </c>
      <c r="Z66" s="33"/>
      <c r="AA66" s="33"/>
      <c r="AB66" s="10">
        <v>4231.2806153846177</v>
      </c>
      <c r="AC66" s="10">
        <v>4125.2452307692292</v>
      </c>
    </row>
    <row r="67" spans="1:33" s="97" customFormat="1" x14ac:dyDescent="0.3">
      <c r="A67" s="97" t="s">
        <v>7</v>
      </c>
      <c r="B67" s="97" t="s">
        <v>311</v>
      </c>
      <c r="C67" s="17" t="s">
        <v>61</v>
      </c>
      <c r="D67" s="10" t="s">
        <v>62</v>
      </c>
      <c r="J67" s="48">
        <f t="shared" ref="J67:M67" si="200">J114</f>
        <v>0.124205</v>
      </c>
      <c r="K67" s="48">
        <f t="shared" si="200"/>
        <v>0.125221</v>
      </c>
      <c r="L67" s="48">
        <f t="shared" si="200"/>
        <v>0.12654599999999999</v>
      </c>
      <c r="M67" s="48">
        <f t="shared" si="200"/>
        <v>0.128028</v>
      </c>
      <c r="N67" s="48">
        <f>N114</f>
        <v>0.12962299999999999</v>
      </c>
      <c r="O67" s="48">
        <f t="shared" ref="O67:Y67" si="201">O114</f>
        <v>0.13081599999999999</v>
      </c>
      <c r="P67" s="48">
        <f t="shared" si="201"/>
        <v>0.13206200000000001</v>
      </c>
      <c r="Q67" s="48">
        <f t="shared" si="201"/>
        <v>0.13348199999999999</v>
      </c>
      <c r="R67" s="48">
        <f t="shared" si="201"/>
        <v>0.134658</v>
      </c>
      <c r="S67" s="48">
        <f t="shared" si="201"/>
        <v>0.13578000000000001</v>
      </c>
      <c r="T67" s="48">
        <f t="shared" si="201"/>
        <v>0.13736799999999999</v>
      </c>
      <c r="U67" s="48">
        <f t="shared" si="201"/>
        <v>0.13885</v>
      </c>
      <c r="V67" s="48">
        <f t="shared" si="201"/>
        <v>0.14018800000000001</v>
      </c>
      <c r="W67" s="48">
        <f t="shared" si="201"/>
        <v>0.14130499999999999</v>
      </c>
      <c r="X67" s="48">
        <f t="shared" si="201"/>
        <v>0.1424</v>
      </c>
      <c r="Y67" s="48">
        <f t="shared" si="201"/>
        <v>0.14341999999999999</v>
      </c>
      <c r="Z67" s="33"/>
      <c r="AA67" s="33"/>
      <c r="AB67" s="48">
        <v>0.14840300000000001</v>
      </c>
      <c r="AC67" s="48">
        <v>0.15176000000000001</v>
      </c>
    </row>
    <row r="68" spans="1:33" s="97" customFormat="1" x14ac:dyDescent="0.3">
      <c r="A68" s="97" t="s">
        <v>7</v>
      </c>
      <c r="B68" s="97" t="s">
        <v>311</v>
      </c>
      <c r="C68" s="17" t="s">
        <v>163</v>
      </c>
      <c r="D68" s="10" t="s">
        <v>64</v>
      </c>
      <c r="J68" s="47">
        <f t="shared" ref="J68:M68" si="202">J104</f>
        <v>972.9</v>
      </c>
      <c r="K68" s="47">
        <f t="shared" si="202"/>
        <v>1019.3</v>
      </c>
      <c r="L68" s="47">
        <f t="shared" si="202"/>
        <v>1047.4000000000001</v>
      </c>
      <c r="M68" s="47">
        <f t="shared" si="202"/>
        <v>1063.5999999999999</v>
      </c>
      <c r="N68" s="47">
        <f>N104</f>
        <v>1183.2</v>
      </c>
      <c r="O68" s="47">
        <f t="shared" ref="O68:Y68" si="203">O104</f>
        <v>1295.2</v>
      </c>
      <c r="P68" s="47">
        <f t="shared" si="203"/>
        <v>1103.2</v>
      </c>
      <c r="Q68" s="47">
        <f t="shared" si="203"/>
        <v>1217.3</v>
      </c>
      <c r="R68" s="47">
        <f t="shared" si="203"/>
        <v>1134.3000000000002</v>
      </c>
      <c r="S68" s="47">
        <f t="shared" si="203"/>
        <v>1106.0999999999999</v>
      </c>
      <c r="T68" s="47">
        <f t="shared" si="203"/>
        <v>1095.2</v>
      </c>
      <c r="U68" s="47">
        <f t="shared" si="203"/>
        <v>1200.7</v>
      </c>
      <c r="V68" s="47">
        <f t="shared" si="203"/>
        <v>1189.0999999999999</v>
      </c>
      <c r="W68" s="47">
        <f t="shared" si="203"/>
        <v>1192.0999999999999</v>
      </c>
      <c r="X68" s="47">
        <f t="shared" si="203"/>
        <v>1195.2</v>
      </c>
      <c r="Y68" s="47">
        <f t="shared" si="203"/>
        <v>1086.3</v>
      </c>
      <c r="AB68" s="10"/>
      <c r="AC68" s="10"/>
      <c r="AE68" s="97" t="s">
        <v>82</v>
      </c>
      <c r="AF68" s="97" t="s">
        <v>83</v>
      </c>
      <c r="AG68" s="97" t="s">
        <v>81</v>
      </c>
    </row>
    <row r="69" spans="1:33" s="97" customFormat="1" x14ac:dyDescent="0.3">
      <c r="A69" s="97" t="s">
        <v>7</v>
      </c>
      <c r="B69" s="97" t="s">
        <v>311</v>
      </c>
      <c r="C69" s="17" t="s">
        <v>74</v>
      </c>
      <c r="D69" s="10" t="s">
        <v>64</v>
      </c>
      <c r="J69" s="10">
        <f t="shared" ref="J69:P69" si="204">J68-J70</f>
        <v>799.65941414986355</v>
      </c>
      <c r="K69" s="10">
        <f t="shared" si="204"/>
        <v>846.05941414986364</v>
      </c>
      <c r="L69" s="10">
        <f t="shared" si="204"/>
        <v>874.15941414986378</v>
      </c>
      <c r="M69" s="10">
        <f t="shared" si="204"/>
        <v>890.3594141498636</v>
      </c>
      <c r="N69" s="10">
        <f t="shared" si="204"/>
        <v>1009.9594141498637</v>
      </c>
      <c r="O69" s="10">
        <f t="shared" si="204"/>
        <v>1121.9594141498637</v>
      </c>
      <c r="P69" s="10">
        <f t="shared" si="204"/>
        <v>929.95941414986373</v>
      </c>
      <c r="Q69" s="10">
        <f>Q68-Q70</f>
        <v>1044.0594141498636</v>
      </c>
      <c r="R69" s="10">
        <f t="shared" ref="R69:Y69" si="205">R68-R70</f>
        <v>961.05941414986387</v>
      </c>
      <c r="S69" s="10">
        <f t="shared" si="205"/>
        <v>932.8594141498636</v>
      </c>
      <c r="T69" s="10">
        <f t="shared" si="205"/>
        <v>921.95941414986373</v>
      </c>
      <c r="U69" s="10">
        <f t="shared" si="205"/>
        <v>1027.4594141498637</v>
      </c>
      <c r="V69" s="10">
        <f t="shared" si="205"/>
        <v>1015.8594141498636</v>
      </c>
      <c r="W69" s="10">
        <f t="shared" si="205"/>
        <v>1018.8594141498636</v>
      </c>
      <c r="X69" s="10">
        <f t="shared" si="205"/>
        <v>1021.9594141498637</v>
      </c>
      <c r="Y69" s="10">
        <f t="shared" si="205"/>
        <v>913.05941414986364</v>
      </c>
      <c r="AB69" s="10"/>
      <c r="AC69" s="10"/>
      <c r="AE69" s="97">
        <f t="array" ref="AE69:AG69">LINEST(J69:Y69,J66:Y67)</f>
        <v>10558.818496079542</v>
      </c>
      <c r="AF69" s="97">
        <v>0.2091996217184994</v>
      </c>
      <c r="AG69" s="97">
        <v>-1390.0754177396834</v>
      </c>
    </row>
    <row r="70" spans="1:33" s="97" customFormat="1" x14ac:dyDescent="0.3">
      <c r="A70" s="97" t="s">
        <v>7</v>
      </c>
      <c r="B70" s="97" t="s">
        <v>311</v>
      </c>
      <c r="C70" s="17" t="s">
        <v>76</v>
      </c>
      <c r="D70" s="10" t="s">
        <v>64</v>
      </c>
      <c r="J70" s="10">
        <f t="shared" ref="J70:Y70" si="206">$AB67/$AB$3*$AB$5</f>
        <v>173.24058585013637</v>
      </c>
      <c r="K70" s="10">
        <f t="shared" si="206"/>
        <v>173.24058585013637</v>
      </c>
      <c r="L70" s="10">
        <f t="shared" si="206"/>
        <v>173.24058585013637</v>
      </c>
      <c r="M70" s="10">
        <f t="shared" si="206"/>
        <v>173.24058585013637</v>
      </c>
      <c r="N70" s="10">
        <f t="shared" si="206"/>
        <v>173.24058585013637</v>
      </c>
      <c r="O70" s="10">
        <f t="shared" si="206"/>
        <v>173.24058585013637</v>
      </c>
      <c r="P70" s="10">
        <f t="shared" si="206"/>
        <v>173.24058585013637</v>
      </c>
      <c r="Q70" s="10">
        <f t="shared" si="206"/>
        <v>173.24058585013637</v>
      </c>
      <c r="R70" s="10">
        <f t="shared" si="206"/>
        <v>173.24058585013637</v>
      </c>
      <c r="S70" s="10">
        <f t="shared" si="206"/>
        <v>173.24058585013637</v>
      </c>
      <c r="T70" s="10">
        <f t="shared" si="206"/>
        <v>173.24058585013637</v>
      </c>
      <c r="U70" s="10">
        <f t="shared" si="206"/>
        <v>173.24058585013637</v>
      </c>
      <c r="V70" s="10">
        <f t="shared" si="206"/>
        <v>173.24058585013637</v>
      </c>
      <c r="W70" s="10">
        <f t="shared" si="206"/>
        <v>173.24058585013637</v>
      </c>
      <c r="X70" s="10">
        <f t="shared" si="206"/>
        <v>173.24058585013637</v>
      </c>
      <c r="Y70" s="10">
        <f t="shared" si="206"/>
        <v>173.24058585013637</v>
      </c>
      <c r="AB70" s="10">
        <f>$AB67/$AB$3*$AB$5</f>
        <v>173.24058585013637</v>
      </c>
      <c r="AC70" s="10">
        <f>$AB67/$AB$3*$AB$5</f>
        <v>173.24058585013637</v>
      </c>
    </row>
    <row r="71" spans="1:33" s="97" customFormat="1" x14ac:dyDescent="0.3">
      <c r="A71" s="97" t="s">
        <v>7</v>
      </c>
      <c r="B71" s="97" t="s">
        <v>311</v>
      </c>
      <c r="C71" s="17" t="s">
        <v>206</v>
      </c>
      <c r="D71" s="10" t="s">
        <v>64</v>
      </c>
      <c r="J71" s="10">
        <f t="shared" ref="J71:N71" si="207">$AF69*J66+$AE69*J67+$AG69</f>
        <v>855.04054529553878</v>
      </c>
      <c r="K71" s="10">
        <f t="shared" si="207"/>
        <v>877.90188294722884</v>
      </c>
      <c r="L71" s="10">
        <f t="shared" si="207"/>
        <v>867.39504175129787</v>
      </c>
      <c r="M71" s="10">
        <f t="shared" si="207"/>
        <v>859.00617422703226</v>
      </c>
      <c r="N71" s="10">
        <f t="shared" si="207"/>
        <v>957.4353421984938</v>
      </c>
      <c r="O71" s="10">
        <f>$AF69*O66+$AE69*O67+$AG69</f>
        <v>1121.49253878851</v>
      </c>
      <c r="P71" s="10">
        <f>$AF69*P66+$AE69*P67+$AG69</f>
        <v>915.61682269535686</v>
      </c>
      <c r="Q71" s="10">
        <f t="shared" ref="Q71:Y71" si="208">$AF69*Q66+$AE69*Q67+$AG69</f>
        <v>1051.9461255565188</v>
      </c>
      <c r="R71" s="10">
        <f t="shared" si="208"/>
        <v>933.82273215556506</v>
      </c>
      <c r="S71" s="10">
        <f t="shared" si="208"/>
        <v>953.41011251175087</v>
      </c>
      <c r="T71" s="10">
        <f t="shared" si="208"/>
        <v>891.93685776080611</v>
      </c>
      <c r="U71" s="10">
        <f t="shared" si="208"/>
        <v>1025.7828130429484</v>
      </c>
      <c r="V71" s="10">
        <f t="shared" si="208"/>
        <v>1022.7561432097859</v>
      </c>
      <c r="W71" s="10">
        <f t="shared" si="208"/>
        <v>1023.4627635188263</v>
      </c>
      <c r="X71" s="10">
        <f t="shared" si="208"/>
        <v>1028.9578807421967</v>
      </c>
      <c r="Y71" s="10">
        <f t="shared" si="208"/>
        <v>943.28684999596953</v>
      </c>
      <c r="AB71" s="10">
        <f t="shared" ref="AB71:AC71" si="209">$AF69*AB66+$AE69*AB67+$AG69</f>
        <v>1062.0672276572905</v>
      </c>
      <c r="AC71" s="10">
        <f t="shared" si="209"/>
        <v>1075.3306189983145</v>
      </c>
    </row>
    <row r="72" spans="1:33" s="97" customFormat="1" x14ac:dyDescent="0.3">
      <c r="A72" s="97" t="s">
        <v>7</v>
      </c>
      <c r="B72" s="97" t="s">
        <v>311</v>
      </c>
      <c r="C72" s="17" t="s">
        <v>85</v>
      </c>
      <c r="D72" s="10" t="s">
        <v>64</v>
      </c>
      <c r="J72" s="10">
        <f t="shared" ref="J72:N72" si="210">SUM(J70:J71)</f>
        <v>1028.2811311456751</v>
      </c>
      <c r="K72" s="10">
        <f t="shared" si="210"/>
        <v>1051.1424687973652</v>
      </c>
      <c r="L72" s="10">
        <f t="shared" si="210"/>
        <v>1040.6356276014342</v>
      </c>
      <c r="M72" s="10">
        <f t="shared" si="210"/>
        <v>1032.2467600771686</v>
      </c>
      <c r="N72" s="10">
        <f t="shared" si="210"/>
        <v>1130.6759280486301</v>
      </c>
      <c r="O72" s="10">
        <f>SUM(O70:O71)</f>
        <v>1294.7331246386464</v>
      </c>
      <c r="P72" s="10">
        <f t="shared" ref="P72:Y72" si="211">SUM(P70:P71)</f>
        <v>1088.8574085454932</v>
      </c>
      <c r="Q72" s="10">
        <f t="shared" si="211"/>
        <v>1225.1867114066551</v>
      </c>
      <c r="R72" s="10">
        <f t="shared" si="211"/>
        <v>1107.0633180057014</v>
      </c>
      <c r="S72" s="10">
        <f t="shared" si="211"/>
        <v>1126.6506983618872</v>
      </c>
      <c r="T72" s="10">
        <f t="shared" si="211"/>
        <v>1065.1774436109424</v>
      </c>
      <c r="U72" s="10">
        <f t="shared" si="211"/>
        <v>1199.0233988930847</v>
      </c>
      <c r="V72" s="10">
        <f t="shared" si="211"/>
        <v>1195.9967290599222</v>
      </c>
      <c r="W72" s="10">
        <f t="shared" si="211"/>
        <v>1196.7033493689626</v>
      </c>
      <c r="X72" s="10">
        <f t="shared" si="211"/>
        <v>1202.198466592333</v>
      </c>
      <c r="Y72" s="10">
        <f t="shared" si="211"/>
        <v>1116.5274358461058</v>
      </c>
      <c r="AB72" s="10">
        <f t="shared" ref="AB72:AC72" si="212">SUM(AB70:AB71)</f>
        <v>1235.3078135074268</v>
      </c>
      <c r="AC72" s="10">
        <f t="shared" si="212"/>
        <v>1248.5712048484509</v>
      </c>
    </row>
    <row r="73" spans="1:33" s="97" customFormat="1" x14ac:dyDescent="0.3">
      <c r="A73" s="97" t="s">
        <v>7</v>
      </c>
      <c r="B73" s="97" t="s">
        <v>311</v>
      </c>
      <c r="C73" s="17" t="s">
        <v>164</v>
      </c>
      <c r="D73" s="10" t="s">
        <v>64</v>
      </c>
      <c r="J73" s="8">
        <f t="shared" ref="J73:N73" si="213">J72/J68</f>
        <v>1.0569237651821104</v>
      </c>
      <c r="K73" s="8">
        <f t="shared" si="213"/>
        <v>1.0312395455679046</v>
      </c>
      <c r="L73" s="8">
        <f t="shared" si="213"/>
        <v>0.99354174871246337</v>
      </c>
      <c r="M73" s="8">
        <f t="shared" si="213"/>
        <v>0.97052158713535974</v>
      </c>
      <c r="N73" s="8">
        <f t="shared" si="213"/>
        <v>0.95560845845895037</v>
      </c>
      <c r="O73" s="8">
        <f>O72/O68</f>
        <v>0.99963953415584184</v>
      </c>
      <c r="P73" s="8">
        <f t="shared" ref="P73:Y73" si="214">P72/P68</f>
        <v>0.98699910129214385</v>
      </c>
      <c r="Q73" s="8">
        <f t="shared" si="214"/>
        <v>1.0064788559982381</v>
      </c>
      <c r="R73" s="8">
        <f t="shared" si="214"/>
        <v>0.97598811426051413</v>
      </c>
      <c r="S73" s="8">
        <f t="shared" si="214"/>
        <v>1.0185794217176452</v>
      </c>
      <c r="T73" s="8">
        <f t="shared" si="214"/>
        <v>0.97258714719771944</v>
      </c>
      <c r="U73" s="8">
        <f t="shared" si="214"/>
        <v>0.998603646950183</v>
      </c>
      <c r="V73" s="8">
        <f t="shared" si="214"/>
        <v>1.0057999571608127</v>
      </c>
      <c r="W73" s="8">
        <f t="shared" si="214"/>
        <v>1.0038615463207472</v>
      </c>
      <c r="X73" s="8">
        <f t="shared" si="214"/>
        <v>1.0058554774032238</v>
      </c>
      <c r="Y73" s="8">
        <f t="shared" si="214"/>
        <v>1.0278260479113559</v>
      </c>
      <c r="AB73" s="10"/>
      <c r="AC73" s="10"/>
    </row>
    <row r="74" spans="1:33" x14ac:dyDescent="0.3">
      <c r="C74" s="17"/>
      <c r="D74" s="10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AB74" s="10"/>
      <c r="AC74" s="8"/>
      <c r="AD74" s="16"/>
    </row>
    <row r="76" spans="1:33" x14ac:dyDescent="0.3">
      <c r="C76" s="9" t="s">
        <v>175</v>
      </c>
    </row>
    <row r="77" spans="1:33" x14ac:dyDescent="0.3">
      <c r="C77" s="9" t="s">
        <v>264</v>
      </c>
      <c r="S77" s="22" t="s">
        <v>72</v>
      </c>
      <c r="T77" s="23" t="s">
        <v>16</v>
      </c>
      <c r="U77" s="23" t="s">
        <v>17</v>
      </c>
      <c r="V77" s="23" t="s">
        <v>18</v>
      </c>
      <c r="W77" s="23" t="s">
        <v>19</v>
      </c>
      <c r="X77" s="23" t="s">
        <v>20</v>
      </c>
      <c r="Y77" s="23" t="s">
        <v>21</v>
      </c>
      <c r="Z77" s="23" t="s">
        <v>22</v>
      </c>
      <c r="AA77" s="23" t="s">
        <v>23</v>
      </c>
      <c r="AB77" s="23" t="s">
        <v>24</v>
      </c>
      <c r="AC77" s="23" t="s">
        <v>25</v>
      </c>
    </row>
    <row r="78" spans="1:33" x14ac:dyDescent="0.3">
      <c r="C78" s="9" t="s">
        <v>176</v>
      </c>
      <c r="S78" s="24" t="s">
        <v>73</v>
      </c>
      <c r="T78" s="82" t="s">
        <v>51</v>
      </c>
      <c r="U78" s="82" t="s">
        <v>51</v>
      </c>
      <c r="V78" s="82" t="s">
        <v>51</v>
      </c>
      <c r="W78" s="82" t="s">
        <v>51</v>
      </c>
      <c r="X78" s="82" t="s">
        <v>51</v>
      </c>
      <c r="Y78" s="83">
        <v>207062.21400000001</v>
      </c>
      <c r="Z78" s="83">
        <v>223480.74400000001</v>
      </c>
      <c r="AA78" s="84">
        <v>240941.42</v>
      </c>
      <c r="AB78" s="83">
        <v>238571.56899999999</v>
      </c>
      <c r="AC78" s="83">
        <v>235548.95699999999</v>
      </c>
    </row>
    <row r="79" spans="1:33" x14ac:dyDescent="0.3">
      <c r="C79" s="9" t="s">
        <v>244</v>
      </c>
      <c r="S79" s="24" t="s">
        <v>74</v>
      </c>
      <c r="T79" s="82" t="s">
        <v>51</v>
      </c>
      <c r="U79" s="82" t="s">
        <v>51</v>
      </c>
      <c r="V79" s="82" t="s">
        <v>51</v>
      </c>
      <c r="W79" s="82" t="s">
        <v>51</v>
      </c>
      <c r="X79" s="82" t="s">
        <v>51</v>
      </c>
      <c r="Y79" s="83">
        <v>133057.17300000001</v>
      </c>
      <c r="Z79" s="83">
        <v>147541.614</v>
      </c>
      <c r="AA79" s="83">
        <v>162712.47500000001</v>
      </c>
      <c r="AB79" s="84">
        <v>159700.91</v>
      </c>
      <c r="AC79" s="83">
        <v>155609.538</v>
      </c>
    </row>
    <row r="80" spans="1:33" x14ac:dyDescent="0.3">
      <c r="C80" s="9" t="s">
        <v>245</v>
      </c>
      <c r="S80" s="24" t="s">
        <v>75</v>
      </c>
      <c r="T80" s="25" t="s">
        <v>51</v>
      </c>
      <c r="U80" s="25" t="s">
        <v>51</v>
      </c>
      <c r="V80" s="25" t="s">
        <v>51</v>
      </c>
      <c r="W80" s="25" t="s">
        <v>51</v>
      </c>
      <c r="X80" s="25" t="s">
        <v>51</v>
      </c>
      <c r="Y80" s="25" t="s">
        <v>51</v>
      </c>
      <c r="Z80" s="25" t="s">
        <v>51</v>
      </c>
      <c r="AA80" s="25" t="s">
        <v>51</v>
      </c>
      <c r="AB80" s="25" t="s">
        <v>51</v>
      </c>
      <c r="AC80" s="25" t="s">
        <v>51</v>
      </c>
    </row>
    <row r="81" spans="2:31" x14ac:dyDescent="0.3">
      <c r="S81" s="24" t="s">
        <v>76</v>
      </c>
      <c r="T81" s="82" t="s">
        <v>51</v>
      </c>
      <c r="U81" s="82" t="s">
        <v>51</v>
      </c>
      <c r="V81" s="82" t="s">
        <v>51</v>
      </c>
      <c r="W81" s="82" t="s">
        <v>51</v>
      </c>
      <c r="X81" s="82" t="s">
        <v>51</v>
      </c>
      <c r="Y81" s="83">
        <v>32689.885999999999</v>
      </c>
      <c r="Z81" s="84">
        <v>32772.86</v>
      </c>
      <c r="AA81" s="83">
        <v>35779.724999999999</v>
      </c>
      <c r="AB81" s="83">
        <v>35864.258999999998</v>
      </c>
      <c r="AC81" s="83">
        <v>36028.019</v>
      </c>
    </row>
    <row r="82" spans="2:31" x14ac:dyDescent="0.3">
      <c r="S82" s="24" t="s">
        <v>77</v>
      </c>
      <c r="T82" s="25" t="s">
        <v>51</v>
      </c>
      <c r="U82" s="25" t="s">
        <v>51</v>
      </c>
      <c r="V82" s="25" t="s">
        <v>51</v>
      </c>
      <c r="W82" s="25" t="s">
        <v>51</v>
      </c>
      <c r="X82" s="25" t="s">
        <v>51</v>
      </c>
      <c r="Y82" s="26"/>
      <c r="Z82" s="27"/>
      <c r="AA82" s="26"/>
      <c r="AB82" s="27"/>
      <c r="AC82" s="27"/>
    </row>
    <row r="86" spans="2:31" x14ac:dyDescent="0.3">
      <c r="AE86" s="9" t="s">
        <v>78</v>
      </c>
    </row>
    <row r="87" spans="2:31" x14ac:dyDescent="0.3">
      <c r="S87" s="9" t="s">
        <v>167</v>
      </c>
      <c r="Y87" s="8">
        <f>Y81/(Y79+Y81)</f>
        <v>0.19722754779015414</v>
      </c>
      <c r="Z87" s="8">
        <f t="shared" ref="Z87:AC87" si="215">Z81/(Z79+Z81)</f>
        <v>0.18175390623383902</v>
      </c>
      <c r="AA87" s="8">
        <f t="shared" si="215"/>
        <v>0.18025758694800095</v>
      </c>
      <c r="AB87" s="8">
        <f t="shared" si="215"/>
        <v>0.18338776369732793</v>
      </c>
      <c r="AC87" s="8">
        <f t="shared" si="215"/>
        <v>0.18800082595500839</v>
      </c>
      <c r="AE87" s="28">
        <f>AVERAGE(Y87:AC87)</f>
        <v>0.18612552612486608</v>
      </c>
    </row>
    <row r="93" spans="2:31" x14ac:dyDescent="0.3">
      <c r="B93" s="59" t="s">
        <v>253</v>
      </c>
      <c r="J93" s="2">
        <v>2005</v>
      </c>
      <c r="K93" s="2">
        <v>2006</v>
      </c>
      <c r="L93" s="2">
        <v>2007</v>
      </c>
      <c r="M93" s="2">
        <v>2008</v>
      </c>
      <c r="N93" s="1">
        <v>2009</v>
      </c>
      <c r="O93" s="1">
        <v>2010</v>
      </c>
      <c r="P93" s="1">
        <v>2011</v>
      </c>
      <c r="Q93" s="1">
        <v>2012</v>
      </c>
      <c r="R93" s="1">
        <v>2013</v>
      </c>
      <c r="S93" s="1">
        <v>2014</v>
      </c>
      <c r="T93" s="1">
        <v>2015</v>
      </c>
      <c r="U93" s="1">
        <v>2016</v>
      </c>
      <c r="V93" s="1">
        <v>2017</v>
      </c>
      <c r="W93" s="1">
        <v>2018</v>
      </c>
      <c r="X93" s="1">
        <v>2019</v>
      </c>
      <c r="Y93" s="1">
        <v>2020</v>
      </c>
    </row>
    <row r="94" spans="2:31" x14ac:dyDescent="0.3">
      <c r="B94" s="59" t="s">
        <v>11</v>
      </c>
      <c r="J94" s="59">
        <v>7072.8</v>
      </c>
      <c r="K94" s="59">
        <v>7183.5</v>
      </c>
      <c r="L94" s="59">
        <v>6863.9</v>
      </c>
      <c r="M94" s="59">
        <v>6532.9</v>
      </c>
      <c r="N94" s="59">
        <v>7183.5</v>
      </c>
      <c r="O94" s="59">
        <v>7770.9</v>
      </c>
      <c r="P94" s="59">
        <v>6881.8</v>
      </c>
      <c r="Q94" s="59">
        <v>7302.2</v>
      </c>
      <c r="R94" s="59">
        <v>6958.2000000000007</v>
      </c>
      <c r="S94" s="59">
        <v>6882.9000000000005</v>
      </c>
      <c r="T94" s="59">
        <v>6440.5</v>
      </c>
      <c r="U94" s="59">
        <v>7099.5</v>
      </c>
      <c r="V94" s="59">
        <v>7100.6</v>
      </c>
      <c r="W94" s="59">
        <v>7196.5</v>
      </c>
      <c r="X94" s="59">
        <v>7037.8</v>
      </c>
      <c r="Y94" s="59">
        <v>6418.2</v>
      </c>
    </row>
    <row r="95" spans="2:31" x14ac:dyDescent="0.3">
      <c r="B95" s="59" t="s">
        <v>12</v>
      </c>
      <c r="J95" s="59">
        <v>2107.6</v>
      </c>
      <c r="K95" s="59">
        <v>2191.5</v>
      </c>
      <c r="L95" s="59">
        <v>2103.5</v>
      </c>
      <c r="M95" s="59">
        <v>2125.6999999999998</v>
      </c>
      <c r="N95" s="59">
        <v>2363.3000000000002</v>
      </c>
      <c r="O95" s="59">
        <v>2504.4</v>
      </c>
      <c r="P95" s="59">
        <v>2187.6</v>
      </c>
      <c r="Q95" s="59">
        <v>2390.5</v>
      </c>
      <c r="R95" s="59">
        <v>2288.1999999999998</v>
      </c>
      <c r="S95" s="59">
        <v>2280.1</v>
      </c>
      <c r="T95" s="59">
        <v>2146.1000000000004</v>
      </c>
      <c r="U95" s="59">
        <v>2413.6999999999998</v>
      </c>
      <c r="V95" s="59">
        <v>2389.8000000000002</v>
      </c>
      <c r="W95" s="59">
        <v>2380.6999999999998</v>
      </c>
      <c r="X95" s="59">
        <v>2370.9</v>
      </c>
      <c r="Y95" s="59">
        <v>2152.4</v>
      </c>
    </row>
    <row r="96" spans="2:31" x14ac:dyDescent="0.3">
      <c r="B96" s="9" t="s">
        <v>251</v>
      </c>
      <c r="J96" s="9">
        <v>1733.5</v>
      </c>
      <c r="K96" s="9">
        <v>1752.6</v>
      </c>
      <c r="L96" s="9">
        <v>1715.9</v>
      </c>
      <c r="M96" s="9">
        <v>1669</v>
      </c>
      <c r="N96" s="9">
        <v>1876</v>
      </c>
      <c r="O96" s="9">
        <v>2048.8000000000002</v>
      </c>
      <c r="P96" s="9">
        <v>1764.1000000000001</v>
      </c>
      <c r="Q96" s="9">
        <v>1901.9</v>
      </c>
      <c r="R96" s="9">
        <v>1790.1000000000001</v>
      </c>
      <c r="S96" s="9">
        <v>1803.8</v>
      </c>
      <c r="T96" s="9">
        <v>1727.1000000000001</v>
      </c>
      <c r="U96" s="9">
        <v>1889.1</v>
      </c>
      <c r="V96" s="9">
        <v>1906.5</v>
      </c>
      <c r="W96" s="9">
        <v>1929.6</v>
      </c>
      <c r="X96" s="9">
        <v>1864.7</v>
      </c>
      <c r="Y96" s="9">
        <v>1734.6</v>
      </c>
    </row>
    <row r="97" spans="2:33" x14ac:dyDescent="0.3">
      <c r="B97" s="9" t="s">
        <v>252</v>
      </c>
      <c r="J97" s="9">
        <v>105.2</v>
      </c>
      <c r="K97" s="9">
        <v>106.9</v>
      </c>
      <c r="L97" s="9">
        <v>102.1</v>
      </c>
      <c r="M97" s="9">
        <v>95.7</v>
      </c>
      <c r="N97" s="9">
        <v>111.2</v>
      </c>
      <c r="O97" s="9">
        <v>125.6</v>
      </c>
      <c r="P97" s="9">
        <v>104.4</v>
      </c>
      <c r="Q97" s="9">
        <v>113.6</v>
      </c>
      <c r="R97" s="9">
        <v>97.5</v>
      </c>
    </row>
    <row r="98" spans="2:33" x14ac:dyDescent="0.3">
      <c r="B98" s="59" t="s">
        <v>13</v>
      </c>
      <c r="J98" s="59">
        <f t="shared" ref="J98:P98" si="216">SUM(J96:J97)</f>
        <v>1838.7</v>
      </c>
      <c r="K98" s="59">
        <f t="shared" si="216"/>
        <v>1859.5</v>
      </c>
      <c r="L98" s="59">
        <f t="shared" si="216"/>
        <v>1818</v>
      </c>
      <c r="M98" s="59">
        <f t="shared" si="216"/>
        <v>1764.7</v>
      </c>
      <c r="N98" s="59">
        <f t="shared" si="216"/>
        <v>1987.2</v>
      </c>
      <c r="O98" s="59">
        <f t="shared" si="216"/>
        <v>2174.4</v>
      </c>
      <c r="P98" s="59">
        <f t="shared" si="216"/>
        <v>1868.5000000000002</v>
      </c>
      <c r="Q98" s="59">
        <f>SUM(Q96:Q97)</f>
        <v>2015.5</v>
      </c>
      <c r="R98" s="59">
        <f t="shared" ref="R98:Y98" si="217">SUM(R96:R97)</f>
        <v>1887.6000000000001</v>
      </c>
      <c r="S98" s="59">
        <f t="shared" si="217"/>
        <v>1803.8</v>
      </c>
      <c r="T98" s="59">
        <f t="shared" si="217"/>
        <v>1727.1000000000001</v>
      </c>
      <c r="U98" s="59">
        <f t="shared" si="217"/>
        <v>1889.1</v>
      </c>
      <c r="V98" s="59">
        <f t="shared" si="217"/>
        <v>1906.5</v>
      </c>
      <c r="W98" s="59">
        <f t="shared" si="217"/>
        <v>1929.6</v>
      </c>
      <c r="X98" s="59">
        <f t="shared" si="217"/>
        <v>1864.7</v>
      </c>
      <c r="Y98" s="59">
        <f t="shared" si="217"/>
        <v>1734.6</v>
      </c>
    </row>
    <row r="99" spans="2:33" x14ac:dyDescent="0.3">
      <c r="B99" s="59" t="s">
        <v>8</v>
      </c>
      <c r="J99" s="59">
        <v>1726.1</v>
      </c>
      <c r="K99" s="59">
        <v>1740</v>
      </c>
      <c r="L99" s="59">
        <v>1744</v>
      </c>
      <c r="M99" s="56">
        <v>1683.5</v>
      </c>
      <c r="N99" s="56">
        <v>1850</v>
      </c>
      <c r="O99" s="56">
        <v>2046.7</v>
      </c>
      <c r="P99" s="56">
        <v>1762.1</v>
      </c>
      <c r="Q99" s="56">
        <v>1944.6</v>
      </c>
      <c r="R99" s="56">
        <v>2169.4</v>
      </c>
      <c r="S99" s="56">
        <v>2135.8000000000002</v>
      </c>
      <c r="T99" s="56">
        <v>2008.1000000000001</v>
      </c>
      <c r="U99" s="56">
        <v>2243</v>
      </c>
      <c r="V99" s="56">
        <v>2164.1</v>
      </c>
      <c r="W99" s="59">
        <v>2165.8000000000002</v>
      </c>
      <c r="X99" s="59">
        <v>2084.8000000000002</v>
      </c>
      <c r="Y99" s="59">
        <v>1884</v>
      </c>
    </row>
    <row r="100" spans="2:33" x14ac:dyDescent="0.3">
      <c r="B100" s="59" t="s">
        <v>9</v>
      </c>
      <c r="J100" s="59">
        <v>2103.6999999999998</v>
      </c>
      <c r="K100" s="59">
        <v>2138.8000000000002</v>
      </c>
      <c r="L100" s="59">
        <v>2132.4</v>
      </c>
      <c r="M100" s="56">
        <v>2099.3000000000002</v>
      </c>
      <c r="N100" s="56">
        <v>2241.8000000000002</v>
      </c>
      <c r="O100" s="56">
        <v>2459.9</v>
      </c>
      <c r="P100" s="56">
        <v>2156.4</v>
      </c>
      <c r="Q100" s="56">
        <v>2355.6</v>
      </c>
      <c r="R100" s="56">
        <v>2157.3000000000002</v>
      </c>
      <c r="S100" s="56">
        <v>2162.5</v>
      </c>
      <c r="T100" s="56">
        <v>2059.5</v>
      </c>
      <c r="U100" s="56">
        <v>2249.8000000000002</v>
      </c>
      <c r="V100" s="56">
        <v>2207.6</v>
      </c>
      <c r="W100" s="59">
        <v>2253</v>
      </c>
      <c r="X100" s="59">
        <v>2232.5</v>
      </c>
      <c r="Y100" s="59">
        <v>2019.9</v>
      </c>
    </row>
    <row r="101" spans="2:33" x14ac:dyDescent="0.3">
      <c r="B101" s="9" t="s">
        <v>249</v>
      </c>
      <c r="J101" s="9">
        <v>1425.5</v>
      </c>
      <c r="K101" s="9">
        <v>1484.3</v>
      </c>
      <c r="L101" s="9">
        <v>1502.2</v>
      </c>
      <c r="M101" s="9">
        <v>1483.4</v>
      </c>
      <c r="N101" s="9">
        <v>1633</v>
      </c>
      <c r="O101" s="9">
        <v>1775.8</v>
      </c>
      <c r="P101" s="9">
        <v>1568.4</v>
      </c>
      <c r="Q101" s="87">
        <v>1723</v>
      </c>
      <c r="R101" s="9">
        <v>1584</v>
      </c>
      <c r="S101" s="9">
        <v>1600.1</v>
      </c>
      <c r="T101" s="9">
        <v>1544.4</v>
      </c>
      <c r="U101" s="9">
        <v>1706.6</v>
      </c>
      <c r="V101" s="9">
        <v>1722.7</v>
      </c>
      <c r="W101" s="9">
        <v>1742</v>
      </c>
      <c r="X101" s="9">
        <v>1819.3</v>
      </c>
      <c r="Y101" s="9">
        <v>1686.9</v>
      </c>
    </row>
    <row r="102" spans="2:33" x14ac:dyDescent="0.3">
      <c r="B102" s="9" t="s">
        <v>250</v>
      </c>
      <c r="J102" s="9">
        <v>34.9</v>
      </c>
      <c r="K102" s="9">
        <v>36.799999999999997</v>
      </c>
      <c r="L102" s="9">
        <v>39</v>
      </c>
      <c r="M102" s="9">
        <v>39</v>
      </c>
      <c r="N102" s="9">
        <v>40.6</v>
      </c>
      <c r="O102" s="9">
        <v>48.8</v>
      </c>
      <c r="P102" s="9">
        <v>59.8</v>
      </c>
      <c r="Q102" s="9">
        <v>56.1</v>
      </c>
      <c r="R102" s="9">
        <v>53.1</v>
      </c>
      <c r="S102" s="9">
        <v>49.7</v>
      </c>
    </row>
    <row r="103" spans="2:33" x14ac:dyDescent="0.3">
      <c r="B103" s="59" t="s">
        <v>10</v>
      </c>
      <c r="J103" s="59">
        <f>SUM(J101:J102)</f>
        <v>1460.4</v>
      </c>
      <c r="K103" s="59">
        <f t="shared" ref="K103:Y103" si="218">SUM(K101:K102)</f>
        <v>1521.1</v>
      </c>
      <c r="L103" s="59">
        <f t="shared" si="218"/>
        <v>1541.2</v>
      </c>
      <c r="M103" s="59">
        <f t="shared" si="218"/>
        <v>1522.4</v>
      </c>
      <c r="N103" s="59">
        <f t="shared" si="218"/>
        <v>1673.6</v>
      </c>
      <c r="O103" s="59">
        <f t="shared" si="218"/>
        <v>1824.6</v>
      </c>
      <c r="P103" s="59">
        <f t="shared" si="218"/>
        <v>1628.2</v>
      </c>
      <c r="Q103" s="59">
        <f t="shared" si="218"/>
        <v>1779.1</v>
      </c>
      <c r="R103" s="59">
        <f t="shared" si="218"/>
        <v>1637.1</v>
      </c>
      <c r="S103" s="59">
        <f t="shared" si="218"/>
        <v>1649.8</v>
      </c>
      <c r="T103" s="59">
        <f t="shared" si="218"/>
        <v>1544.4</v>
      </c>
      <c r="U103" s="59">
        <f t="shared" si="218"/>
        <v>1706.6</v>
      </c>
      <c r="V103" s="59">
        <f t="shared" si="218"/>
        <v>1722.7</v>
      </c>
      <c r="W103" s="59">
        <f t="shared" si="218"/>
        <v>1742</v>
      </c>
      <c r="X103" s="59">
        <f t="shared" si="218"/>
        <v>1819.3</v>
      </c>
      <c r="Y103" s="59">
        <f t="shared" si="218"/>
        <v>1686.9</v>
      </c>
      <c r="Z103" s="10"/>
      <c r="AA103" s="10"/>
      <c r="AB103" s="10"/>
      <c r="AC103" s="10"/>
      <c r="AD103" s="10"/>
      <c r="AF103" s="78"/>
      <c r="AG103" s="78"/>
    </row>
    <row r="104" spans="2:33" x14ac:dyDescent="0.3">
      <c r="B104" s="59" t="s">
        <v>309</v>
      </c>
      <c r="J104" s="59">
        <v>972.9</v>
      </c>
      <c r="K104" s="59">
        <v>1019.3</v>
      </c>
      <c r="L104" s="59">
        <v>1047.4000000000001</v>
      </c>
      <c r="M104" s="59">
        <v>1063.5999999999999</v>
      </c>
      <c r="N104" s="59">
        <v>1183.2</v>
      </c>
      <c r="O104" s="59">
        <v>1295.2</v>
      </c>
      <c r="P104" s="59">
        <v>1103.2</v>
      </c>
      <c r="Q104" s="59">
        <v>1217.3</v>
      </c>
      <c r="R104" s="59">
        <v>1134.3000000000002</v>
      </c>
      <c r="S104" s="59">
        <v>1106.0999999999999</v>
      </c>
      <c r="T104" s="59">
        <v>1095.2</v>
      </c>
      <c r="U104" s="59">
        <v>1200.7</v>
      </c>
      <c r="V104" s="59">
        <v>1189.0999999999999</v>
      </c>
      <c r="W104" s="59">
        <v>1192.0999999999999</v>
      </c>
      <c r="X104" s="59">
        <v>1195.2</v>
      </c>
      <c r="Y104" s="59">
        <v>1086.3</v>
      </c>
      <c r="Z104" s="10"/>
      <c r="AA104" s="10"/>
      <c r="AB104" s="10"/>
      <c r="AC104" s="10"/>
      <c r="AD104" s="10"/>
      <c r="AF104" s="78"/>
      <c r="AG104" s="78"/>
    </row>
    <row r="105" spans="2:33" s="97" customFormat="1" x14ac:dyDescent="0.3">
      <c r="B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10"/>
      <c r="AA105" s="10"/>
      <c r="AB105" s="10"/>
      <c r="AC105" s="10"/>
      <c r="AD105" s="10"/>
      <c r="AF105" s="78"/>
      <c r="AG105" s="78"/>
    </row>
    <row r="106" spans="2:33" x14ac:dyDescent="0.3">
      <c r="R106" s="54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F106" s="78"/>
      <c r="AG106" s="78"/>
    </row>
    <row r="107" spans="2:33" x14ac:dyDescent="0.3">
      <c r="B107" s="59" t="s">
        <v>255</v>
      </c>
      <c r="J107" s="2">
        <v>2005</v>
      </c>
      <c r="K107" s="2">
        <v>2006</v>
      </c>
      <c r="L107" s="2">
        <v>2007</v>
      </c>
      <c r="M107" s="2">
        <v>2008</v>
      </c>
      <c r="N107" s="1">
        <v>2009</v>
      </c>
      <c r="O107" s="1">
        <v>2010</v>
      </c>
      <c r="P107" s="1">
        <v>2011</v>
      </c>
      <c r="Q107" s="1">
        <v>2012</v>
      </c>
      <c r="R107" s="1">
        <v>2013</v>
      </c>
      <c r="S107" s="1">
        <v>2014</v>
      </c>
      <c r="T107" s="1">
        <v>2015</v>
      </c>
      <c r="U107" s="1">
        <v>2016</v>
      </c>
      <c r="V107" s="1">
        <v>2017</v>
      </c>
      <c r="W107" s="1">
        <v>2018</v>
      </c>
      <c r="X107" s="1">
        <v>2019</v>
      </c>
      <c r="Y107" s="1">
        <v>2020</v>
      </c>
      <c r="Z107" s="10"/>
      <c r="AA107" s="10"/>
      <c r="AB107" s="10"/>
      <c r="AC107" s="10"/>
      <c r="AD107" s="10"/>
      <c r="AF107" s="78"/>
      <c r="AG107" s="78"/>
    </row>
    <row r="108" spans="2:33" x14ac:dyDescent="0.3">
      <c r="B108" s="9" t="s">
        <v>11</v>
      </c>
      <c r="J108" s="9">
        <v>0.56090499999999999</v>
      </c>
      <c r="K108" s="9">
        <v>0.56452099999999994</v>
      </c>
      <c r="L108" s="9">
        <v>0.5685309999999999</v>
      </c>
      <c r="M108" s="9">
        <v>0.57663199999999992</v>
      </c>
      <c r="N108" s="9">
        <v>0.58335000000000004</v>
      </c>
      <c r="O108" s="9">
        <v>0.58854899999999999</v>
      </c>
      <c r="P108" s="9">
        <v>0.59538400000000002</v>
      </c>
      <c r="Q108" s="9">
        <v>0.60396799999999995</v>
      </c>
      <c r="R108" s="9">
        <v>0.61266399999999999</v>
      </c>
      <c r="S108" s="9">
        <v>0.62071500000000002</v>
      </c>
      <c r="T108" s="9">
        <v>0.62820799999999999</v>
      </c>
      <c r="U108" s="9">
        <v>0.635181</v>
      </c>
      <c r="V108" s="9">
        <v>0.64327200000000007</v>
      </c>
      <c r="W108" s="9">
        <v>0.64804200000000001</v>
      </c>
      <c r="X108" s="9">
        <v>0.65383500000000006</v>
      </c>
      <c r="Y108" s="88">
        <v>0.65691999999999995</v>
      </c>
      <c r="Z108" s="10"/>
      <c r="AA108" s="10"/>
      <c r="AB108" s="10"/>
      <c r="AC108" s="10"/>
      <c r="AE108" s="78"/>
      <c r="AF108" s="78"/>
    </row>
    <row r="109" spans="2:33" x14ac:dyDescent="0.3">
      <c r="B109" s="9" t="s">
        <v>12</v>
      </c>
      <c r="J109" s="9">
        <v>0.23170400000000002</v>
      </c>
      <c r="K109" s="9">
        <v>0.23501900000000001</v>
      </c>
      <c r="L109" s="9">
        <v>0.23804700000000001</v>
      </c>
      <c r="M109" s="9">
        <v>0.241565</v>
      </c>
      <c r="N109" s="9">
        <v>0.24433000000000002</v>
      </c>
      <c r="O109" s="9">
        <v>0.24797</v>
      </c>
      <c r="P109" s="9">
        <v>0.25243899999999997</v>
      </c>
      <c r="Q109" s="9">
        <v>0.256824</v>
      </c>
      <c r="R109" s="9">
        <v>0.26075300000000001</v>
      </c>
      <c r="S109" s="9">
        <v>0.26554300000000003</v>
      </c>
      <c r="T109" s="9">
        <v>0.26980200000000004</v>
      </c>
      <c r="U109" s="9">
        <v>0.27458300000000002</v>
      </c>
      <c r="V109" s="9">
        <v>0.27904399999999996</v>
      </c>
      <c r="W109" s="9">
        <v>0.283632</v>
      </c>
      <c r="X109" s="9">
        <v>0.28973100000000002</v>
      </c>
      <c r="Y109" s="88">
        <v>0.292796</v>
      </c>
      <c r="Z109" s="10"/>
      <c r="AA109" s="10"/>
      <c r="AB109" s="10"/>
      <c r="AC109" s="10"/>
      <c r="AE109" s="78"/>
      <c r="AF109" s="78"/>
    </row>
    <row r="110" spans="2:33" x14ac:dyDescent="0.3">
      <c r="B110" s="9" t="s">
        <v>13</v>
      </c>
      <c r="J110" s="9">
        <v>0.187281</v>
      </c>
      <c r="K110" s="9">
        <v>0.18971100000000002</v>
      </c>
      <c r="L110" s="9">
        <v>0.192522</v>
      </c>
      <c r="M110" s="9">
        <v>0.19539699999999999</v>
      </c>
      <c r="N110" s="9">
        <v>0.19763600000000001</v>
      </c>
      <c r="O110" s="9">
        <v>0.20005500000000001</v>
      </c>
      <c r="P110" s="9">
        <v>0.20300100000000001</v>
      </c>
      <c r="Q110" s="9">
        <v>0.20531200000000002</v>
      </c>
      <c r="R110" s="9">
        <v>0.20809800000000001</v>
      </c>
      <c r="S110" s="9">
        <v>0.21080299999999999</v>
      </c>
      <c r="T110" s="9">
        <v>0.21460499999999999</v>
      </c>
      <c r="U110" s="9">
        <v>0.21934100000000001</v>
      </c>
      <c r="V110" s="9">
        <v>0.22302699999999998</v>
      </c>
      <c r="W110" s="9">
        <v>0.22816600000000001</v>
      </c>
      <c r="X110" s="9">
        <v>0.23377500000000001</v>
      </c>
      <c r="Y110" s="88">
        <v>0.237231</v>
      </c>
      <c r="Z110" s="10"/>
      <c r="AA110" s="10"/>
      <c r="AB110" s="10"/>
      <c r="AC110" s="10"/>
      <c r="AE110" s="78"/>
      <c r="AF110" s="78"/>
    </row>
    <row r="111" spans="2:33" x14ac:dyDescent="0.3">
      <c r="B111" s="9" t="s">
        <v>8</v>
      </c>
      <c r="J111" s="9">
        <v>0.174868</v>
      </c>
      <c r="K111" s="9">
        <v>0.17535400000000001</v>
      </c>
      <c r="L111" s="9">
        <v>0.175286</v>
      </c>
      <c r="M111" s="9">
        <v>0.17558199999999999</v>
      </c>
      <c r="N111" s="9">
        <v>0.17608699999999999</v>
      </c>
      <c r="O111" s="9">
        <v>0.17732599999999998</v>
      </c>
      <c r="P111" s="9">
        <v>0.17862999999999998</v>
      </c>
      <c r="Q111" s="9">
        <v>0.180225</v>
      </c>
      <c r="R111" s="9">
        <v>0.18207200000000001</v>
      </c>
      <c r="S111" s="9">
        <v>0.18382400000000002</v>
      </c>
      <c r="T111" s="9">
        <v>0.18590799999999999</v>
      </c>
      <c r="U111" s="9">
        <v>0.18760400000000002</v>
      </c>
      <c r="V111" s="9">
        <v>0.189669</v>
      </c>
      <c r="W111" s="9">
        <v>0.191331</v>
      </c>
      <c r="X111" s="9">
        <v>0.19296199999999999</v>
      </c>
      <c r="Y111" s="89">
        <v>0.19439100000000001</v>
      </c>
      <c r="Z111" s="56"/>
      <c r="AA111" s="56"/>
      <c r="AB111" s="56"/>
      <c r="AC111" s="56"/>
      <c r="AE111" s="56"/>
      <c r="AF111" s="56"/>
    </row>
    <row r="112" spans="2:33" x14ac:dyDescent="0.3">
      <c r="B112" s="9" t="s">
        <v>9</v>
      </c>
      <c r="J112" s="9">
        <v>0.20433699999999999</v>
      </c>
      <c r="K112" s="9">
        <v>0.206368</v>
      </c>
      <c r="L112" s="9">
        <v>0.20786600000000002</v>
      </c>
      <c r="M112" s="9">
        <v>0.20955199999999999</v>
      </c>
      <c r="N112" s="9">
        <v>0.211507</v>
      </c>
      <c r="O112" s="9">
        <v>0.21321700000000002</v>
      </c>
      <c r="P112" s="9">
        <v>0.215168</v>
      </c>
      <c r="Q112" s="9">
        <v>0.217421</v>
      </c>
      <c r="R112" s="9">
        <v>0.220446</v>
      </c>
      <c r="S112" s="9">
        <v>0.22300399999999998</v>
      </c>
      <c r="T112" s="9">
        <v>0.22511799999999998</v>
      </c>
      <c r="U112" s="9">
        <v>0.228274</v>
      </c>
      <c r="V112" s="9">
        <v>0.231853</v>
      </c>
      <c r="W112" s="9">
        <v>0.235239</v>
      </c>
      <c r="X112" s="88">
        <v>0.23813999999999999</v>
      </c>
      <c r="Y112" s="88">
        <v>0.241009</v>
      </c>
      <c r="Z112" s="10"/>
      <c r="AA112" s="10"/>
      <c r="AB112" s="10"/>
      <c r="AC112" s="10"/>
      <c r="AE112" s="78"/>
      <c r="AF112" s="78"/>
    </row>
    <row r="113" spans="2:33" x14ac:dyDescent="0.3">
      <c r="B113" s="9" t="s">
        <v>10</v>
      </c>
      <c r="J113" s="9">
        <v>0.17343600000000001</v>
      </c>
      <c r="K113" s="9">
        <v>0.175286</v>
      </c>
      <c r="L113" s="9">
        <v>0.17727600000000002</v>
      </c>
      <c r="M113" s="9">
        <v>0.17990100000000001</v>
      </c>
      <c r="N113" s="9">
        <v>0.182528</v>
      </c>
      <c r="O113" s="9">
        <v>0.185419</v>
      </c>
      <c r="P113" s="9">
        <v>0.188114</v>
      </c>
      <c r="Q113" s="9">
        <v>0.19084700000000002</v>
      </c>
      <c r="R113" s="9">
        <v>0.193798</v>
      </c>
      <c r="S113" s="9">
        <v>0.19629099999999999</v>
      </c>
      <c r="T113" s="9">
        <v>0.19852500000000001</v>
      </c>
      <c r="U113" s="9">
        <v>0.20052600000000001</v>
      </c>
      <c r="V113" s="88">
        <v>0.20180999999999999</v>
      </c>
      <c r="W113" s="9">
        <v>0.203567</v>
      </c>
      <c r="X113" s="9">
        <v>0.205489</v>
      </c>
      <c r="Y113" s="88">
        <v>0.20732700000000001</v>
      </c>
      <c r="Z113" s="10"/>
      <c r="AA113" s="10"/>
      <c r="AB113" s="10"/>
      <c r="AC113" s="10"/>
      <c r="AE113" s="78"/>
      <c r="AF113" s="78"/>
    </row>
    <row r="114" spans="2:33" s="97" customFormat="1" x14ac:dyDescent="0.3">
      <c r="B114" s="97" t="s">
        <v>309</v>
      </c>
      <c r="J114" s="97">
        <v>0.124205</v>
      </c>
      <c r="K114" s="97">
        <v>0.125221</v>
      </c>
      <c r="L114" s="97">
        <v>0.12654599999999999</v>
      </c>
      <c r="M114" s="97">
        <v>0.128028</v>
      </c>
      <c r="N114" s="97">
        <v>0.12962299999999999</v>
      </c>
      <c r="O114" s="97">
        <v>0.13081599999999999</v>
      </c>
      <c r="P114" s="97">
        <v>0.13206200000000001</v>
      </c>
      <c r="Q114" s="97">
        <v>0.13348199999999999</v>
      </c>
      <c r="R114" s="97">
        <v>0.134658</v>
      </c>
      <c r="S114" s="97">
        <v>0.13578000000000001</v>
      </c>
      <c r="T114" s="97">
        <v>0.13736799999999999</v>
      </c>
      <c r="U114" s="97">
        <v>0.13885</v>
      </c>
      <c r="V114" s="88">
        <v>0.14018800000000001</v>
      </c>
      <c r="W114" s="97">
        <v>0.14130499999999999</v>
      </c>
      <c r="X114" s="97">
        <v>0.1424</v>
      </c>
      <c r="Y114" s="88">
        <v>0.14341999999999999</v>
      </c>
      <c r="Z114" s="10"/>
      <c r="AA114" s="10"/>
      <c r="AB114" s="10"/>
      <c r="AC114" s="10"/>
      <c r="AE114" s="78"/>
      <c r="AF114" s="78"/>
    </row>
    <row r="115" spans="2:33" x14ac:dyDescent="0.3">
      <c r="J115" s="16"/>
      <c r="K115" s="16"/>
      <c r="L115" s="16"/>
      <c r="M115" s="16"/>
      <c r="N115" s="16"/>
      <c r="O115" s="16"/>
      <c r="P115" s="16"/>
      <c r="Q115" s="16"/>
      <c r="R115" s="54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F115" s="78"/>
      <c r="AG115" s="78"/>
    </row>
    <row r="116" spans="2:33" x14ac:dyDescent="0.3">
      <c r="B116" s="59" t="s">
        <v>254</v>
      </c>
      <c r="J116" s="2">
        <v>2005</v>
      </c>
      <c r="K116" s="2">
        <v>2006</v>
      </c>
      <c r="L116" s="2">
        <v>2007</v>
      </c>
      <c r="M116" s="2">
        <v>2008</v>
      </c>
      <c r="N116" s="1">
        <v>2009</v>
      </c>
      <c r="O116" s="1">
        <v>2010</v>
      </c>
      <c r="P116" s="1">
        <v>2011</v>
      </c>
      <c r="Q116" s="1">
        <v>2012</v>
      </c>
      <c r="R116" s="1">
        <v>2013</v>
      </c>
      <c r="S116" s="1">
        <v>2014</v>
      </c>
      <c r="T116" s="1">
        <v>2015</v>
      </c>
      <c r="U116" s="1">
        <v>2016</v>
      </c>
      <c r="V116" s="1">
        <v>2017</v>
      </c>
      <c r="W116" s="1">
        <v>2018</v>
      </c>
      <c r="X116" s="1">
        <v>2019</v>
      </c>
      <c r="Y116" s="1">
        <v>2020</v>
      </c>
      <c r="Z116" s="10"/>
      <c r="AA116" s="10"/>
      <c r="AB116" s="10"/>
      <c r="AC116" s="10"/>
      <c r="AD116" s="10"/>
      <c r="AF116" s="78"/>
      <c r="AG116" s="78"/>
    </row>
    <row r="117" spans="2:33" x14ac:dyDescent="0.3">
      <c r="B117" s="9" t="s">
        <v>12</v>
      </c>
      <c r="J117" s="9">
        <v>3618</v>
      </c>
      <c r="K117" s="9">
        <v>3675</v>
      </c>
      <c r="L117" s="10">
        <v>3508.8</v>
      </c>
      <c r="M117" s="9">
        <v>3244</v>
      </c>
      <c r="N117" s="9">
        <v>3737</v>
      </c>
      <c r="O117" s="9">
        <v>4376</v>
      </c>
      <c r="P117" s="9">
        <v>3493</v>
      </c>
      <c r="Q117" s="9">
        <v>3797</v>
      </c>
      <c r="R117" s="54">
        <v>3592</v>
      </c>
      <c r="S117" s="10">
        <v>3464</v>
      </c>
      <c r="T117" s="10">
        <v>3118</v>
      </c>
      <c r="U117" s="10">
        <v>3589</v>
      </c>
      <c r="V117" s="10">
        <v>3549</v>
      </c>
      <c r="W117" s="10">
        <v>3552</v>
      </c>
      <c r="X117" s="10">
        <v>3419</v>
      </c>
      <c r="Y117" s="10">
        <v>2906</v>
      </c>
      <c r="Z117" s="10"/>
      <c r="AA117" s="10"/>
      <c r="AB117" s="10"/>
      <c r="AC117" s="10"/>
      <c r="AD117" s="10"/>
      <c r="AF117" s="10"/>
      <c r="AG117" s="10"/>
    </row>
    <row r="118" spans="2:33" x14ac:dyDescent="0.3">
      <c r="B118" s="9" t="s">
        <v>13</v>
      </c>
      <c r="J118" s="9">
        <v>3873</v>
      </c>
      <c r="K118" s="9">
        <v>3886</v>
      </c>
      <c r="L118" s="10">
        <v>3723.1</v>
      </c>
      <c r="M118" s="9">
        <v>3440</v>
      </c>
      <c r="N118" s="9">
        <v>3952</v>
      </c>
      <c r="O118" s="9">
        <v>4632</v>
      </c>
      <c r="P118" s="9">
        <v>3655</v>
      </c>
      <c r="Q118" s="9">
        <v>4059</v>
      </c>
      <c r="R118" s="9">
        <v>3798</v>
      </c>
      <c r="S118" s="9">
        <v>3678</v>
      </c>
      <c r="T118" s="9">
        <v>3263</v>
      </c>
      <c r="U118" s="9">
        <v>3817</v>
      </c>
      <c r="V118" s="9">
        <v>3802</v>
      </c>
      <c r="W118" s="9">
        <v>3789</v>
      </c>
      <c r="X118" s="9">
        <v>3629</v>
      </c>
      <c r="Y118" s="9">
        <v>3148</v>
      </c>
    </row>
    <row r="119" spans="2:33" x14ac:dyDescent="0.3">
      <c r="B119" s="9" t="s">
        <v>11</v>
      </c>
      <c r="J119" s="9">
        <v>3618</v>
      </c>
      <c r="K119" s="9">
        <v>3675</v>
      </c>
      <c r="L119" s="10">
        <v>3508.8</v>
      </c>
      <c r="M119" s="9">
        <v>3244</v>
      </c>
      <c r="N119" s="9">
        <v>3737</v>
      </c>
      <c r="O119" s="9">
        <v>4376</v>
      </c>
      <c r="P119" s="9">
        <v>3493</v>
      </c>
      <c r="Q119" s="9">
        <v>3797</v>
      </c>
      <c r="R119" s="9">
        <v>3592</v>
      </c>
      <c r="S119" s="9">
        <v>3464</v>
      </c>
      <c r="T119" s="9">
        <v>3118</v>
      </c>
      <c r="U119" s="9">
        <v>3589</v>
      </c>
      <c r="V119" s="9">
        <v>3549</v>
      </c>
      <c r="W119" s="9">
        <v>3552</v>
      </c>
      <c r="X119" s="9">
        <v>3419</v>
      </c>
      <c r="Y119" s="9">
        <v>2906</v>
      </c>
    </row>
    <row r="120" spans="2:33" x14ac:dyDescent="0.3">
      <c r="B120" s="9" t="s">
        <v>8</v>
      </c>
      <c r="J120" s="9">
        <v>3847</v>
      </c>
      <c r="K120" s="9">
        <v>3709</v>
      </c>
      <c r="L120" s="10">
        <v>3714.1</v>
      </c>
      <c r="M120" s="9">
        <v>3528</v>
      </c>
      <c r="N120" s="9">
        <v>4028</v>
      </c>
      <c r="O120" s="9">
        <v>4656</v>
      </c>
      <c r="P120" s="9">
        <v>3629</v>
      </c>
      <c r="Q120" s="9">
        <v>4019</v>
      </c>
      <c r="R120" s="9">
        <v>3769</v>
      </c>
      <c r="S120" s="9">
        <v>3592</v>
      </c>
      <c r="T120" s="9">
        <v>3284</v>
      </c>
      <c r="U120" s="9">
        <v>3772</v>
      </c>
      <c r="V120" s="9">
        <v>3725</v>
      </c>
      <c r="W120" s="9">
        <v>3737</v>
      </c>
      <c r="X120" s="9">
        <v>3614</v>
      </c>
      <c r="Y120" s="9">
        <v>3180</v>
      </c>
    </row>
    <row r="121" spans="2:33" x14ac:dyDescent="0.3">
      <c r="B121" s="9" t="s">
        <v>9</v>
      </c>
      <c r="J121" s="9">
        <v>4142</v>
      </c>
      <c r="K121" s="9">
        <v>4119</v>
      </c>
      <c r="L121" s="10">
        <v>4062.3</v>
      </c>
      <c r="M121" s="9">
        <v>3889</v>
      </c>
      <c r="N121" s="9">
        <v>4371</v>
      </c>
      <c r="O121" s="9">
        <v>4997</v>
      </c>
      <c r="P121" s="9">
        <v>3945</v>
      </c>
      <c r="Q121" s="9">
        <v>4506</v>
      </c>
      <c r="R121" s="9">
        <v>4016</v>
      </c>
      <c r="S121" s="9">
        <v>4046</v>
      </c>
      <c r="T121" s="9">
        <v>3619</v>
      </c>
      <c r="U121" s="9">
        <v>4155</v>
      </c>
      <c r="V121" s="9">
        <v>4132</v>
      </c>
      <c r="W121" s="9">
        <v>4116</v>
      </c>
      <c r="X121" s="9">
        <v>4008</v>
      </c>
      <c r="Y121" s="9">
        <v>3524</v>
      </c>
    </row>
    <row r="122" spans="2:33" x14ac:dyDescent="0.3">
      <c r="B122" s="9" t="s">
        <v>10</v>
      </c>
      <c r="J122" s="9">
        <v>4646</v>
      </c>
      <c r="K122" s="9">
        <v>4748</v>
      </c>
      <c r="L122" s="10">
        <v>4653.7</v>
      </c>
      <c r="M122" s="9">
        <v>4591</v>
      </c>
      <c r="N122" s="9">
        <v>4941</v>
      </c>
      <c r="O122" s="9">
        <v>5605</v>
      </c>
      <c r="P122" s="9">
        <v>4537</v>
      </c>
      <c r="Q122" s="9">
        <v>5209</v>
      </c>
      <c r="R122" s="9">
        <v>4557</v>
      </c>
      <c r="S122" s="9">
        <v>4513</v>
      </c>
      <c r="T122" s="9">
        <v>4119</v>
      </c>
      <c r="U122" s="9">
        <v>4682</v>
      </c>
      <c r="V122" s="9">
        <v>4821</v>
      </c>
      <c r="W122" s="9">
        <v>4655</v>
      </c>
      <c r="X122" s="9">
        <v>4862</v>
      </c>
      <c r="Y122" s="9">
        <v>4223</v>
      </c>
    </row>
    <row r="123" spans="2:33" x14ac:dyDescent="0.3">
      <c r="B123" s="9" t="s">
        <v>309</v>
      </c>
      <c r="J123" s="9">
        <v>4463</v>
      </c>
      <c r="K123" s="9">
        <v>4521</v>
      </c>
      <c r="L123" s="9">
        <v>4403.8999999999996</v>
      </c>
      <c r="M123" s="9">
        <v>4289</v>
      </c>
      <c r="N123" s="9">
        <v>4679</v>
      </c>
      <c r="O123" s="9">
        <v>5403</v>
      </c>
      <c r="P123" s="9">
        <v>4356</v>
      </c>
      <c r="Q123" s="9">
        <v>4936</v>
      </c>
      <c r="R123" s="9">
        <v>4312</v>
      </c>
      <c r="S123" s="9">
        <v>4349</v>
      </c>
      <c r="T123" s="9">
        <v>3975</v>
      </c>
      <c r="U123" s="9">
        <v>4540</v>
      </c>
      <c r="V123" s="9">
        <v>4458</v>
      </c>
      <c r="W123" s="9">
        <v>4405</v>
      </c>
      <c r="X123" s="9">
        <v>4376</v>
      </c>
      <c r="Y123" s="9">
        <v>3915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O74"/>
  <sheetViews>
    <sheetView workbookViewId="0">
      <pane xSplit="4" ySplit="1" topLeftCell="AV2" activePane="bottomRight" state="frozen"/>
      <selection pane="topRight" activeCell="F1" sqref="F1"/>
      <selection pane="bottomLeft" activeCell="A2" sqref="A2"/>
      <selection pane="bottomRight" activeCell="AW13" sqref="AW13"/>
    </sheetView>
  </sheetViews>
  <sheetFormatPr defaultColWidth="8.88671875" defaultRowHeight="14.4" x14ac:dyDescent="0.3"/>
  <cols>
    <col min="1" max="2" width="8.88671875" style="9"/>
    <col min="3" max="3" width="19" style="9" customWidth="1"/>
    <col min="4" max="4" width="6.44140625" style="9" customWidth="1"/>
    <col min="5" max="48" width="9.109375" style="9" customWidth="1"/>
    <col min="49" max="49" width="13.33203125" style="9" customWidth="1"/>
    <col min="50" max="53" width="8.88671875" style="9"/>
    <col min="54" max="54" width="10.88671875" style="9" customWidth="1"/>
    <col min="55" max="56" width="8.88671875" style="9"/>
    <col min="57" max="60" width="8.88671875" style="9" customWidth="1"/>
    <col min="61" max="65" width="8.88671875" style="9"/>
    <col min="66" max="66" width="8.88671875" style="9" customWidth="1"/>
    <col min="67" max="16384" width="8.88671875" style="9"/>
  </cols>
  <sheetData>
    <row r="1" spans="1:67" x14ac:dyDescent="0.3">
      <c r="A1" s="9" t="s">
        <v>68</v>
      </c>
      <c r="B1" s="9" t="s">
        <v>69</v>
      </c>
      <c r="C1" s="9" t="s">
        <v>70</v>
      </c>
      <c r="D1" s="9" t="s">
        <v>71</v>
      </c>
      <c r="E1" s="9">
        <v>1966</v>
      </c>
      <c r="F1" s="9">
        <v>1967</v>
      </c>
      <c r="G1" s="9">
        <v>1968</v>
      </c>
      <c r="H1" s="9">
        <v>1969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1">
        <v>2009</v>
      </c>
      <c r="AW1" s="1">
        <v>2010</v>
      </c>
      <c r="AX1" s="1">
        <v>2011</v>
      </c>
      <c r="AY1" s="1">
        <v>2012</v>
      </c>
      <c r="AZ1" s="1">
        <v>2013</v>
      </c>
      <c r="BA1" s="1">
        <v>2014</v>
      </c>
      <c r="BB1" s="1">
        <v>2015</v>
      </c>
      <c r="BC1" s="1">
        <v>2016</v>
      </c>
      <c r="BD1" s="1">
        <v>2017</v>
      </c>
      <c r="BE1" s="1">
        <v>2018</v>
      </c>
      <c r="BF1" s="1">
        <v>2019</v>
      </c>
      <c r="BG1" s="1">
        <v>2020</v>
      </c>
      <c r="BH1" s="1">
        <v>2021</v>
      </c>
      <c r="BI1" s="1">
        <v>2022</v>
      </c>
      <c r="BJ1" s="1">
        <v>2025</v>
      </c>
      <c r="BK1" s="1">
        <v>2030</v>
      </c>
    </row>
    <row r="2" spans="1:67" x14ac:dyDescent="0.3">
      <c r="A2" s="9" t="s">
        <v>1</v>
      </c>
      <c r="B2" s="9" t="s">
        <v>65</v>
      </c>
      <c r="C2" s="17" t="s">
        <v>60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"/>
      <c r="AW2" s="46">
        <f>HLOOKUP(AW$1,  HDD!$B$4:$AP$33,   MATCH($A$2, HDD!$A$4:$A$33,0), FALSE)</f>
        <v>5986.18</v>
      </c>
      <c r="AX2" s="46">
        <f>HLOOKUP(AX$1,  HDD!$B$4:$AP$33,   MATCH($A$2, HDD!$A$4:$A$33,0), FALSE)</f>
        <v>4895.71</v>
      </c>
      <c r="AY2" s="46">
        <f>HLOOKUP(AY$1,  HDD!$B$4:$AP$33,   MATCH($A$2, HDD!$A$4:$A$33,0), FALSE)</f>
        <v>5471.41</v>
      </c>
      <c r="AZ2" s="46">
        <f>HLOOKUP(AZ$1,  HDD!$B$4:$AP$33,   MATCH($A$2, HDD!$A$4:$A$33,0), FALSE)</f>
        <v>5155.24</v>
      </c>
      <c r="BA2" s="46">
        <f>HLOOKUP(BA$1,  HDD!$B$4:$AP$33,   MATCH($A$2, HDD!$A$4:$A$33,0), FALSE)</f>
        <v>4850.03</v>
      </c>
      <c r="BB2" s="46">
        <f>HLOOKUP(BB$1,  HDD!$B$4:$AP$33,   MATCH($A$2, HDD!$A$4:$A$33,0), FALSE)</f>
        <v>4875.4799999999996</v>
      </c>
      <c r="BC2" s="46">
        <f>HLOOKUP(BC$1,  HDD!$B$4:$AP$33,   MATCH($A$2, HDD!$A$4:$A$33,0), FALSE)</f>
        <v>5092.4799999999996</v>
      </c>
      <c r="BD2" s="46">
        <f>HLOOKUP(BD$1,  HDD!$B$4:$AP$33,   MATCH($A$2, HDD!$A$4:$A$33,0), FALSE)</f>
        <v>5181.13</v>
      </c>
      <c r="BE2" s="46">
        <f>HLOOKUP(BE$1,  HDD!$B$4:$AP$33,   MATCH($A$2, HDD!$A$4:$A$33,0), FALSE)</f>
        <v>5122.22</v>
      </c>
      <c r="BF2" s="46">
        <f>HLOOKUP(BF$1,  HDD!$B$4:$AP$33,   MATCH($A$2, HDD!$A$4:$A$33,0), FALSE)</f>
        <v>5119.6099999999997</v>
      </c>
      <c r="BG2" s="46">
        <f>HLOOKUP(BG$1,  HDD!$B$4:$AP$33,   MATCH($A$2, HDD!$A$4:$A$33,0), FALSE)</f>
        <v>4592.9399999999996</v>
      </c>
      <c r="BH2" s="47"/>
      <c r="BI2" s="47"/>
      <c r="BJ2" s="46">
        <f>HLOOKUP(BJ$1,  HDD!$B$4:$AP$33,   MATCH($A$2, HDD!$A$4:$A$33,0), FALSE)</f>
        <v>4980.7080084033623</v>
      </c>
      <c r="BK2" s="46">
        <f>HLOOKUP(BK$1,  HDD!$B$4:$AP$33,   MATCH($A$2, HDD!$A$4:$A$33,0), FALSE)</f>
        <v>4921.8876022408986</v>
      </c>
    </row>
    <row r="3" spans="1:67" x14ac:dyDescent="0.3">
      <c r="A3" s="9" t="s">
        <v>1</v>
      </c>
      <c r="B3" s="9" t="s">
        <v>65</v>
      </c>
      <c r="C3" s="17" t="s">
        <v>61</v>
      </c>
      <c r="D3" s="17" t="s">
        <v>62</v>
      </c>
      <c r="E3" s="17"/>
      <c r="F3" s="17"/>
      <c r="G3" s="17"/>
      <c r="H3" s="1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9"/>
      <c r="AV3" s="21"/>
      <c r="AW3" s="34">
        <f>HLOOKUP(AW$1, Pop!$B$8:$M$62, MATCH($A$3, Pop!$A$8:$A$62,0), FALSE)/1000000</f>
        <v>9.3406819999999993</v>
      </c>
      <c r="AX3" s="34">
        <f>HLOOKUP(AX$1, Pop!$B$8:$P$62, MATCH($A$3, Pop!$A$8:$A$62,0), FALSE)/1000000</f>
        <v>9.4155700000000007</v>
      </c>
      <c r="AY3" s="34">
        <f>HLOOKUP(AY$1, Pop!$B$8:$P$62, MATCH($A$3, Pop!$A$8:$A$62,0), FALSE)/1000000</f>
        <v>9.4828550000000007</v>
      </c>
      <c r="AZ3" s="34">
        <f>HLOOKUP(AZ$1, Pop!$B$8:$P$62, MATCH($A$3, Pop!$A$8:$A$62,0), FALSE)/1000000</f>
        <v>9.5558929999999993</v>
      </c>
      <c r="BA3" s="34">
        <f>HLOOKUP(BA$1, Pop!$B$8:$P$62, MATCH($A$3, Pop!$A$8:$A$62,0), FALSE)/1000000</f>
        <v>9.6448640000000001</v>
      </c>
      <c r="BB3" s="34">
        <f>HLOOKUP(BB$1, Pop!$B$8:$P$62, MATCH($A$3, Pop!$A$8:$A$62,0), FALSE)/1000000</f>
        <v>9.7473550000000007</v>
      </c>
      <c r="BC3" s="34">
        <f>HLOOKUP(BC$1, Pop!$B$8:$P$62, MATCH($A$3, Pop!$A$8:$A$62,0), FALSE)/1000000</f>
        <v>9.8510170000000006</v>
      </c>
      <c r="BD3" s="34">
        <f>HLOOKUP(BD$1, Pop!$B$8:$P$62, MATCH($A$3, Pop!$A$8:$A$62,0), FALSE)/1000000</f>
        <v>9.9951530000000002</v>
      </c>
      <c r="BE3" s="34">
        <f>HLOOKUP(BE$1, Pop!$B$8:$P$62, MATCH($A$3, Pop!$A$8:$A$62,0), FALSE)/1000000</f>
        <v>10.120241999999999</v>
      </c>
      <c r="BF3" s="34">
        <f>HLOOKUP(BF$1, Pop!$B$8:$P$62, MATCH($A$3, Pop!$A$8:$A$62,0), FALSE)/1000000</f>
        <v>10.230185000000001</v>
      </c>
      <c r="BG3" s="34">
        <f>HLOOKUP(BG$1, Pop!$B$8:$P$62, MATCH($A$3, Pop!$A$8:$A$62,0), FALSE)/1000000</f>
        <v>10.327589</v>
      </c>
      <c r="BH3" s="34">
        <f>HLOOKUP(BH$1, Pop!$B$8:$M$62, MATCH($A$3, Pop!$A$8:$A$62,0), FALSE)/1000000</f>
        <v>10.379295000000001</v>
      </c>
      <c r="BI3" s="48"/>
      <c r="BJ3" s="34">
        <f>HLOOKUP(BJ$1, Pop!$B$8:$P$62, MATCH($A$3, Pop!$A$8:$A$62,0), FALSE)/1000000</f>
        <v>10.6253490002</v>
      </c>
      <c r="BK3" s="34">
        <f>HLOOKUP(BK$1, Pop!$B$8:$P$62, MATCH($A$3, Pop!$A$8:$A$62,0), FALSE)/1000000</f>
        <v>10.8690780035</v>
      </c>
    </row>
    <row r="4" spans="1:67" x14ac:dyDescent="0.3">
      <c r="A4" s="9" t="s">
        <v>1</v>
      </c>
      <c r="B4" s="9" t="s">
        <v>65</v>
      </c>
      <c r="C4" s="17" t="s">
        <v>163</v>
      </c>
      <c r="D4" s="17" t="s">
        <v>64</v>
      </c>
      <c r="E4" s="18"/>
      <c r="F4" s="18"/>
      <c r="G4" s="17"/>
      <c r="H4" s="17"/>
      <c r="I4" s="57">
        <f>I30*1000</f>
        <v>13399</v>
      </c>
      <c r="J4" s="57">
        <f t="shared" ref="J4:BG4" si="0">J30*1000</f>
        <v>14174</v>
      </c>
      <c r="K4" s="57">
        <f t="shared" si="0"/>
        <v>15503</v>
      </c>
      <c r="L4" s="57">
        <f t="shared" si="0"/>
        <v>17607</v>
      </c>
      <c r="M4" s="57">
        <f t="shared" si="0"/>
        <v>17386</v>
      </c>
      <c r="N4" s="57">
        <f t="shared" si="0"/>
        <v>19822</v>
      </c>
      <c r="O4" s="57">
        <f t="shared" si="0"/>
        <v>24030</v>
      </c>
      <c r="P4" s="57">
        <f t="shared" si="0"/>
        <v>25691</v>
      </c>
      <c r="Q4" s="57">
        <f t="shared" si="0"/>
        <v>27795</v>
      </c>
      <c r="R4" s="57">
        <f t="shared" si="0"/>
        <v>29234</v>
      </c>
      <c r="S4" s="57">
        <f t="shared" si="0"/>
        <v>30785</v>
      </c>
      <c r="T4" s="57">
        <f t="shared" si="0"/>
        <v>31449</v>
      </c>
      <c r="U4" s="57">
        <f t="shared" si="0"/>
        <v>31338</v>
      </c>
      <c r="V4" s="57">
        <f t="shared" si="0"/>
        <v>31608</v>
      </c>
      <c r="W4" s="57">
        <f t="shared" si="0"/>
        <v>32966</v>
      </c>
      <c r="X4" s="57">
        <f t="shared" si="0"/>
        <v>40970</v>
      </c>
      <c r="Y4" s="57">
        <f t="shared" si="0"/>
        <v>39884</v>
      </c>
      <c r="Z4" s="57">
        <f t="shared" si="0"/>
        <v>43335</v>
      </c>
      <c r="AA4" s="57">
        <f t="shared" si="0"/>
        <v>40049</v>
      </c>
      <c r="AB4" s="57">
        <f t="shared" si="0"/>
        <v>37243</v>
      </c>
      <c r="AC4" s="57">
        <f t="shared" si="0"/>
        <v>38039</v>
      </c>
      <c r="AD4" s="57">
        <f t="shared" si="0"/>
        <v>41719</v>
      </c>
      <c r="AE4" s="57">
        <f t="shared" si="0"/>
        <v>41142</v>
      </c>
      <c r="AF4" s="57">
        <f t="shared" si="0"/>
        <v>43670</v>
      </c>
      <c r="AG4" s="57">
        <f t="shared" si="0"/>
        <v>43740</v>
      </c>
      <c r="AH4" s="57">
        <f t="shared" si="0"/>
        <v>44972</v>
      </c>
      <c r="AI4" s="57">
        <f t="shared" si="0"/>
        <v>49208</v>
      </c>
      <c r="AJ4" s="57">
        <f t="shared" si="0"/>
        <v>45119</v>
      </c>
      <c r="AK4" s="57">
        <f t="shared" si="0"/>
        <v>47457</v>
      </c>
      <c r="AL4" s="57">
        <f t="shared" si="0"/>
        <v>47757</v>
      </c>
      <c r="AM4" s="57">
        <f t="shared" si="0"/>
        <v>45480</v>
      </c>
      <c r="AN4" s="57">
        <f t="shared" si="0"/>
        <v>50601</v>
      </c>
      <c r="AO4" s="57">
        <f t="shared" si="0"/>
        <v>50836</v>
      </c>
      <c r="AP4" s="57">
        <f t="shared" si="0"/>
        <v>51470</v>
      </c>
      <c r="AQ4" s="57">
        <f t="shared" si="0"/>
        <v>52478</v>
      </c>
      <c r="AR4" s="57">
        <f t="shared" si="0"/>
        <v>51344</v>
      </c>
      <c r="AS4" s="57">
        <f t="shared" si="0"/>
        <v>51171</v>
      </c>
      <c r="AT4" s="57">
        <f t="shared" si="0"/>
        <v>51908</v>
      </c>
      <c r="AU4" s="57">
        <f t="shared" si="0"/>
        <v>52246</v>
      </c>
      <c r="AV4" s="57">
        <f t="shared" si="0"/>
        <v>54142</v>
      </c>
      <c r="AW4" s="57">
        <f t="shared" si="0"/>
        <v>60699</v>
      </c>
      <c r="AX4" s="57">
        <f t="shared" si="0"/>
        <v>53307</v>
      </c>
      <c r="AY4" s="57">
        <f t="shared" si="0"/>
        <v>57463</v>
      </c>
      <c r="AZ4" s="57">
        <f t="shared" si="0"/>
        <v>57244</v>
      </c>
      <c r="BA4" s="57">
        <f t="shared" si="0"/>
        <v>55148</v>
      </c>
      <c r="BB4" s="57">
        <f t="shared" si="0"/>
        <v>55451</v>
      </c>
      <c r="BC4" s="57">
        <f t="shared" si="0"/>
        <v>56968</v>
      </c>
      <c r="BD4" s="57">
        <f t="shared" si="0"/>
        <v>57040</v>
      </c>
      <c r="BE4" s="57">
        <f t="shared" si="0"/>
        <v>56789</v>
      </c>
      <c r="BF4" s="57">
        <f t="shared" si="0"/>
        <v>56441</v>
      </c>
      <c r="BG4" s="57">
        <f t="shared" si="0"/>
        <v>54386</v>
      </c>
      <c r="BH4" s="50"/>
      <c r="BI4" s="50"/>
      <c r="BJ4" s="50"/>
      <c r="BK4" s="50"/>
      <c r="BM4" s="9" t="s">
        <v>82</v>
      </c>
      <c r="BN4" s="9" t="s">
        <v>83</v>
      </c>
      <c r="BO4" s="9" t="s">
        <v>81</v>
      </c>
    </row>
    <row r="5" spans="1:67" x14ac:dyDescent="0.3">
      <c r="A5" s="9" t="s">
        <v>1</v>
      </c>
      <c r="B5" s="9" t="s">
        <v>65</v>
      </c>
      <c r="C5" s="17" t="s">
        <v>76</v>
      </c>
      <c r="D5" s="17"/>
      <c r="E5" s="18"/>
      <c r="F5" s="18"/>
      <c r="G5" s="17"/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"/>
      <c r="AW5" s="49">
        <f>TREND($BB$5:$BF$5,$BB$1:$BF$1,AW$1)</f>
        <v>11122.571790412287</v>
      </c>
      <c r="AX5" s="49">
        <f>TREND($BB$5:$BF$5,$BB$1:$BF$1,AX$1)</f>
        <v>11155.968418504432</v>
      </c>
      <c r="AY5" s="49">
        <f>TREND($BB$5:$BF$5,$BB$1:$BF$1,AY$1)</f>
        <v>11189.365046596577</v>
      </c>
      <c r="AZ5" s="49">
        <f>TREND($BB$5:$BF$5,$BB$1:$BF$1,AZ$1)</f>
        <v>11222.761674688722</v>
      </c>
      <c r="BA5" s="49">
        <f>TREND($BB$5:$BF$5,$BB$1:$BF$1,BA$1)</f>
        <v>11256.158302780867</v>
      </c>
      <c r="BB5" s="49">
        <f>BG38/$BK$38*$BF$5</f>
        <v>11064.378156333687</v>
      </c>
      <c r="BC5" s="49">
        <f>BH38/$BK$38*$BF$5</f>
        <v>11606.716963315192</v>
      </c>
      <c r="BD5" s="49">
        <f>BI38/$BK$38*$BF$5</f>
        <v>11372.955583848592</v>
      </c>
      <c r="BE5" s="49">
        <f>BJ38/$BK$38*$BF$5</f>
        <v>11405.940906674099</v>
      </c>
      <c r="BF5" s="49">
        <f>$BM$44*BF4</f>
        <v>11331.749325114952</v>
      </c>
      <c r="BG5" s="49">
        <f>TREND($BB$5:$BF$5,$BB$1:$BF$1,BG$1)</f>
        <v>11456.538071333722</v>
      </c>
      <c r="BH5" s="50"/>
      <c r="BI5" s="50"/>
      <c r="BJ5" s="49">
        <f>$BN$10*BJ$8</f>
        <v>11082.665943002663</v>
      </c>
      <c r="BK5" s="49"/>
    </row>
    <row r="6" spans="1:67" x14ac:dyDescent="0.3">
      <c r="A6" s="9" t="s">
        <v>1</v>
      </c>
      <c r="B6" s="9" t="s">
        <v>65</v>
      </c>
      <c r="C6" s="17" t="s">
        <v>74</v>
      </c>
      <c r="D6" s="17"/>
      <c r="E6" s="18"/>
      <c r="F6" s="18"/>
      <c r="G6" s="17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"/>
      <c r="AW6" s="49">
        <f t="shared" ref="AW6:BG6" si="1">AW4-AW5</f>
        <v>49576.428209587713</v>
      </c>
      <c r="AX6" s="49">
        <f t="shared" si="1"/>
        <v>42151.031581495568</v>
      </c>
      <c r="AY6" s="49">
        <f t="shared" si="1"/>
        <v>46273.634953403423</v>
      </c>
      <c r="AZ6" s="49">
        <f t="shared" si="1"/>
        <v>46021.238325311278</v>
      </c>
      <c r="BA6" s="49">
        <f t="shared" si="1"/>
        <v>43891.841697219133</v>
      </c>
      <c r="BB6" s="49">
        <f t="shared" si="1"/>
        <v>44386.621843666311</v>
      </c>
      <c r="BC6" s="49">
        <f t="shared" si="1"/>
        <v>45361.283036684807</v>
      </c>
      <c r="BD6" s="49">
        <f t="shared" si="1"/>
        <v>45667.04441615141</v>
      </c>
      <c r="BE6" s="49">
        <f t="shared" si="1"/>
        <v>45383.059093325901</v>
      </c>
      <c r="BF6" s="49">
        <f t="shared" si="1"/>
        <v>45109.25067488505</v>
      </c>
      <c r="BG6" s="49">
        <f t="shared" si="1"/>
        <v>42929.461928666278</v>
      </c>
      <c r="BH6" s="50"/>
      <c r="BI6" s="50"/>
      <c r="BJ6" s="50"/>
      <c r="BK6" s="50"/>
      <c r="BM6" s="33">
        <f t="array" ref="BM6:BO6">LINEST(AW6:BG6,AW2:BG3)</f>
        <v>1164.1340919747652</v>
      </c>
      <c r="BN6" s="33">
        <v>5.5248140302305471</v>
      </c>
      <c r="BO6" s="33">
        <v>5461.7208494648312</v>
      </c>
    </row>
    <row r="7" spans="1:67" x14ac:dyDescent="0.3">
      <c r="A7" s="9" t="s">
        <v>1</v>
      </c>
      <c r="B7" s="9" t="s">
        <v>65</v>
      </c>
      <c r="C7" s="17" t="s">
        <v>206</v>
      </c>
      <c r="D7" s="17"/>
      <c r="E7" s="18"/>
      <c r="F7" s="18"/>
      <c r="G7" s="17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"/>
      <c r="AW7" s="47">
        <f>$BN$6*AW2+$BM$6*AW3+$BO$6</f>
        <v>49408.058459445361</v>
      </c>
      <c r="AX7" s="47">
        <f>$BN$6*AX2+$BM$6*AX3+$BO$6</f>
        <v>43470.594177779662</v>
      </c>
      <c r="AY7" s="47">
        <f t="shared" ref="AY7:BG7" si="2">$BN$6*AY2+$BM$6*AY3+$BO$6</f>
        <v>46729.558377361907</v>
      </c>
      <c r="AZ7" s="47">
        <f t="shared" si="2"/>
        <v>45067.803951233567</v>
      </c>
      <c r="BA7" s="47">
        <f t="shared" si="2"/>
        <v>43485.149635363989</v>
      </c>
      <c r="BB7" s="47">
        <f t="shared" si="2"/>
        <v>43745.069419653941</v>
      </c>
      <c r="BC7" s="47">
        <f t="shared" si="2"/>
        <v>45064.630532456256</v>
      </c>
      <c r="BD7" s="47">
        <f t="shared" si="2"/>
        <v>45722.198927717072</v>
      </c>
      <c r="BE7" s="47">
        <f t="shared" si="2"/>
        <v>45542.352502627225</v>
      </c>
      <c r="BF7" s="47">
        <f t="shared" si="2"/>
        <v>45655.921132482305</v>
      </c>
      <c r="BG7" s="47">
        <f t="shared" si="2"/>
        <v>42859.558644275487</v>
      </c>
      <c r="BH7" s="50"/>
      <c r="BI7" s="50"/>
      <c r="BJ7" s="47">
        <f>BN6*BJ2+BM6*BJ3+BO6</f>
        <v>45348.537345036173</v>
      </c>
      <c r="BK7" s="47">
        <f>BN6*BK2+BM6*BK3+BO6</f>
        <v>45307.298781750498</v>
      </c>
    </row>
    <row r="8" spans="1:67" x14ac:dyDescent="0.3">
      <c r="A8" s="9" t="s">
        <v>1</v>
      </c>
      <c r="B8" s="9" t="s">
        <v>65</v>
      </c>
      <c r="C8" s="17" t="s">
        <v>85</v>
      </c>
      <c r="D8" s="17"/>
      <c r="E8" s="18"/>
      <c r="F8" s="18"/>
      <c r="G8" s="17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"/>
      <c r="AW8" s="49">
        <f t="shared" ref="AW8:BI8" si="3">AW5+AW7</f>
        <v>60530.630249857648</v>
      </c>
      <c r="AX8" s="49">
        <f t="shared" si="3"/>
        <v>54626.562596284093</v>
      </c>
      <c r="AY8" s="49">
        <f t="shared" si="3"/>
        <v>57918.923423958484</v>
      </c>
      <c r="AZ8" s="49">
        <f t="shared" si="3"/>
        <v>56290.565625922289</v>
      </c>
      <c r="BA8" s="49">
        <f t="shared" si="3"/>
        <v>54741.307938144855</v>
      </c>
      <c r="BB8" s="49">
        <f t="shared" si="3"/>
        <v>54809.44757598763</v>
      </c>
      <c r="BC8" s="49">
        <f t="shared" si="3"/>
        <v>56671.34749577145</v>
      </c>
      <c r="BD8" s="49">
        <f t="shared" si="3"/>
        <v>57095.154511565663</v>
      </c>
      <c r="BE8" s="49">
        <f t="shared" si="3"/>
        <v>56948.293409301325</v>
      </c>
      <c r="BF8" s="49">
        <f t="shared" si="3"/>
        <v>56987.670457597254</v>
      </c>
      <c r="BG8" s="49">
        <f t="shared" si="3"/>
        <v>54316.096715609208</v>
      </c>
      <c r="BH8" s="49">
        <f t="shared" si="3"/>
        <v>0</v>
      </c>
      <c r="BI8" s="49">
        <f t="shared" si="3"/>
        <v>0</v>
      </c>
      <c r="BJ8" s="49">
        <f>TREND($AY$8:$BG$8,$AY$1:$BG$1,BJ$1)</f>
        <v>55354.598070245353</v>
      </c>
      <c r="BK8" s="49">
        <f>TREND($AY$8:$BG$8,$AY$1:$BG$1,BK$1)</f>
        <v>54886.238531871932</v>
      </c>
    </row>
    <row r="9" spans="1:67" x14ac:dyDescent="0.3">
      <c r="A9" s="9" t="s">
        <v>1</v>
      </c>
      <c r="B9" s="9" t="s">
        <v>65</v>
      </c>
      <c r="C9" s="17" t="s">
        <v>164</v>
      </c>
      <c r="D9" s="17"/>
      <c r="E9" s="18"/>
      <c r="F9" s="18"/>
      <c r="G9" s="17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"/>
      <c r="AW9" s="51">
        <f t="shared" ref="AW9:BG9" si="4">AW8/AW4</f>
        <v>0.99722615281730587</v>
      </c>
      <c r="AX9" s="51">
        <f t="shared" si="4"/>
        <v>1.0247540209781847</v>
      </c>
      <c r="AY9" s="51">
        <f t="shared" si="4"/>
        <v>1.0079342085160623</v>
      </c>
      <c r="AZ9" s="51">
        <f t="shared" si="4"/>
        <v>0.98334437890298176</v>
      </c>
      <c r="BA9" s="51">
        <f t="shared" si="4"/>
        <v>0.99262544313746381</v>
      </c>
      <c r="BB9" s="51">
        <f t="shared" si="4"/>
        <v>0.98843028215880024</v>
      </c>
      <c r="BC9" s="51">
        <f t="shared" si="4"/>
        <v>0.99479264667482536</v>
      </c>
      <c r="BD9" s="51">
        <f t="shared" si="4"/>
        <v>1.0009669444524134</v>
      </c>
      <c r="BE9" s="51">
        <f t="shared" si="4"/>
        <v>1.0028050046540937</v>
      </c>
      <c r="BF9" s="51">
        <f t="shared" si="4"/>
        <v>1.0096856975885837</v>
      </c>
      <c r="BG9" s="51">
        <f t="shared" si="4"/>
        <v>0.99871468237430971</v>
      </c>
      <c r="BH9" s="50"/>
      <c r="BI9" s="50"/>
      <c r="BJ9" s="51"/>
      <c r="BK9" s="47"/>
    </row>
    <row r="10" spans="1:67" x14ac:dyDescent="0.3">
      <c r="A10" s="9" t="s">
        <v>1</v>
      </c>
      <c r="B10" s="9" t="s">
        <v>65</v>
      </c>
      <c r="C10" s="17" t="s">
        <v>207</v>
      </c>
      <c r="D10" s="17"/>
      <c r="E10" s="18"/>
      <c r="F10" s="18"/>
      <c r="G10" s="17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"/>
      <c r="AW10" s="52">
        <f>AW5/AW4</f>
        <v>0.18324143380306573</v>
      </c>
      <c r="AX10" s="52">
        <f>AX5/AX4</f>
        <v>0.20927773873045624</v>
      </c>
      <c r="AY10" s="52">
        <f>AY5/AY4</f>
        <v>0.19472295297141773</v>
      </c>
      <c r="AZ10" s="52">
        <f t="shared" ref="AZ10:BG10" si="5">AZ5/AZ4</f>
        <v>0.1960513184733548</v>
      </c>
      <c r="BA10" s="52">
        <f t="shared" si="5"/>
        <v>0.2041081871106997</v>
      </c>
      <c r="BB10" s="52">
        <f t="shared" si="5"/>
        <v>0.19953433042386406</v>
      </c>
      <c r="BC10" s="52">
        <f t="shared" si="5"/>
        <v>0.2037409943005756</v>
      </c>
      <c r="BD10" s="52">
        <f t="shared" si="5"/>
        <v>0.19938561682764011</v>
      </c>
      <c r="BE10" s="52">
        <f t="shared" si="5"/>
        <v>0.20084771534406484</v>
      </c>
      <c r="BF10" s="52">
        <f t="shared" si="5"/>
        <v>0.20077159024671695</v>
      </c>
      <c r="BG10" s="52">
        <f t="shared" si="5"/>
        <v>0.21065233831011146</v>
      </c>
      <c r="BH10" s="50"/>
      <c r="BI10" s="50"/>
      <c r="BJ10" s="47"/>
      <c r="BK10" s="47"/>
      <c r="BM10" s="9" t="s">
        <v>173</v>
      </c>
      <c r="BN10" s="8">
        <f>AVERAGE(AW10:BG10)</f>
        <v>0.20021220150381522</v>
      </c>
    </row>
    <row r="11" spans="1:67" x14ac:dyDescent="0.3">
      <c r="C11" s="17"/>
      <c r="D11" s="17"/>
      <c r="E11" s="18"/>
      <c r="F11" s="18"/>
      <c r="G11" s="17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"/>
      <c r="AW11" s="49"/>
      <c r="AX11" s="49"/>
      <c r="AY11" s="52"/>
      <c r="AZ11" s="52"/>
      <c r="BA11" s="52"/>
      <c r="BB11" s="52"/>
      <c r="BC11" s="52"/>
      <c r="BD11" s="52"/>
      <c r="BE11" s="52"/>
      <c r="BF11" s="52"/>
      <c r="BG11" s="52"/>
      <c r="BH11" s="50"/>
      <c r="BI11" s="50"/>
      <c r="BJ11" s="47"/>
      <c r="BK11" s="47"/>
      <c r="BN11" s="8"/>
    </row>
    <row r="12" spans="1:67" x14ac:dyDescent="0.3">
      <c r="A12" s="9" t="s">
        <v>1</v>
      </c>
      <c r="B12" s="9" t="s">
        <v>169</v>
      </c>
      <c r="C12" s="17" t="s">
        <v>61</v>
      </c>
      <c r="D12" s="17" t="s">
        <v>62</v>
      </c>
      <c r="E12" s="17"/>
      <c r="F12" s="17"/>
      <c r="G12" s="17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19"/>
      <c r="AV12" s="20"/>
      <c r="AW12" s="53">
        <f>AZ50/1000000</f>
        <v>0.24901899999999999</v>
      </c>
      <c r="AX12" s="53">
        <f t="shared" ref="AX12:BG12" si="6">BA50/1000000</f>
        <v>0.248609</v>
      </c>
      <c r="AY12" s="53">
        <f t="shared" si="6"/>
        <v>0.24854499999999999</v>
      </c>
      <c r="AZ12" s="53">
        <f t="shared" si="6"/>
        <v>0.248637</v>
      </c>
      <c r="BA12" s="53">
        <f t="shared" si="6"/>
        <v>0.24943599999999999</v>
      </c>
      <c r="BB12" s="53">
        <f t="shared" si="6"/>
        <v>0.24998699999999999</v>
      </c>
      <c r="BC12" s="53">
        <f t="shared" si="6"/>
        <v>0.24973300000000001</v>
      </c>
      <c r="BD12" s="53">
        <f t="shared" si="6"/>
        <v>0.25057000000000001</v>
      </c>
      <c r="BE12" s="53">
        <f t="shared" si="6"/>
        <v>0.25129499999999999</v>
      </c>
      <c r="BF12" s="53">
        <f t="shared" si="6"/>
        <v>0.25049700000000003</v>
      </c>
      <c r="BG12" s="53">
        <f t="shared" si="6"/>
        <v>0.25009300000000001</v>
      </c>
      <c r="BH12" s="48"/>
      <c r="BI12" s="48"/>
      <c r="BJ12" s="48">
        <f>BN50/1000000</f>
        <v>0.2466769902</v>
      </c>
      <c r="BK12" s="48">
        <f>BO50/1000000</f>
        <v>0.2425981126</v>
      </c>
    </row>
    <row r="13" spans="1:67" x14ac:dyDescent="0.3">
      <c r="A13" s="9" t="s">
        <v>1</v>
      </c>
      <c r="B13" s="9" t="s">
        <v>169</v>
      </c>
      <c r="C13" s="17" t="s">
        <v>63</v>
      </c>
      <c r="D13" s="17" t="s">
        <v>64</v>
      </c>
      <c r="E13" s="17"/>
      <c r="F13" s="17"/>
      <c r="G13" s="17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"/>
      <c r="AW13" s="49">
        <f t="shared" ref="AW13:BG13" si="7">AW$12/AW$3*AW$9*$BJ$8</f>
        <v>1471.6389002125363</v>
      </c>
      <c r="AX13" s="49">
        <f t="shared" si="7"/>
        <v>1497.764604364728</v>
      </c>
      <c r="AY13" s="49">
        <f t="shared" si="7"/>
        <v>1462.3516103123586</v>
      </c>
      <c r="AZ13" s="49">
        <f t="shared" si="7"/>
        <v>1416.2953201878513</v>
      </c>
      <c r="BA13" s="49">
        <f t="shared" si="7"/>
        <v>1421.0263462603184</v>
      </c>
      <c r="BB13" s="49">
        <f t="shared" si="7"/>
        <v>1403.2349250896305</v>
      </c>
      <c r="BC13" s="49">
        <f t="shared" si="7"/>
        <v>1395.986228152801</v>
      </c>
      <c r="BD13" s="49">
        <f t="shared" si="7"/>
        <v>1389.0346003697537</v>
      </c>
      <c r="BE13" s="49">
        <f t="shared" si="7"/>
        <v>1378.3615325495862</v>
      </c>
      <c r="BF13" s="49">
        <f t="shared" si="7"/>
        <v>1368.5445759356828</v>
      </c>
      <c r="BG13" s="49">
        <f t="shared" si="7"/>
        <v>1338.744581940163</v>
      </c>
      <c r="BH13" s="47"/>
      <c r="BI13" s="47"/>
      <c r="BJ13" s="47">
        <f>BJ12/BJ3*BJ8</f>
        <v>1285.1065546592238</v>
      </c>
      <c r="BK13" s="47">
        <f>BK12/BK3*BK8</f>
        <v>1225.0623163489863</v>
      </c>
    </row>
    <row r="14" spans="1:67" x14ac:dyDescent="0.3">
      <c r="A14" s="9" t="s">
        <v>1</v>
      </c>
      <c r="B14" s="9" t="s">
        <v>169</v>
      </c>
      <c r="C14" s="17" t="s">
        <v>74</v>
      </c>
      <c r="D14" s="17" t="s">
        <v>64</v>
      </c>
      <c r="E14" s="17"/>
      <c r="F14" s="17"/>
      <c r="G14" s="17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"/>
      <c r="AW14" s="49">
        <f t="shared" ref="AW14:BG14" si="8">AW$9*$BJ$13-AW$15</f>
        <v>1024.2478529878142</v>
      </c>
      <c r="AX14" s="49">
        <f t="shared" si="8"/>
        <v>1059.6240967971546</v>
      </c>
      <c r="AY14" s="49">
        <f t="shared" si="8"/>
        <v>1038.0088455539421</v>
      </c>
      <c r="AZ14" s="49">
        <f t="shared" si="8"/>
        <v>1006.4082943402188</v>
      </c>
      <c r="BA14" s="49">
        <f t="shared" si="8"/>
        <v>1018.3354508221651</v>
      </c>
      <c r="BB14" s="49">
        <f t="shared" si="8"/>
        <v>1012.9442219506338</v>
      </c>
      <c r="BC14" s="49">
        <f t="shared" si="8"/>
        <v>1021.120538293309</v>
      </c>
      <c r="BD14" s="49">
        <f t="shared" si="8"/>
        <v>1029.0551688377052</v>
      </c>
      <c r="BE14" s="49">
        <f t="shared" si="8"/>
        <v>1031.4172720507429</v>
      </c>
      <c r="BF14" s="49">
        <f t="shared" si="8"/>
        <v>1040.2596956414534</v>
      </c>
      <c r="BG14" s="49">
        <f t="shared" si="8"/>
        <v>1026.1607720783238</v>
      </c>
      <c r="BH14" s="47"/>
      <c r="BI14" s="47"/>
      <c r="BJ14" s="47">
        <f>BJ13-BJ15</f>
        <v>1027.8125421839175</v>
      </c>
      <c r="BK14" s="47">
        <f>BK13-BK15</f>
        <v>967.76830387368</v>
      </c>
    </row>
    <row r="15" spans="1:67" x14ac:dyDescent="0.3">
      <c r="A15" s="9" t="s">
        <v>1</v>
      </c>
      <c r="B15" s="9" t="s">
        <v>169</v>
      </c>
      <c r="C15" s="17" t="s">
        <v>76</v>
      </c>
      <c r="D15" s="17" t="s">
        <v>165</v>
      </c>
      <c r="E15" s="17"/>
      <c r="F15" s="17"/>
      <c r="G15" s="17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"/>
      <c r="AW15" s="49">
        <f t="shared" ref="AW15:AX15" si="9">$BJ$15</f>
        <v>257.29401247530626</v>
      </c>
      <c r="AX15" s="49">
        <f t="shared" si="9"/>
        <v>257.29401247530626</v>
      </c>
      <c r="AY15" s="49">
        <f>$BJ$15</f>
        <v>257.29401247530626</v>
      </c>
      <c r="AZ15" s="49">
        <f t="shared" ref="AZ15:BG15" si="10">$BJ$15</f>
        <v>257.29401247530626</v>
      </c>
      <c r="BA15" s="49">
        <f t="shared" si="10"/>
        <v>257.29401247530626</v>
      </c>
      <c r="BB15" s="49">
        <f t="shared" si="10"/>
        <v>257.29401247530626</v>
      </c>
      <c r="BC15" s="49">
        <f t="shared" si="10"/>
        <v>257.29401247530626</v>
      </c>
      <c r="BD15" s="49">
        <f t="shared" si="10"/>
        <v>257.29401247530626</v>
      </c>
      <c r="BE15" s="49">
        <f t="shared" si="10"/>
        <v>257.29401247530626</v>
      </c>
      <c r="BF15" s="49">
        <f t="shared" si="10"/>
        <v>257.29401247530626</v>
      </c>
      <c r="BG15" s="49">
        <f t="shared" si="10"/>
        <v>257.29401247530626</v>
      </c>
      <c r="BH15" s="47"/>
      <c r="BI15" s="47"/>
      <c r="BJ15" s="47">
        <f>BJ12/BJ3*BJ5</f>
        <v>257.29401247530626</v>
      </c>
      <c r="BK15" s="49">
        <f t="shared" ref="BK15" si="11">$BJ$15</f>
        <v>257.29401247530626</v>
      </c>
    </row>
    <row r="16" spans="1:67" x14ac:dyDescent="0.3">
      <c r="A16" s="9" t="s">
        <v>1</v>
      </c>
      <c r="B16" s="9" t="s">
        <v>170</v>
      </c>
      <c r="C16" s="17" t="s">
        <v>61</v>
      </c>
      <c r="D16" s="17" t="s">
        <v>62</v>
      </c>
      <c r="E16" s="17"/>
      <c r="F16" s="17"/>
      <c r="G16" s="17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9"/>
      <c r="AV16" s="20"/>
      <c r="AW16" s="53">
        <f>AZ55/1000000</f>
        <v>0.90447599999999995</v>
      </c>
      <c r="AX16" s="53">
        <f t="shared" ref="AX16:BG16" si="12">BA55/1000000</f>
        <v>0.90510999999999997</v>
      </c>
      <c r="AY16" s="53">
        <f t="shared" si="12"/>
        <v>0.90425100000000003</v>
      </c>
      <c r="AZ16" s="53">
        <f t="shared" si="12"/>
        <v>0.90503599999999995</v>
      </c>
      <c r="BA16" s="53">
        <f t="shared" si="12"/>
        <v>0.90769900000000003</v>
      </c>
      <c r="BB16" s="53">
        <f t="shared" si="12"/>
        <v>0.91217899999999996</v>
      </c>
      <c r="BC16" s="53">
        <f t="shared" si="12"/>
        <v>0.916466</v>
      </c>
      <c r="BD16" s="53">
        <f t="shared" si="12"/>
        <v>0.92471199999999998</v>
      </c>
      <c r="BE16" s="53">
        <f t="shared" si="12"/>
        <v>0.92987600000000004</v>
      </c>
      <c r="BF16" s="53">
        <f t="shared" si="12"/>
        <v>0.93243399999999999</v>
      </c>
      <c r="BG16" s="53">
        <f t="shared" si="12"/>
        <v>0.93527499999999997</v>
      </c>
      <c r="BH16" s="48"/>
      <c r="BI16" s="48"/>
      <c r="BJ16" s="48">
        <f>BN55/1000000</f>
        <v>0.93734012299999991</v>
      </c>
      <c r="BK16" s="48">
        <f>BO55/1000000</f>
        <v>0.93489633819999995</v>
      </c>
      <c r="BL16" s="33"/>
    </row>
    <row r="17" spans="1:64" x14ac:dyDescent="0.3">
      <c r="A17" s="9" t="s">
        <v>1</v>
      </c>
      <c r="B17" s="9" t="s">
        <v>170</v>
      </c>
      <c r="C17" s="17" t="s">
        <v>63</v>
      </c>
      <c r="D17" s="17" t="s">
        <v>64</v>
      </c>
      <c r="E17" s="17"/>
      <c r="F17" s="17"/>
      <c r="G17" s="17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"/>
      <c r="AW17" s="49">
        <f t="shared" ref="AW17:AX17" si="13">AW16/AW$3*AW$9*$BJ$8</f>
        <v>5345.2229183662048</v>
      </c>
      <c r="AX17" s="49">
        <f t="shared" si="13"/>
        <v>5452.9068579840596</v>
      </c>
      <c r="AY17" s="49">
        <f>AY16/AY$3*AY$9*$BJ$8</f>
        <v>5320.2957451429756</v>
      </c>
      <c r="AZ17" s="49">
        <f t="shared" ref="AZ17:BF17" si="14">AZ16/AZ$3*AZ$9*$BJ$8</f>
        <v>5155.2996995681742</v>
      </c>
      <c r="BA17" s="49">
        <f t="shared" si="14"/>
        <v>5171.1228269942776</v>
      </c>
      <c r="BB17" s="49">
        <f t="shared" si="14"/>
        <v>5120.271977076145</v>
      </c>
      <c r="BC17" s="49">
        <f t="shared" si="14"/>
        <v>5122.9669870232801</v>
      </c>
      <c r="BD17" s="49">
        <f t="shared" si="14"/>
        <v>5126.1402537299582</v>
      </c>
      <c r="BE17" s="49">
        <f t="shared" si="14"/>
        <v>5100.4011557773892</v>
      </c>
      <c r="BF17" s="49">
        <f t="shared" si="14"/>
        <v>5094.1827371905147</v>
      </c>
      <c r="BG17" s="49">
        <f>BG16/BG$3*BG$9*$BJ$8</f>
        <v>5006.5149319416623</v>
      </c>
      <c r="BH17" s="47"/>
      <c r="BI17" s="47"/>
      <c r="BJ17" s="47">
        <f>BJ16/BJ3*BJ8</f>
        <v>4883.2359071502206</v>
      </c>
      <c r="BK17" s="47">
        <f>BK16/BK3*BK8</f>
        <v>4721.0024074254779</v>
      </c>
      <c r="BL17" s="10"/>
    </row>
    <row r="18" spans="1:64" x14ac:dyDescent="0.3">
      <c r="A18" s="9" t="s">
        <v>1</v>
      </c>
      <c r="B18" s="9" t="s">
        <v>170</v>
      </c>
      <c r="C18" s="17" t="s">
        <v>74</v>
      </c>
      <c r="D18" s="17" t="s">
        <v>64</v>
      </c>
      <c r="E18" s="17"/>
      <c r="F18" s="17"/>
      <c r="G18" s="17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"/>
      <c r="AW18" s="49">
        <f t="shared" ref="AW18:AX18" si="15">AW17-AW19</f>
        <v>4367.5395069331789</v>
      </c>
      <c r="AX18" s="49">
        <f t="shared" si="15"/>
        <v>4475.2234465510337</v>
      </c>
      <c r="AY18" s="49">
        <f>AY17-AY19</f>
        <v>4342.6123337099498</v>
      </c>
      <c r="AZ18" s="49">
        <f t="shared" ref="AZ18:BG18" si="16">AZ17-AZ19</f>
        <v>4177.6162881351484</v>
      </c>
      <c r="BA18" s="49">
        <f t="shared" si="16"/>
        <v>4193.4394155612517</v>
      </c>
      <c r="BB18" s="49">
        <f t="shared" si="16"/>
        <v>4142.5885656431192</v>
      </c>
      <c r="BC18" s="49">
        <f t="shared" si="16"/>
        <v>4145.2835755902543</v>
      </c>
      <c r="BD18" s="49">
        <f t="shared" si="16"/>
        <v>4148.4568422969323</v>
      </c>
      <c r="BE18" s="49">
        <f t="shared" si="16"/>
        <v>4122.7177443443634</v>
      </c>
      <c r="BF18" s="49">
        <f t="shared" si="16"/>
        <v>4116.4993257574888</v>
      </c>
      <c r="BG18" s="49">
        <f t="shared" si="16"/>
        <v>4028.8315205086365</v>
      </c>
      <c r="BH18" s="47"/>
      <c r="BI18" s="47"/>
      <c r="BJ18" s="47">
        <f>BJ17-BJ19</f>
        <v>3905.5524957171947</v>
      </c>
      <c r="BK18" s="47">
        <f>BK17-BK19</f>
        <v>3743.3189959924521</v>
      </c>
      <c r="BL18" s="10"/>
    </row>
    <row r="19" spans="1:64" x14ac:dyDescent="0.3">
      <c r="A19" s="9" t="s">
        <v>1</v>
      </c>
      <c r="B19" s="9" t="s">
        <v>170</v>
      </c>
      <c r="C19" s="17" t="s">
        <v>76</v>
      </c>
      <c r="D19" s="10" t="s">
        <v>64</v>
      </c>
      <c r="AW19" s="47">
        <f t="shared" ref="AW19:AX19" si="17">$BJ$19</f>
        <v>977.68341143302587</v>
      </c>
      <c r="AX19" s="47">
        <f t="shared" si="17"/>
        <v>977.68341143302587</v>
      </c>
      <c r="AY19" s="10">
        <f>$BJ$19</f>
        <v>977.68341143302587</v>
      </c>
      <c r="AZ19" s="10">
        <f t="shared" ref="AZ19:BG19" si="18">$BJ$19</f>
        <v>977.68341143302587</v>
      </c>
      <c r="BA19" s="10">
        <f t="shared" si="18"/>
        <v>977.68341143302587</v>
      </c>
      <c r="BB19" s="10">
        <f t="shared" si="18"/>
        <v>977.68341143302587</v>
      </c>
      <c r="BC19" s="10">
        <f t="shared" si="18"/>
        <v>977.68341143302587</v>
      </c>
      <c r="BD19" s="10">
        <f t="shared" si="18"/>
        <v>977.68341143302587</v>
      </c>
      <c r="BE19" s="10">
        <f t="shared" si="18"/>
        <v>977.68341143302587</v>
      </c>
      <c r="BF19" s="10">
        <f t="shared" si="18"/>
        <v>977.68341143302587</v>
      </c>
      <c r="BG19" s="10">
        <f t="shared" si="18"/>
        <v>977.68341143302587</v>
      </c>
      <c r="BJ19" s="10">
        <f>BJ16/BJ3*BJ5</f>
        <v>977.68341143302587</v>
      </c>
      <c r="BK19" s="10">
        <f t="shared" ref="BK19" si="19">$BJ$19</f>
        <v>977.68341143302587</v>
      </c>
    </row>
    <row r="20" spans="1:64" x14ac:dyDescent="0.3">
      <c r="A20" s="9" t="s">
        <v>1</v>
      </c>
      <c r="B20" s="9" t="s">
        <v>171</v>
      </c>
      <c r="C20" s="17" t="s">
        <v>61</v>
      </c>
      <c r="D20" s="17" t="s">
        <v>62</v>
      </c>
      <c r="E20" s="17"/>
      <c r="F20" s="17"/>
      <c r="G20" s="17"/>
      <c r="H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9"/>
      <c r="AV20" s="20"/>
      <c r="AW20" s="53">
        <f>AZ68/1000000</f>
        <v>6.3235469999999996</v>
      </c>
      <c r="AX20" s="53">
        <f t="shared" ref="AX20:BG20" si="20">BA68/1000000</f>
        <v>6.3818710000000003</v>
      </c>
      <c r="AY20" s="53">
        <f t="shared" si="20"/>
        <v>6.4377690000000003</v>
      </c>
      <c r="AZ20" s="53">
        <f t="shared" si="20"/>
        <v>6.4968139999999996</v>
      </c>
      <c r="BA20" s="53">
        <f t="shared" si="20"/>
        <v>6.5669069999999996</v>
      </c>
      <c r="BB20" s="53">
        <f t="shared" si="20"/>
        <v>6.6423310000000004</v>
      </c>
      <c r="BC20" s="53">
        <f t="shared" si="20"/>
        <v>6.7187849999999996</v>
      </c>
      <c r="BD20" s="53">
        <f t="shared" si="20"/>
        <v>6.8218920000000001</v>
      </c>
      <c r="BE20" s="53">
        <f t="shared" si="20"/>
        <v>6.9126669999999999</v>
      </c>
      <c r="BF20" s="53">
        <f t="shared" si="20"/>
        <v>6.9961679999999999</v>
      </c>
      <c r="BG20" s="53">
        <f t="shared" si="20"/>
        <v>7.0694710000000001</v>
      </c>
      <c r="BH20" s="48"/>
      <c r="BI20" s="48"/>
      <c r="BJ20" s="48">
        <f>BN68/1000000</f>
        <v>7.2961040348000008</v>
      </c>
      <c r="BK20" s="48">
        <f>BO68/1000000</f>
        <v>7.4894450019000001</v>
      </c>
      <c r="BL20" s="33"/>
    </row>
    <row r="21" spans="1:64" x14ac:dyDescent="0.3">
      <c r="A21" s="9" t="s">
        <v>1</v>
      </c>
      <c r="B21" s="9" t="s">
        <v>171</v>
      </c>
      <c r="C21" s="17" t="s">
        <v>63</v>
      </c>
      <c r="D21" s="17" t="s">
        <v>64</v>
      </c>
      <c r="E21" s="17"/>
      <c r="F21" s="17"/>
      <c r="G21" s="17"/>
      <c r="H21" s="1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"/>
      <c r="AW21" s="49">
        <f t="shared" ref="AW21:AX21" si="21">AW20/AW$3*AW$9*$BJ$8</f>
        <v>37370.553060297738</v>
      </c>
      <c r="AX21" s="49">
        <f t="shared" si="21"/>
        <v>38448.087130480926</v>
      </c>
      <c r="AY21" s="49">
        <f>AY20/AY$3*AY$9*$BJ$8</f>
        <v>37877.574942038598</v>
      </c>
      <c r="AZ21" s="49">
        <f t="shared" ref="AZ21:BF21" si="22">AZ20/AZ$3*AZ$9*$BJ$8</f>
        <v>37007.393365954842</v>
      </c>
      <c r="BA21" s="49">
        <f t="shared" si="22"/>
        <v>37411.39154108191</v>
      </c>
      <c r="BB21" s="49">
        <f t="shared" si="22"/>
        <v>37284.942189816</v>
      </c>
      <c r="BC21" s="49">
        <f t="shared" si="22"/>
        <v>37557.436662033513</v>
      </c>
      <c r="BD21" s="49">
        <f t="shared" si="22"/>
        <v>37817.153003095416</v>
      </c>
      <c r="BE21" s="49">
        <f t="shared" si="22"/>
        <v>37916.211146759582</v>
      </c>
      <c r="BF21" s="49">
        <f t="shared" si="22"/>
        <v>38222.285172017204</v>
      </c>
      <c r="BG21" s="49">
        <f>BG20/BG$3*BG$9*$BJ$8</f>
        <v>37842.786477162925</v>
      </c>
      <c r="BH21" s="47"/>
      <c r="BI21" s="47"/>
      <c r="BJ21" s="47">
        <f>BJ20/BJ3*BJ8</f>
        <v>38010.319126218572</v>
      </c>
      <c r="BK21" s="47">
        <f>BK20/BK3*BK8</f>
        <v>37819.901992905907</v>
      </c>
      <c r="BL21" s="10"/>
    </row>
    <row r="22" spans="1:64" x14ac:dyDescent="0.3">
      <c r="A22" s="9" t="s">
        <v>1</v>
      </c>
      <c r="B22" s="9" t="s">
        <v>171</v>
      </c>
      <c r="C22" s="17" t="s">
        <v>74</v>
      </c>
      <c r="D22" s="17" t="s">
        <v>64</v>
      </c>
      <c r="E22" s="17"/>
      <c r="F22" s="17"/>
      <c r="G22" s="17"/>
      <c r="H22" s="1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"/>
      <c r="AW22" s="49">
        <f t="shared" ref="AW22:AX22" si="23">AW21-AW23</f>
        <v>29760.423388174942</v>
      </c>
      <c r="AX22" s="49">
        <f t="shared" si="23"/>
        <v>30837.957458358131</v>
      </c>
      <c r="AY22" s="49">
        <f>AY21-AY23</f>
        <v>30267.445269915803</v>
      </c>
      <c r="AZ22" s="49">
        <f t="shared" ref="AZ22:BG22" si="24">AZ21-AZ23</f>
        <v>29397.263693832047</v>
      </c>
      <c r="BA22" s="49">
        <f t="shared" si="24"/>
        <v>29801.261868959115</v>
      </c>
      <c r="BB22" s="49">
        <f t="shared" si="24"/>
        <v>29674.812517693204</v>
      </c>
      <c r="BC22" s="49">
        <f t="shared" si="24"/>
        <v>29947.306989910718</v>
      </c>
      <c r="BD22" s="49">
        <f t="shared" si="24"/>
        <v>30207.023330972621</v>
      </c>
      <c r="BE22" s="49">
        <f t="shared" si="24"/>
        <v>30306.081474636787</v>
      </c>
      <c r="BF22" s="49">
        <f t="shared" si="24"/>
        <v>30612.155499894408</v>
      </c>
      <c r="BG22" s="49">
        <f t="shared" si="24"/>
        <v>30232.656805040129</v>
      </c>
      <c r="BH22" s="47"/>
      <c r="BI22" s="47"/>
      <c r="BJ22" s="47">
        <f>BJ21-BJ23</f>
        <v>30400.189454095776</v>
      </c>
      <c r="BK22" s="47">
        <f>BK21-BK23</f>
        <v>30209.772320783111</v>
      </c>
      <c r="BL22" s="10"/>
    </row>
    <row r="23" spans="1:64" x14ac:dyDescent="0.3">
      <c r="A23" s="9" t="s">
        <v>1</v>
      </c>
      <c r="B23" s="9" t="s">
        <v>171</v>
      </c>
      <c r="C23" s="17" t="s">
        <v>76</v>
      </c>
      <c r="D23" s="10" t="s">
        <v>64</v>
      </c>
      <c r="AW23" s="10">
        <f t="shared" ref="AW23:BF23" si="25">$BJ$23</f>
        <v>7610.1296721227945</v>
      </c>
      <c r="AX23" s="10">
        <f t="shared" si="25"/>
        <v>7610.1296721227945</v>
      </c>
      <c r="AY23" s="10">
        <f t="shared" si="25"/>
        <v>7610.1296721227945</v>
      </c>
      <c r="AZ23" s="10">
        <f t="shared" si="25"/>
        <v>7610.1296721227945</v>
      </c>
      <c r="BA23" s="10">
        <f t="shared" si="25"/>
        <v>7610.1296721227945</v>
      </c>
      <c r="BB23" s="10">
        <f t="shared" si="25"/>
        <v>7610.1296721227945</v>
      </c>
      <c r="BC23" s="10">
        <f t="shared" si="25"/>
        <v>7610.1296721227945</v>
      </c>
      <c r="BD23" s="10">
        <f t="shared" si="25"/>
        <v>7610.1296721227945</v>
      </c>
      <c r="BE23" s="10">
        <f t="shared" si="25"/>
        <v>7610.1296721227945</v>
      </c>
      <c r="BF23" s="10">
        <f t="shared" si="25"/>
        <v>7610.1296721227945</v>
      </c>
      <c r="BG23" s="10">
        <f>$BJ$23</f>
        <v>7610.1296721227945</v>
      </c>
      <c r="BJ23" s="10">
        <f>BJ20/BJ3*BJ5</f>
        <v>7610.1296721227945</v>
      </c>
      <c r="BK23" s="10">
        <f>BJ23</f>
        <v>7610.1296721227945</v>
      </c>
    </row>
    <row r="24" spans="1:64" x14ac:dyDescent="0.3">
      <c r="A24" s="9" t="s">
        <v>1</v>
      </c>
      <c r="B24" s="9" t="s">
        <v>172</v>
      </c>
      <c r="C24" s="17" t="s">
        <v>61</v>
      </c>
      <c r="D24" s="17" t="s">
        <v>62</v>
      </c>
      <c r="E24" s="17"/>
      <c r="F24" s="17"/>
      <c r="G24" s="17"/>
      <c r="H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9"/>
      <c r="AV24" s="20"/>
      <c r="AW24" s="53">
        <f>AZ73/1000000</f>
        <v>1.86364</v>
      </c>
      <c r="AX24" s="53">
        <f t="shared" ref="AX24:BG24" si="26">BA73/1000000</f>
        <v>1.87998</v>
      </c>
      <c r="AY24" s="53">
        <f t="shared" si="26"/>
        <v>1.89229</v>
      </c>
      <c r="AZ24" s="53">
        <f t="shared" si="26"/>
        <v>1.9054059999999999</v>
      </c>
      <c r="BA24" s="53">
        <f t="shared" si="26"/>
        <v>1.920822</v>
      </c>
      <c r="BB24" s="53">
        <f t="shared" si="26"/>
        <v>1.942858</v>
      </c>
      <c r="BC24" s="53">
        <f t="shared" si="26"/>
        <v>1.9660329999999999</v>
      </c>
      <c r="BD24" s="53">
        <f t="shared" si="26"/>
        <v>1.9979789999999999</v>
      </c>
      <c r="BE24" s="53">
        <f t="shared" si="26"/>
        <v>2.0264039999999999</v>
      </c>
      <c r="BF24" s="53">
        <f t="shared" si="26"/>
        <v>2.0510860000000002</v>
      </c>
      <c r="BG24" s="53">
        <f t="shared" si="26"/>
        <v>2.0727500000000001</v>
      </c>
      <c r="BH24" s="48"/>
      <c r="BI24" s="48"/>
      <c r="BJ24" s="48">
        <f>BN73/1000000</f>
        <v>2.1452278521999997</v>
      </c>
      <c r="BK24" s="48">
        <f>BO73/1000000</f>
        <v>2.2021385508</v>
      </c>
      <c r="BL24" s="33"/>
    </row>
    <row r="25" spans="1:64" x14ac:dyDescent="0.3">
      <c r="A25" s="9" t="s">
        <v>1</v>
      </c>
      <c r="B25" s="9" t="s">
        <v>172</v>
      </c>
      <c r="C25" s="17" t="s">
        <v>63</v>
      </c>
      <c r="D25" s="17" t="s">
        <v>64</v>
      </c>
      <c r="E25" s="17"/>
      <c r="F25" s="17"/>
      <c r="G25" s="17"/>
      <c r="H25" s="1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"/>
      <c r="AW25" s="49">
        <f t="shared" ref="AW25:AX25" si="27">AW24/AW$3*AW$9*$BJ$8</f>
        <v>11013.637995462559</v>
      </c>
      <c r="AX25" s="49">
        <f t="shared" si="27"/>
        <v>11326.088359285472</v>
      </c>
      <c r="AY25" s="49">
        <f>AY24/AY$3*AY$9*$BJ$8</f>
        <v>11133.570696163564</v>
      </c>
      <c r="AZ25" s="49">
        <f t="shared" ref="AZ25:BF25" si="28">AZ24/AZ$3*AZ$9*$BJ$8</f>
        <v>10853.644473098744</v>
      </c>
      <c r="BA25" s="49">
        <f t="shared" si="28"/>
        <v>10942.841724836981</v>
      </c>
      <c r="BB25" s="49">
        <f t="shared" si="28"/>
        <v>10905.711897377822</v>
      </c>
      <c r="BC25" s="49">
        <f t="shared" si="28"/>
        <v>10989.957242710956</v>
      </c>
      <c r="BD25" s="49">
        <f t="shared" si="28"/>
        <v>11075.795034569821</v>
      </c>
      <c r="BE25" s="49">
        <f t="shared" si="28"/>
        <v>11114.894140371322</v>
      </c>
      <c r="BF25" s="49">
        <f t="shared" si="28"/>
        <v>11205.733482147953</v>
      </c>
      <c r="BG25" s="49">
        <f>BG24/BG$3*BG$9*$BJ$8</f>
        <v>11095.40383863792</v>
      </c>
      <c r="BH25" s="47"/>
      <c r="BI25" s="47"/>
      <c r="BJ25" s="47">
        <f>BJ24/BJ3*BJ8</f>
        <v>11175.936482217336</v>
      </c>
      <c r="BK25" s="47">
        <f>BK24/BK3*BK8</f>
        <v>11120.271815191556</v>
      </c>
      <c r="BL25" s="10"/>
    </row>
    <row r="26" spans="1:64" x14ac:dyDescent="0.3">
      <c r="A26" s="9" t="s">
        <v>1</v>
      </c>
      <c r="B26" s="9" t="s">
        <v>172</v>
      </c>
      <c r="C26" s="17" t="s">
        <v>74</v>
      </c>
      <c r="D26" s="17" t="s">
        <v>64</v>
      </c>
      <c r="E26" s="17"/>
      <c r="F26" s="17"/>
      <c r="G26" s="17"/>
      <c r="H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"/>
      <c r="AW26" s="49">
        <f t="shared" ref="AW26:AX26" si="29">AW25-AW27</f>
        <v>8776.0791484910224</v>
      </c>
      <c r="AX26" s="49">
        <f t="shared" si="29"/>
        <v>9088.5295123139349</v>
      </c>
      <c r="AY26" s="49">
        <f>AY25-AY27</f>
        <v>8896.0118491920275</v>
      </c>
      <c r="AZ26" s="49">
        <f t="shared" ref="AZ26:BG26" si="30">AZ25-AZ27</f>
        <v>8616.0856261272074</v>
      </c>
      <c r="BA26" s="49">
        <f t="shared" si="30"/>
        <v>8705.2828778654439</v>
      </c>
      <c r="BB26" s="49">
        <f t="shared" si="30"/>
        <v>8668.1530504062848</v>
      </c>
      <c r="BC26" s="49">
        <f t="shared" si="30"/>
        <v>8752.3983957394194</v>
      </c>
      <c r="BD26" s="49">
        <f t="shared" si="30"/>
        <v>8838.2361875982842</v>
      </c>
      <c r="BE26" s="49">
        <f t="shared" si="30"/>
        <v>8877.3352933997849</v>
      </c>
      <c r="BF26" s="49">
        <f t="shared" si="30"/>
        <v>8968.1746351764159</v>
      </c>
      <c r="BG26" s="49">
        <f t="shared" si="30"/>
        <v>8857.8449916663831</v>
      </c>
      <c r="BH26" s="47"/>
      <c r="BI26" s="47"/>
      <c r="BJ26" s="47">
        <f>BJ25-BJ27</f>
        <v>8938.377635245799</v>
      </c>
      <c r="BK26" s="47">
        <f>BK25-BK27</f>
        <v>8882.7129682200193</v>
      </c>
      <c r="BL26" s="10"/>
    </row>
    <row r="27" spans="1:64" x14ac:dyDescent="0.3">
      <c r="A27" s="9" t="s">
        <v>1</v>
      </c>
      <c r="B27" s="9" t="s">
        <v>172</v>
      </c>
      <c r="C27" s="17" t="s">
        <v>76</v>
      </c>
      <c r="D27" s="10" t="s">
        <v>64</v>
      </c>
      <c r="AW27" s="10">
        <f t="shared" ref="AW27:BD27" si="31">AZ27</f>
        <v>2237.5588469715372</v>
      </c>
      <c r="AX27" s="10">
        <f t="shared" si="31"/>
        <v>2237.5588469715372</v>
      </c>
      <c r="AY27" s="10">
        <f t="shared" si="31"/>
        <v>2237.5588469715372</v>
      </c>
      <c r="AZ27" s="10">
        <f t="shared" si="31"/>
        <v>2237.5588469715372</v>
      </c>
      <c r="BA27" s="10">
        <f t="shared" si="31"/>
        <v>2237.5588469715372</v>
      </c>
      <c r="BB27" s="10">
        <f t="shared" si="31"/>
        <v>2237.5588469715372</v>
      </c>
      <c r="BC27" s="10">
        <f t="shared" si="31"/>
        <v>2237.5588469715372</v>
      </c>
      <c r="BD27" s="10">
        <f t="shared" si="31"/>
        <v>2237.5588469715372</v>
      </c>
      <c r="BE27" s="10">
        <f>BJ27</f>
        <v>2237.5588469715372</v>
      </c>
      <c r="BF27" s="10">
        <f>BJ27</f>
        <v>2237.5588469715372</v>
      </c>
      <c r="BG27" s="10">
        <f>BJ27</f>
        <v>2237.5588469715372</v>
      </c>
      <c r="BJ27" s="10">
        <f>BJ24/BJ3*BJ5</f>
        <v>2237.5588469715372</v>
      </c>
      <c r="BK27" s="10">
        <f>BJ27</f>
        <v>2237.5588469715372</v>
      </c>
    </row>
    <row r="28" spans="1:64" x14ac:dyDescent="0.3">
      <c r="C28" s="17"/>
      <c r="D28" s="10"/>
      <c r="AW28" s="47"/>
      <c r="AX28" s="47"/>
      <c r="AY28" s="10"/>
      <c r="AZ28" s="10"/>
      <c r="BA28" s="10"/>
      <c r="BB28" s="10"/>
      <c r="BC28" s="10"/>
      <c r="BD28" s="10"/>
      <c r="BE28" s="10"/>
      <c r="BF28" s="10"/>
      <c r="BG28" s="10"/>
      <c r="BJ28" s="10"/>
      <c r="BK28" s="10"/>
    </row>
    <row r="29" spans="1:64" x14ac:dyDescent="0.3">
      <c r="C29" s="17"/>
      <c r="D29" s="10"/>
      <c r="AW29" s="47"/>
      <c r="AX29" s="47"/>
      <c r="AY29" s="10"/>
      <c r="AZ29" s="10"/>
      <c r="BA29" s="10"/>
      <c r="BB29" s="10"/>
      <c r="BC29" s="10"/>
      <c r="BD29" s="10"/>
      <c r="BE29" s="10"/>
      <c r="BF29" s="10"/>
      <c r="BG29" s="10"/>
      <c r="BJ29" s="10"/>
      <c r="BK29" s="10"/>
    </row>
    <row r="30" spans="1:64" x14ac:dyDescent="0.3">
      <c r="C30" s="17" t="s">
        <v>201</v>
      </c>
      <c r="D30" s="10" t="s">
        <v>168</v>
      </c>
      <c r="I30" s="44">
        <v>13.398999999999999</v>
      </c>
      <c r="J30" s="44">
        <v>14.173999999999999</v>
      </c>
      <c r="K30" s="44">
        <v>15.503</v>
      </c>
      <c r="L30" s="44">
        <v>17.606999999999999</v>
      </c>
      <c r="M30" s="44">
        <v>17.385999999999999</v>
      </c>
      <c r="N30" s="44">
        <v>19.821999999999999</v>
      </c>
      <c r="O30" s="44">
        <v>24.03</v>
      </c>
      <c r="P30" s="44">
        <v>25.690999999999999</v>
      </c>
      <c r="Q30" s="44">
        <v>27.795000000000002</v>
      </c>
      <c r="R30" s="44">
        <v>29.234000000000002</v>
      </c>
      <c r="S30" s="44">
        <v>30.785</v>
      </c>
      <c r="T30" s="44">
        <v>31.449000000000002</v>
      </c>
      <c r="U30" s="44">
        <v>31.338000000000001</v>
      </c>
      <c r="V30" s="44">
        <v>31.608000000000001</v>
      </c>
      <c r="W30" s="44">
        <v>32.966000000000001</v>
      </c>
      <c r="X30" s="44">
        <v>40.97</v>
      </c>
      <c r="Y30" s="44">
        <v>39.884</v>
      </c>
      <c r="Z30" s="44">
        <v>43.335000000000001</v>
      </c>
      <c r="AA30" s="44">
        <v>40.048999999999999</v>
      </c>
      <c r="AB30" s="44">
        <v>37.243000000000002</v>
      </c>
      <c r="AC30" s="44">
        <v>38.039000000000001</v>
      </c>
      <c r="AD30" s="44">
        <v>41.719000000000001</v>
      </c>
      <c r="AE30" s="44">
        <v>41.142000000000003</v>
      </c>
      <c r="AF30" s="44">
        <v>43.67</v>
      </c>
      <c r="AG30" s="44">
        <v>43.74</v>
      </c>
      <c r="AH30" s="44">
        <v>44.972000000000001</v>
      </c>
      <c r="AI30" s="44">
        <v>49.207999999999998</v>
      </c>
      <c r="AJ30" s="44">
        <v>45.119</v>
      </c>
      <c r="AK30" s="44">
        <v>47.457000000000001</v>
      </c>
      <c r="AL30" s="44">
        <v>47.756999999999998</v>
      </c>
      <c r="AM30" s="44">
        <v>45.48</v>
      </c>
      <c r="AN30" s="44">
        <v>50.600999999999999</v>
      </c>
      <c r="AO30" s="44">
        <v>50.835999999999999</v>
      </c>
      <c r="AP30" s="44">
        <v>51.47</v>
      </c>
      <c r="AQ30" s="44">
        <v>52.478000000000002</v>
      </c>
      <c r="AR30" s="44">
        <v>51.344000000000001</v>
      </c>
      <c r="AS30" s="44">
        <v>51.170999999999999</v>
      </c>
      <c r="AT30" s="44">
        <v>51.908000000000001</v>
      </c>
      <c r="AU30" s="44">
        <v>52.246000000000002</v>
      </c>
      <c r="AV30" s="44">
        <v>54.142000000000003</v>
      </c>
      <c r="AW30" s="44">
        <v>60.698999999999998</v>
      </c>
      <c r="AX30" s="44">
        <v>53.307000000000002</v>
      </c>
      <c r="AY30" s="44">
        <v>57.463000000000001</v>
      </c>
      <c r="AZ30" s="44">
        <v>57.244</v>
      </c>
      <c r="BA30" s="44">
        <v>55.148000000000003</v>
      </c>
      <c r="BB30" s="44">
        <v>55.451000000000001</v>
      </c>
      <c r="BC30" s="44">
        <v>56.968000000000004</v>
      </c>
      <c r="BD30" s="44">
        <v>57.04</v>
      </c>
      <c r="BE30" s="44">
        <v>56.789000000000001</v>
      </c>
      <c r="BF30" s="44">
        <v>56.441000000000003</v>
      </c>
      <c r="BG30" s="44">
        <v>54.386000000000003</v>
      </c>
      <c r="BJ30" s="10"/>
      <c r="BK30" s="10"/>
    </row>
    <row r="31" spans="1:64" x14ac:dyDescent="0.3">
      <c r="C31" s="17"/>
      <c r="D31" s="10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J31" s="10"/>
      <c r="BK31" s="10"/>
    </row>
    <row r="33" spans="3:67" x14ac:dyDescent="0.3">
      <c r="C33" s="9" t="s">
        <v>175</v>
      </c>
    </row>
    <row r="34" spans="3:67" x14ac:dyDescent="0.3">
      <c r="C34" s="9" t="s">
        <v>202</v>
      </c>
      <c r="BA34" s="22" t="s">
        <v>72</v>
      </c>
      <c r="BB34" s="23" t="s">
        <v>16</v>
      </c>
      <c r="BC34" s="23" t="s">
        <v>17</v>
      </c>
      <c r="BD34" s="23" t="s">
        <v>18</v>
      </c>
      <c r="BE34" s="23" t="s">
        <v>19</v>
      </c>
      <c r="BF34" s="23" t="s">
        <v>20</v>
      </c>
      <c r="BG34" s="23" t="s">
        <v>21</v>
      </c>
      <c r="BH34" s="23" t="s">
        <v>22</v>
      </c>
      <c r="BI34" s="23" t="s">
        <v>23</v>
      </c>
      <c r="BJ34" s="23" t="s">
        <v>24</v>
      </c>
      <c r="BK34" s="23" t="s">
        <v>25</v>
      </c>
    </row>
    <row r="35" spans="3:67" x14ac:dyDescent="0.3">
      <c r="C35" s="9" t="s">
        <v>176</v>
      </c>
      <c r="BA35" s="24" t="s">
        <v>73</v>
      </c>
      <c r="BB35" s="25" t="s">
        <v>51</v>
      </c>
      <c r="BC35" s="25" t="s">
        <v>51</v>
      </c>
      <c r="BD35" s="25" t="s">
        <v>51</v>
      </c>
      <c r="BE35" s="25" t="s">
        <v>51</v>
      </c>
      <c r="BF35" s="25" t="s">
        <v>51</v>
      </c>
      <c r="BG35" s="45">
        <v>310112.37900000002</v>
      </c>
      <c r="BH35" s="45">
        <v>322645.01500000001</v>
      </c>
      <c r="BI35" s="45">
        <v>320577.65399999998</v>
      </c>
      <c r="BJ35" s="45">
        <v>313425.57799999998</v>
      </c>
      <c r="BK35" s="45">
        <v>309015.74900000001</v>
      </c>
    </row>
    <row r="36" spans="3:67" x14ac:dyDescent="0.3">
      <c r="C36" s="9" t="s">
        <v>203</v>
      </c>
      <c r="BA36" s="24" t="s">
        <v>74</v>
      </c>
      <c r="BB36" s="25" t="s">
        <v>51</v>
      </c>
      <c r="BC36" s="25" t="s">
        <v>51</v>
      </c>
      <c r="BD36" s="25" t="s">
        <v>51</v>
      </c>
      <c r="BE36" s="25" t="s">
        <v>51</v>
      </c>
      <c r="BF36" s="25" t="s">
        <v>51</v>
      </c>
      <c r="BG36" s="45">
        <v>174300.27799999999</v>
      </c>
      <c r="BH36" s="45">
        <v>180767.45800000001</v>
      </c>
      <c r="BI36" s="45">
        <v>177088.09700000001</v>
      </c>
      <c r="BJ36" s="45">
        <v>171831.60399999999</v>
      </c>
      <c r="BK36" s="45">
        <v>170700.41500000001</v>
      </c>
    </row>
    <row r="37" spans="3:67" x14ac:dyDescent="0.3">
      <c r="BA37" s="24" t="s">
        <v>75</v>
      </c>
      <c r="BB37" s="25" t="s">
        <v>51</v>
      </c>
      <c r="BC37" s="25" t="s">
        <v>51</v>
      </c>
      <c r="BD37" s="25" t="s">
        <v>51</v>
      </c>
      <c r="BE37" s="25" t="s">
        <v>51</v>
      </c>
      <c r="BF37" s="25" t="s">
        <v>51</v>
      </c>
      <c r="BG37" s="25" t="s">
        <v>51</v>
      </c>
      <c r="BH37" s="25" t="s">
        <v>51</v>
      </c>
      <c r="BI37" s="25" t="s">
        <v>51</v>
      </c>
      <c r="BJ37" s="25" t="s">
        <v>51</v>
      </c>
      <c r="BK37" s="25" t="s">
        <v>51</v>
      </c>
    </row>
    <row r="38" spans="3:67" x14ac:dyDescent="0.3">
      <c r="BA38" s="24" t="s">
        <v>76</v>
      </c>
      <c r="BB38" s="25" t="s">
        <v>51</v>
      </c>
      <c r="BC38" s="25" t="s">
        <v>51</v>
      </c>
      <c r="BD38" s="25" t="s">
        <v>51</v>
      </c>
      <c r="BE38" s="25" t="s">
        <v>51</v>
      </c>
      <c r="BF38" s="25" t="s">
        <v>51</v>
      </c>
      <c r="BG38" s="45">
        <v>42807.000999999997</v>
      </c>
      <c r="BH38" s="45">
        <v>44905.256999999998</v>
      </c>
      <c r="BI38" s="45">
        <v>44000.857000000004</v>
      </c>
      <c r="BJ38" s="45">
        <v>44128.474000000002</v>
      </c>
      <c r="BK38" s="45">
        <v>43841.434000000001</v>
      </c>
    </row>
    <row r="39" spans="3:67" x14ac:dyDescent="0.3">
      <c r="BA39" s="24" t="s">
        <v>77</v>
      </c>
      <c r="BB39" s="25" t="s">
        <v>51</v>
      </c>
      <c r="BC39" s="25" t="s">
        <v>51</v>
      </c>
      <c r="BD39" s="25" t="s">
        <v>51</v>
      </c>
      <c r="BE39" s="25" t="s">
        <v>51</v>
      </c>
      <c r="BF39" s="25" t="s">
        <v>51</v>
      </c>
      <c r="BG39" s="26"/>
      <c r="BH39" s="27"/>
      <c r="BI39" s="26"/>
      <c r="BJ39" s="27"/>
      <c r="BK39" s="27"/>
    </row>
    <row r="43" spans="3:67" x14ac:dyDescent="0.3">
      <c r="BM43" s="9" t="s">
        <v>78</v>
      </c>
    </row>
    <row r="44" spans="3:67" x14ac:dyDescent="0.3">
      <c r="BA44" s="9" t="s">
        <v>167</v>
      </c>
      <c r="BG44" s="8">
        <f>BG38/(BG36+BG38)</f>
        <v>0.19716981023008445</v>
      </c>
      <c r="BH44" s="8">
        <f t="shared" ref="BH44:BK44" si="32">BH38/(BH36+BH38)</f>
        <v>0.19898398882647375</v>
      </c>
      <c r="BI44" s="8">
        <f t="shared" si="32"/>
        <v>0.19901879403708245</v>
      </c>
      <c r="BJ44" s="8">
        <f t="shared" si="32"/>
        <v>0.20433625700024061</v>
      </c>
      <c r="BK44" s="8">
        <f t="shared" si="32"/>
        <v>0.2043491011397035</v>
      </c>
      <c r="BM44" s="28">
        <f>AVERAGE(BG44:BK44)</f>
        <v>0.20077159024671695</v>
      </c>
    </row>
    <row r="47" spans="3:67" x14ac:dyDescent="0.3">
      <c r="AY47" s="9" t="s">
        <v>200</v>
      </c>
    </row>
    <row r="48" spans="3:67" x14ac:dyDescent="0.3">
      <c r="AY48" s="9" t="s">
        <v>199</v>
      </c>
      <c r="AZ48" s="9">
        <v>2010</v>
      </c>
      <c r="BA48" s="9">
        <v>2011</v>
      </c>
      <c r="BB48" s="9">
        <v>2012</v>
      </c>
      <c r="BC48" s="9">
        <v>2013</v>
      </c>
      <c r="BD48" s="9">
        <v>2014</v>
      </c>
      <c r="BE48" s="9">
        <v>2015</v>
      </c>
      <c r="BF48" s="9">
        <v>2016</v>
      </c>
      <c r="BG48" s="9">
        <v>2017</v>
      </c>
      <c r="BH48" s="9">
        <v>2018</v>
      </c>
      <c r="BI48" s="9">
        <v>2019</v>
      </c>
      <c r="BJ48" s="9">
        <v>2020</v>
      </c>
      <c r="BK48" s="9">
        <v>2021</v>
      </c>
      <c r="BL48" s="9">
        <v>2022</v>
      </c>
      <c r="BN48" s="9">
        <v>2025</v>
      </c>
      <c r="BO48" s="9">
        <v>2030</v>
      </c>
    </row>
    <row r="49" spans="51:67" x14ac:dyDescent="0.3">
      <c r="AY49" s="9" t="s">
        <v>198</v>
      </c>
      <c r="AZ49" s="54">
        <v>249019</v>
      </c>
      <c r="BA49" s="10">
        <v>248609</v>
      </c>
      <c r="BB49" s="10">
        <v>248545</v>
      </c>
      <c r="BC49" s="10">
        <v>248637</v>
      </c>
      <c r="BD49" s="10">
        <v>249436</v>
      </c>
      <c r="BE49" s="10">
        <v>249987</v>
      </c>
      <c r="BF49" s="10">
        <v>249733</v>
      </c>
      <c r="BG49" s="10">
        <v>250570</v>
      </c>
      <c r="BH49" s="10">
        <v>251295</v>
      </c>
      <c r="BI49" s="10">
        <v>250497</v>
      </c>
      <c r="BJ49" s="10">
        <v>250093</v>
      </c>
      <c r="BK49" s="10">
        <v>249614</v>
      </c>
      <c r="BL49" s="10">
        <v>249693</v>
      </c>
      <c r="BN49" s="58">
        <v>246676.9902</v>
      </c>
      <c r="BO49" s="58">
        <v>242598.11259999999</v>
      </c>
    </row>
    <row r="50" spans="51:67" x14ac:dyDescent="0.3">
      <c r="AY50" s="9" t="s">
        <v>169</v>
      </c>
      <c r="AZ50" s="55">
        <f>AZ49</f>
        <v>249019</v>
      </c>
      <c r="BA50" s="56">
        <v>248609</v>
      </c>
      <c r="BB50" s="56">
        <v>248545</v>
      </c>
      <c r="BC50" s="56">
        <v>248637</v>
      </c>
      <c r="BD50" s="56">
        <v>249436</v>
      </c>
      <c r="BE50" s="56">
        <v>249987</v>
      </c>
      <c r="BF50" s="56">
        <v>249733</v>
      </c>
      <c r="BG50" s="56">
        <v>250570</v>
      </c>
      <c r="BH50" s="56">
        <v>251295</v>
      </c>
      <c r="BI50" s="56">
        <v>250497</v>
      </c>
      <c r="BJ50" s="56">
        <v>250093</v>
      </c>
      <c r="BK50" s="56">
        <v>249614</v>
      </c>
      <c r="BL50" s="56">
        <v>249693</v>
      </c>
      <c r="BN50" s="56">
        <f>BN49</f>
        <v>246676.9902</v>
      </c>
      <c r="BO50" s="56">
        <f>BO49</f>
        <v>242598.11259999999</v>
      </c>
    </row>
    <row r="51" spans="51:67" x14ac:dyDescent="0.3">
      <c r="AY51" s="9" t="s">
        <v>194</v>
      </c>
      <c r="AZ51" s="54">
        <v>276220</v>
      </c>
      <c r="BA51" s="10">
        <v>276508</v>
      </c>
      <c r="BB51" s="10">
        <v>276130</v>
      </c>
      <c r="BC51" s="10">
        <v>276637</v>
      </c>
      <c r="BD51" s="10">
        <v>277970</v>
      </c>
      <c r="BE51" s="10">
        <v>279991</v>
      </c>
      <c r="BF51" s="10">
        <v>281815</v>
      </c>
      <c r="BG51" s="10">
        <v>284586</v>
      </c>
      <c r="BH51" s="10">
        <v>285637</v>
      </c>
      <c r="BI51" s="10">
        <v>286547</v>
      </c>
      <c r="BJ51" s="10">
        <v>287382</v>
      </c>
      <c r="BK51" s="10">
        <v>287502</v>
      </c>
      <c r="BL51" s="10">
        <v>287767</v>
      </c>
      <c r="BN51" s="58">
        <v>287507.95120000001</v>
      </c>
      <c r="BO51" s="58">
        <v>286504.39559999999</v>
      </c>
    </row>
    <row r="52" spans="51:67" x14ac:dyDescent="0.3">
      <c r="AY52" s="9" t="s">
        <v>195</v>
      </c>
      <c r="AZ52" s="54">
        <v>243042</v>
      </c>
      <c r="BA52" s="10">
        <v>242625</v>
      </c>
      <c r="BB52" s="10">
        <v>242155</v>
      </c>
      <c r="BC52" s="10">
        <v>241981</v>
      </c>
      <c r="BD52" s="10">
        <v>242156</v>
      </c>
      <c r="BE52" s="10">
        <v>243061</v>
      </c>
      <c r="BF52" s="10">
        <v>243897</v>
      </c>
      <c r="BG52" s="10">
        <v>245572</v>
      </c>
      <c r="BH52" s="10">
        <v>245968</v>
      </c>
      <c r="BI52" s="10">
        <v>245453</v>
      </c>
      <c r="BJ52" s="10">
        <v>245347</v>
      </c>
      <c r="BK52" s="10">
        <v>244554</v>
      </c>
      <c r="BL52" s="10">
        <v>244193</v>
      </c>
      <c r="BN52" s="58">
        <v>241393.47150000001</v>
      </c>
      <c r="BO52" s="58">
        <v>236925.7795</v>
      </c>
    </row>
    <row r="53" spans="51:67" x14ac:dyDescent="0.3">
      <c r="AY53" s="9" t="s">
        <v>196</v>
      </c>
      <c r="AZ53" s="54">
        <v>126666</v>
      </c>
      <c r="BA53" s="10">
        <v>126691</v>
      </c>
      <c r="BB53" s="10">
        <v>126299</v>
      </c>
      <c r="BC53" s="10">
        <v>126201</v>
      </c>
      <c r="BD53" s="10">
        <v>126461</v>
      </c>
      <c r="BE53" s="10">
        <v>126765</v>
      </c>
      <c r="BF53" s="10">
        <v>127376</v>
      </c>
      <c r="BG53" s="10">
        <v>128673</v>
      </c>
      <c r="BH53" s="10">
        <v>129806</v>
      </c>
      <c r="BI53" s="10">
        <v>130280</v>
      </c>
      <c r="BJ53" s="10">
        <v>130810</v>
      </c>
      <c r="BK53" s="10">
        <v>131155</v>
      </c>
      <c r="BL53" s="10">
        <v>132054</v>
      </c>
      <c r="BN53" s="58">
        <v>132009.3646</v>
      </c>
      <c r="BO53" s="58">
        <v>131952.2892</v>
      </c>
    </row>
    <row r="54" spans="51:67" x14ac:dyDescent="0.3">
      <c r="AY54" s="9" t="s">
        <v>197</v>
      </c>
      <c r="AZ54" s="54">
        <v>258548</v>
      </c>
      <c r="BA54" s="10">
        <v>259286</v>
      </c>
      <c r="BB54" s="10">
        <v>259667</v>
      </c>
      <c r="BC54" s="10">
        <v>260217</v>
      </c>
      <c r="BD54" s="10">
        <v>261112</v>
      </c>
      <c r="BE54" s="10">
        <v>262362</v>
      </c>
      <c r="BF54" s="10">
        <v>263378</v>
      </c>
      <c r="BG54" s="10">
        <v>265881</v>
      </c>
      <c r="BH54" s="10">
        <v>268465</v>
      </c>
      <c r="BI54" s="10">
        <v>270154</v>
      </c>
      <c r="BJ54" s="10">
        <v>271736</v>
      </c>
      <c r="BK54" s="10">
        <v>273192</v>
      </c>
      <c r="BL54" s="10">
        <v>274563</v>
      </c>
      <c r="BN54" s="58">
        <v>276429.3357</v>
      </c>
      <c r="BO54" s="58">
        <v>279513.87390000001</v>
      </c>
    </row>
    <row r="55" spans="51:67" x14ac:dyDescent="0.3">
      <c r="AY55" s="9" t="s">
        <v>170</v>
      </c>
      <c r="AZ55" s="55">
        <f>SUM(AZ51:AZ54)</f>
        <v>904476</v>
      </c>
      <c r="BA55" s="56">
        <v>905110</v>
      </c>
      <c r="BB55" s="56">
        <v>904251</v>
      </c>
      <c r="BC55" s="56">
        <v>905036</v>
      </c>
      <c r="BD55" s="56">
        <v>907699</v>
      </c>
      <c r="BE55" s="56">
        <v>912179</v>
      </c>
      <c r="BF55" s="56">
        <v>916466</v>
      </c>
      <c r="BG55" s="56">
        <v>924712</v>
      </c>
      <c r="BH55" s="56">
        <v>929876</v>
      </c>
      <c r="BI55" s="56">
        <v>932434</v>
      </c>
      <c r="BJ55" s="56">
        <v>935275</v>
      </c>
      <c r="BK55" s="56">
        <v>936403</v>
      </c>
      <c r="BL55" s="56">
        <v>938577</v>
      </c>
      <c r="BN55" s="56">
        <f>SUM(BN51:BN54)</f>
        <v>937340.12299999991</v>
      </c>
      <c r="BO55" s="56">
        <f>SUM(BO51:BO54)</f>
        <v>934896.3382</v>
      </c>
    </row>
    <row r="56" spans="51:67" x14ac:dyDescent="0.3">
      <c r="AY56" s="9" t="s">
        <v>178</v>
      </c>
      <c r="AZ56" s="54">
        <v>2019182</v>
      </c>
      <c r="BA56" s="10">
        <v>2054343</v>
      </c>
      <c r="BB56" s="10">
        <v>2091473</v>
      </c>
      <c r="BC56" s="10">
        <v>2127006</v>
      </c>
      <c r="BD56" s="10">
        <v>2163042</v>
      </c>
      <c r="BE56" s="10">
        <v>2198044</v>
      </c>
      <c r="BF56" s="10">
        <v>2231439</v>
      </c>
      <c r="BG56" s="10">
        <v>2269060</v>
      </c>
      <c r="BH56" s="10">
        <v>2308143</v>
      </c>
      <c r="BI56" s="10">
        <v>2344124</v>
      </c>
      <c r="BJ56" s="10">
        <v>2377081</v>
      </c>
      <c r="BK56" s="10">
        <v>2391990</v>
      </c>
      <c r="BL56" s="10">
        <v>2415139</v>
      </c>
      <c r="BN56" s="58">
        <v>2485769.6282000002</v>
      </c>
      <c r="BO56" s="58">
        <v>2585006.9767</v>
      </c>
    </row>
    <row r="57" spans="51:67" x14ac:dyDescent="0.3">
      <c r="AY57" s="9" t="s">
        <v>179</v>
      </c>
      <c r="AZ57" s="54">
        <v>331898</v>
      </c>
      <c r="BA57" s="10">
        <v>335882</v>
      </c>
      <c r="BB57" s="10">
        <v>338630</v>
      </c>
      <c r="BC57" s="10">
        <v>341977</v>
      </c>
      <c r="BD57" s="10">
        <v>345481</v>
      </c>
      <c r="BE57" s="10">
        <v>348942</v>
      </c>
      <c r="BF57" s="10">
        <v>354164</v>
      </c>
      <c r="BG57" s="10">
        <v>361373</v>
      </c>
      <c r="BH57" s="10">
        <v>368971</v>
      </c>
      <c r="BI57" s="10">
        <v>376354</v>
      </c>
      <c r="BJ57" s="10">
        <v>383713</v>
      </c>
      <c r="BK57" s="10">
        <v>388394</v>
      </c>
      <c r="BL57" s="10">
        <v>395026</v>
      </c>
      <c r="BN57" s="58">
        <v>407662.8126</v>
      </c>
      <c r="BO57" s="58">
        <v>426440.70079999999</v>
      </c>
    </row>
    <row r="58" spans="51:67" x14ac:dyDescent="0.3">
      <c r="AY58" s="9" t="s">
        <v>180</v>
      </c>
      <c r="AZ58" s="54">
        <v>269053</v>
      </c>
      <c r="BA58" s="10">
        <v>270738</v>
      </c>
      <c r="BB58" s="10">
        <v>272563</v>
      </c>
      <c r="BC58" s="10">
        <v>274723</v>
      </c>
      <c r="BD58" s="10">
        <v>277569</v>
      </c>
      <c r="BE58" s="10">
        <v>280666</v>
      </c>
      <c r="BF58" s="10">
        <v>283712</v>
      </c>
      <c r="BG58" s="10">
        <v>288097</v>
      </c>
      <c r="BH58" s="10">
        <v>291341</v>
      </c>
      <c r="BI58" s="10">
        <v>294695</v>
      </c>
      <c r="BJ58" s="10">
        <v>297540</v>
      </c>
      <c r="BK58" s="10">
        <v>299401</v>
      </c>
      <c r="BL58" s="10">
        <v>301801</v>
      </c>
      <c r="BN58" s="58">
        <v>306173.41830000002</v>
      </c>
      <c r="BO58" s="58">
        <v>311959.39250000002</v>
      </c>
    </row>
    <row r="59" spans="51:67" x14ac:dyDescent="0.3">
      <c r="AY59" s="9" t="s">
        <v>181</v>
      </c>
      <c r="AZ59" s="54">
        <v>427106</v>
      </c>
      <c r="BA59" s="10">
        <v>429642</v>
      </c>
      <c r="BB59" s="10">
        <v>431075</v>
      </c>
      <c r="BC59" s="10">
        <v>433784</v>
      </c>
      <c r="BD59" s="10">
        <v>437848</v>
      </c>
      <c r="BE59" s="10">
        <v>442105</v>
      </c>
      <c r="BF59" s="10">
        <v>445661</v>
      </c>
      <c r="BG59" s="10">
        <v>452105</v>
      </c>
      <c r="BH59" s="10">
        <v>457496</v>
      </c>
      <c r="BI59" s="10">
        <v>461583</v>
      </c>
      <c r="BJ59" s="10">
        <v>465495</v>
      </c>
      <c r="BK59" s="10">
        <v>467158</v>
      </c>
      <c r="BL59" s="10">
        <v>469704</v>
      </c>
      <c r="BN59" s="58">
        <v>476486.53720000002</v>
      </c>
      <c r="BO59" s="58">
        <v>486557.9498</v>
      </c>
    </row>
    <row r="60" spans="51:67" x14ac:dyDescent="0.3">
      <c r="AY60" s="9" t="s">
        <v>182</v>
      </c>
      <c r="AZ60" s="54">
        <v>336044</v>
      </c>
      <c r="BA60" s="10">
        <v>336866</v>
      </c>
      <c r="BB60" s="10">
        <v>337896</v>
      </c>
      <c r="BC60" s="10">
        <v>339116</v>
      </c>
      <c r="BD60" s="10">
        <v>341235</v>
      </c>
      <c r="BE60" s="10">
        <v>344262</v>
      </c>
      <c r="BF60" s="10">
        <v>347837</v>
      </c>
      <c r="BG60" s="10">
        <v>352735</v>
      </c>
      <c r="BH60" s="10">
        <v>357237</v>
      </c>
      <c r="BI60" s="10">
        <v>360825</v>
      </c>
      <c r="BJ60" s="10">
        <v>363599</v>
      </c>
      <c r="BK60" s="10">
        <v>365010</v>
      </c>
      <c r="BL60" s="10">
        <v>367064</v>
      </c>
      <c r="BN60" s="58">
        <v>371248.19290000002</v>
      </c>
      <c r="BO60" s="58">
        <v>377059.6421</v>
      </c>
    </row>
    <row r="61" spans="51:67" x14ac:dyDescent="0.3">
      <c r="AY61" s="9" t="s">
        <v>189</v>
      </c>
      <c r="AZ61" s="54">
        <v>1569458</v>
      </c>
      <c r="BA61" s="10">
        <v>1580297</v>
      </c>
      <c r="BB61" s="10">
        <v>1590604</v>
      </c>
      <c r="BC61" s="10">
        <v>1600447</v>
      </c>
      <c r="BD61" s="10">
        <v>1615084</v>
      </c>
      <c r="BE61" s="10">
        <v>1632012</v>
      </c>
      <c r="BF61" s="10">
        <v>1648682</v>
      </c>
      <c r="BG61" s="10">
        <v>1671783</v>
      </c>
      <c r="BH61" s="10">
        <v>1690782</v>
      </c>
      <c r="BI61" s="10">
        <v>1709814</v>
      </c>
      <c r="BJ61" s="10">
        <v>1725881</v>
      </c>
      <c r="BK61" s="10">
        <v>1734443</v>
      </c>
      <c r="BL61" s="10">
        <v>1744859</v>
      </c>
      <c r="BN61" s="58">
        <v>1775156.9040999999</v>
      </c>
      <c r="BO61" s="58">
        <v>1817973.976</v>
      </c>
    </row>
    <row r="62" spans="51:67" x14ac:dyDescent="0.3">
      <c r="AY62" s="9" t="s">
        <v>190</v>
      </c>
      <c r="AZ62" s="54">
        <v>273257</v>
      </c>
      <c r="BA62" s="10">
        <v>273265</v>
      </c>
      <c r="BB62" s="10">
        <v>272736</v>
      </c>
      <c r="BC62" s="10">
        <v>273080</v>
      </c>
      <c r="BD62" s="10">
        <v>273815</v>
      </c>
      <c r="BE62" s="10">
        <v>274691</v>
      </c>
      <c r="BF62" s="10">
        <v>275904</v>
      </c>
      <c r="BG62" s="10">
        <v>279334</v>
      </c>
      <c r="BH62" s="10">
        <v>280399</v>
      </c>
      <c r="BI62" s="10">
        <v>281482</v>
      </c>
      <c r="BJ62" s="10">
        <v>282414</v>
      </c>
      <c r="BK62" s="10">
        <v>282885</v>
      </c>
      <c r="BL62" s="10">
        <v>283196</v>
      </c>
      <c r="BN62" s="58">
        <v>282635.23460000003</v>
      </c>
      <c r="BO62" s="58">
        <v>281936.57990000001</v>
      </c>
    </row>
    <row r="63" spans="51:67" x14ac:dyDescent="0.3">
      <c r="AY63" s="9" t="s">
        <v>191</v>
      </c>
      <c r="AZ63" s="54">
        <v>278882</v>
      </c>
      <c r="BA63" s="10">
        <v>280230</v>
      </c>
      <c r="BB63" s="10">
        <v>281572</v>
      </c>
      <c r="BC63" s="10">
        <v>283113</v>
      </c>
      <c r="BD63" s="10">
        <v>285395</v>
      </c>
      <c r="BE63" s="10">
        <v>288150</v>
      </c>
      <c r="BF63" s="10">
        <v>291012</v>
      </c>
      <c r="BG63" s="10">
        <v>294941</v>
      </c>
      <c r="BH63" s="10">
        <v>298907</v>
      </c>
      <c r="BI63" s="10">
        <v>302252</v>
      </c>
      <c r="BJ63" s="10">
        <v>304805</v>
      </c>
      <c r="BK63" s="10">
        <v>305643</v>
      </c>
      <c r="BL63" s="10">
        <v>306792</v>
      </c>
      <c r="BN63" s="58">
        <v>309956.51189999998</v>
      </c>
      <c r="BO63" s="58">
        <v>314959.2697</v>
      </c>
    </row>
    <row r="64" spans="51:67" x14ac:dyDescent="0.3">
      <c r="AY64" s="9" t="s">
        <v>192</v>
      </c>
      <c r="AZ64" s="54">
        <v>251353</v>
      </c>
      <c r="BA64" s="10">
        <v>252756</v>
      </c>
      <c r="BB64" s="10">
        <v>254257</v>
      </c>
      <c r="BC64" s="10">
        <v>256224</v>
      </c>
      <c r="BD64" s="10">
        <v>259054</v>
      </c>
      <c r="BE64" s="10">
        <v>261703</v>
      </c>
      <c r="BF64" s="10">
        <v>264276</v>
      </c>
      <c r="BG64" s="10">
        <v>267629</v>
      </c>
      <c r="BH64" s="10">
        <v>271095</v>
      </c>
      <c r="BI64" s="10">
        <v>273929</v>
      </c>
      <c r="BJ64" s="10">
        <v>275845</v>
      </c>
      <c r="BK64" s="10">
        <v>277141</v>
      </c>
      <c r="BL64" s="10">
        <v>278967</v>
      </c>
      <c r="BN64" s="58">
        <v>283069.5993</v>
      </c>
      <c r="BO64" s="58">
        <v>288659.61310000002</v>
      </c>
    </row>
    <row r="65" spans="51:67" x14ac:dyDescent="0.3">
      <c r="AY65" s="9" t="s">
        <v>193</v>
      </c>
      <c r="AZ65" s="54">
        <v>276454</v>
      </c>
      <c r="BA65" s="10">
        <v>277047</v>
      </c>
      <c r="BB65" s="10">
        <v>276565</v>
      </c>
      <c r="BC65" s="10">
        <v>276555</v>
      </c>
      <c r="BD65" s="10">
        <v>277349</v>
      </c>
      <c r="BE65" s="10">
        <v>278903</v>
      </c>
      <c r="BF65" s="10">
        <v>281028</v>
      </c>
      <c r="BG65" s="10">
        <v>284531</v>
      </c>
      <c r="BH65" s="10">
        <v>286165</v>
      </c>
      <c r="BI65" s="10">
        <v>287191</v>
      </c>
      <c r="BJ65" s="10">
        <v>287966</v>
      </c>
      <c r="BK65" s="10">
        <v>287676</v>
      </c>
      <c r="BL65" s="10">
        <v>288387</v>
      </c>
      <c r="BN65" s="58">
        <v>289007.30900000001</v>
      </c>
      <c r="BO65" s="58">
        <v>288986.766</v>
      </c>
    </row>
    <row r="66" spans="51:67" x14ac:dyDescent="0.3">
      <c r="AY66" s="9" t="s">
        <v>184</v>
      </c>
      <c r="AZ66" s="54">
        <v>233639</v>
      </c>
      <c r="BA66" s="10">
        <v>233536</v>
      </c>
      <c r="BB66" s="10">
        <v>233090</v>
      </c>
      <c r="BC66" s="10">
        <v>233548</v>
      </c>
      <c r="BD66" s="10">
        <v>233874</v>
      </c>
      <c r="BE66" s="10">
        <v>235598</v>
      </c>
      <c r="BF66" s="10">
        <v>237679</v>
      </c>
      <c r="BG66" s="10">
        <v>242301</v>
      </c>
      <c r="BH66" s="10">
        <v>243536</v>
      </c>
      <c r="BI66" s="10">
        <v>244670</v>
      </c>
      <c r="BJ66" s="10">
        <v>245446</v>
      </c>
      <c r="BK66" s="10">
        <v>246010</v>
      </c>
      <c r="BL66" s="10">
        <v>247175</v>
      </c>
      <c r="BN66" s="58">
        <v>247007.41800000001</v>
      </c>
      <c r="BO66" s="58">
        <v>246693.48180000001</v>
      </c>
    </row>
    <row r="67" spans="51:67" x14ac:dyDescent="0.3">
      <c r="AY67" s="9" t="s">
        <v>185</v>
      </c>
      <c r="AZ67" s="54">
        <v>57221</v>
      </c>
      <c r="BA67" s="10">
        <v>57269</v>
      </c>
      <c r="BB67" s="10">
        <v>57308</v>
      </c>
      <c r="BC67" s="10">
        <v>57241</v>
      </c>
      <c r="BD67" s="10">
        <v>57161</v>
      </c>
      <c r="BE67" s="10">
        <v>57255</v>
      </c>
      <c r="BF67" s="10">
        <v>57391</v>
      </c>
      <c r="BG67" s="10">
        <v>58003</v>
      </c>
      <c r="BH67" s="10">
        <v>58595</v>
      </c>
      <c r="BI67" s="10">
        <v>59249</v>
      </c>
      <c r="BJ67" s="10">
        <v>59686</v>
      </c>
      <c r="BK67" s="10">
        <v>60124</v>
      </c>
      <c r="BL67" s="10">
        <v>61001</v>
      </c>
      <c r="BN67" s="58">
        <v>61930.468699999998</v>
      </c>
      <c r="BO67" s="58">
        <v>63210.6535</v>
      </c>
    </row>
    <row r="68" spans="51:67" x14ac:dyDescent="0.3">
      <c r="AY68" s="9" t="s">
        <v>171</v>
      </c>
      <c r="AZ68" s="55">
        <f>SUM(AZ56:AZ67)</f>
        <v>6323547</v>
      </c>
      <c r="BA68" s="56">
        <v>6381871</v>
      </c>
      <c r="BB68" s="56">
        <v>6437769</v>
      </c>
      <c r="BC68" s="56">
        <v>6496814</v>
      </c>
      <c r="BD68" s="56">
        <v>6566907</v>
      </c>
      <c r="BE68" s="56">
        <v>6642331</v>
      </c>
      <c r="BF68" s="56">
        <v>6718785</v>
      </c>
      <c r="BG68" s="56">
        <v>6821892</v>
      </c>
      <c r="BH68" s="56">
        <v>6912667</v>
      </c>
      <c r="BI68" s="56">
        <v>6996168</v>
      </c>
      <c r="BJ68" s="56">
        <v>7069471</v>
      </c>
      <c r="BK68" s="56">
        <v>7105875</v>
      </c>
      <c r="BL68" s="56">
        <v>7159111</v>
      </c>
      <c r="BN68" s="56">
        <f>SUM(BN56:BN67)</f>
        <v>7296104.0348000005</v>
      </c>
      <c r="BO68" s="56">
        <f>SUM(BO56:BO67)</f>
        <v>7489445.0019000005</v>
      </c>
    </row>
    <row r="69" spans="51:67" x14ac:dyDescent="0.3">
      <c r="AY69" s="9" t="s">
        <v>186</v>
      </c>
      <c r="AZ69" s="54">
        <v>152591</v>
      </c>
      <c r="BA69" s="10">
        <v>153227</v>
      </c>
      <c r="BB69" s="10">
        <v>152979</v>
      </c>
      <c r="BC69" s="10">
        <v>152315</v>
      </c>
      <c r="BD69" s="10">
        <v>152757</v>
      </c>
      <c r="BE69" s="10">
        <v>154157</v>
      </c>
      <c r="BF69" s="10">
        <v>156253</v>
      </c>
      <c r="BG69" s="10">
        <v>158453</v>
      </c>
      <c r="BH69" s="10">
        <v>159371</v>
      </c>
      <c r="BI69" s="10">
        <v>159684</v>
      </c>
      <c r="BJ69" s="10">
        <v>159606</v>
      </c>
      <c r="BK69" s="10">
        <v>159056</v>
      </c>
      <c r="BL69" s="10">
        <v>158937</v>
      </c>
      <c r="BN69" s="58">
        <v>158261.31510000001</v>
      </c>
      <c r="BO69" s="58">
        <v>157129.0018</v>
      </c>
    </row>
    <row r="70" spans="51:67" x14ac:dyDescent="0.3">
      <c r="AY70" s="9" t="s">
        <v>187</v>
      </c>
      <c r="AZ70" s="54">
        <v>1231062</v>
      </c>
      <c r="BA70" s="10">
        <v>1243329</v>
      </c>
      <c r="BB70" s="10">
        <v>1252933</v>
      </c>
      <c r="BC70" s="10">
        <v>1263088</v>
      </c>
      <c r="BD70" s="10">
        <v>1274069</v>
      </c>
      <c r="BE70" s="10">
        <v>1288908</v>
      </c>
      <c r="BF70" s="10">
        <v>1303627</v>
      </c>
      <c r="BG70" s="10">
        <v>1324565</v>
      </c>
      <c r="BH70" s="10">
        <v>1344689</v>
      </c>
      <c r="BI70" s="10">
        <v>1362164</v>
      </c>
      <c r="BJ70" s="10">
        <v>1377827</v>
      </c>
      <c r="BK70" s="10">
        <v>1389336</v>
      </c>
      <c r="BL70" s="10">
        <v>1402425</v>
      </c>
      <c r="BN70" s="58">
        <v>1433436.8607999999</v>
      </c>
      <c r="BO70" s="58">
        <v>1477704.6233999999</v>
      </c>
    </row>
    <row r="71" spans="51:67" x14ac:dyDescent="0.3">
      <c r="AY71" s="9" t="s">
        <v>188</v>
      </c>
      <c r="AZ71" s="54">
        <v>296825</v>
      </c>
      <c r="BA71" s="10">
        <v>299484</v>
      </c>
      <c r="BB71" s="10">
        <v>301724</v>
      </c>
      <c r="BC71" s="10">
        <v>304116</v>
      </c>
      <c r="BD71" s="10">
        <v>306840</v>
      </c>
      <c r="BE71" s="10">
        <v>310665</v>
      </c>
      <c r="BF71" s="10">
        <v>314784</v>
      </c>
      <c r="BG71" s="10">
        <v>320333</v>
      </c>
      <c r="BH71" s="10">
        <v>324825</v>
      </c>
      <c r="BI71" s="10">
        <v>329352</v>
      </c>
      <c r="BJ71" s="10">
        <v>333848</v>
      </c>
      <c r="BK71" s="10">
        <v>336748</v>
      </c>
      <c r="BL71" s="10">
        <v>340243</v>
      </c>
      <c r="BN71" s="58">
        <v>348458.62119999999</v>
      </c>
      <c r="BO71" s="58">
        <v>359808.26779999997</v>
      </c>
    </row>
    <row r="72" spans="51:67" x14ac:dyDescent="0.3">
      <c r="AY72" s="9" t="s">
        <v>183</v>
      </c>
      <c r="AZ72" s="54">
        <v>183162</v>
      </c>
      <c r="BA72" s="10">
        <v>183940</v>
      </c>
      <c r="BB72" s="10">
        <v>184654</v>
      </c>
      <c r="BC72" s="10">
        <v>185887</v>
      </c>
      <c r="BD72" s="10">
        <v>187156</v>
      </c>
      <c r="BE72" s="10">
        <v>189128</v>
      </c>
      <c r="BF72" s="10">
        <v>191369</v>
      </c>
      <c r="BG72" s="10">
        <v>194628</v>
      </c>
      <c r="BH72" s="10">
        <v>197519</v>
      </c>
      <c r="BI72" s="10">
        <v>199886</v>
      </c>
      <c r="BJ72" s="10">
        <v>201469</v>
      </c>
      <c r="BK72" s="10">
        <v>202263</v>
      </c>
      <c r="BL72" s="10">
        <v>203340</v>
      </c>
      <c r="BN72" s="58">
        <v>205071.0551</v>
      </c>
      <c r="BO72" s="58">
        <v>207496.65779999999</v>
      </c>
    </row>
    <row r="73" spans="51:67" x14ac:dyDescent="0.3">
      <c r="AY73" s="9" t="s">
        <v>172</v>
      </c>
      <c r="AZ73" s="55">
        <f>SUM(AZ69:AZ72)</f>
        <v>1863640</v>
      </c>
      <c r="BA73" s="56">
        <v>1879980</v>
      </c>
      <c r="BB73" s="56">
        <v>1892290</v>
      </c>
      <c r="BC73" s="56">
        <v>1905406</v>
      </c>
      <c r="BD73" s="56">
        <v>1920822</v>
      </c>
      <c r="BE73" s="56">
        <v>1942858</v>
      </c>
      <c r="BF73" s="56">
        <v>1966033</v>
      </c>
      <c r="BG73" s="56">
        <v>1997979</v>
      </c>
      <c r="BH73" s="56">
        <v>2026404</v>
      </c>
      <c r="BI73" s="56">
        <v>2051086</v>
      </c>
      <c r="BJ73" s="56">
        <v>2072750</v>
      </c>
      <c r="BK73" s="56">
        <v>2087403</v>
      </c>
      <c r="BL73" s="56">
        <v>2104945</v>
      </c>
      <c r="BN73" s="56">
        <f>SUM(BN69:BN72)</f>
        <v>2145227.8521999996</v>
      </c>
      <c r="BO73" s="56">
        <f>SUM(BO69:BO72)</f>
        <v>2202138.5507999999</v>
      </c>
    </row>
    <row r="74" spans="51:67" x14ac:dyDescent="0.3">
      <c r="AY74" s="9" t="s">
        <v>65</v>
      </c>
      <c r="AZ74" s="54">
        <f>AZ50+AZ55+AZ68+AZ73</f>
        <v>9340682</v>
      </c>
      <c r="BA74" s="10">
        <v>9415570</v>
      </c>
      <c r="BB74" s="10">
        <v>9482855</v>
      </c>
      <c r="BC74" s="10">
        <v>9555893</v>
      </c>
      <c r="BD74" s="10">
        <v>9644864</v>
      </c>
      <c r="BE74" s="10">
        <v>9747355</v>
      </c>
      <c r="BF74" s="10">
        <v>9851017</v>
      </c>
      <c r="BG74" s="10">
        <v>9995153</v>
      </c>
      <c r="BH74" s="10">
        <v>10120242</v>
      </c>
      <c r="BI74" s="10">
        <v>10230185</v>
      </c>
      <c r="BJ74" s="10">
        <v>10327589</v>
      </c>
      <c r="BK74" s="10">
        <v>10379295</v>
      </c>
      <c r="BL74" s="10">
        <v>10452326</v>
      </c>
      <c r="BN74" s="10">
        <f>BN50+BN55+BN68+BN73</f>
        <v>10625349.0002</v>
      </c>
      <c r="BO74" s="10">
        <f>BO50+BO55+BO68+BO73</f>
        <v>10869078.0035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O34"/>
  <sheetViews>
    <sheetView workbookViewId="0">
      <pane xSplit="4" ySplit="1" topLeftCell="BA2" activePane="bottomRight" state="frozen"/>
      <selection pane="topRight" activeCell="F1" sqref="F1"/>
      <selection pane="bottomLeft" activeCell="A2" sqref="A2"/>
      <selection pane="bottomRight" activeCell="BA13" sqref="BA13"/>
    </sheetView>
  </sheetViews>
  <sheetFormatPr defaultRowHeight="14.4" x14ac:dyDescent="0.3"/>
  <cols>
    <col min="3" max="3" width="19" customWidth="1"/>
    <col min="4" max="4" width="6.44140625" style="9" customWidth="1"/>
    <col min="5" max="48" width="9.109375" customWidth="1"/>
    <col min="49" max="49" width="13.33203125" customWidth="1"/>
    <col min="62" max="62" width="12" bestFit="1" customWidth="1"/>
    <col min="63" max="63" width="11" bestFit="1" customWidth="1"/>
  </cols>
  <sheetData>
    <row r="1" spans="1:67" x14ac:dyDescent="0.3">
      <c r="A1" s="9" t="s">
        <v>68</v>
      </c>
      <c r="B1" s="9" t="s">
        <v>69</v>
      </c>
      <c r="C1" s="9" t="s">
        <v>70</v>
      </c>
      <c r="D1" s="9" t="s">
        <v>71</v>
      </c>
      <c r="E1" s="9">
        <v>1966</v>
      </c>
      <c r="F1" s="9">
        <v>1967</v>
      </c>
      <c r="G1" s="9">
        <v>1968</v>
      </c>
      <c r="H1" s="9">
        <v>1969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1">
        <v>2009</v>
      </c>
      <c r="AW1" s="1">
        <v>2010</v>
      </c>
      <c r="AX1" s="1">
        <v>2011</v>
      </c>
      <c r="AY1" s="1">
        <v>2012</v>
      </c>
      <c r="AZ1" s="1">
        <v>2013</v>
      </c>
      <c r="BA1" s="1">
        <v>2014</v>
      </c>
      <c r="BB1" s="1">
        <v>2015</v>
      </c>
      <c r="BC1" s="1">
        <v>2016</v>
      </c>
      <c r="BD1" s="1">
        <v>2017</v>
      </c>
      <c r="BE1" s="1">
        <v>2018</v>
      </c>
      <c r="BF1" s="1">
        <v>2019</v>
      </c>
      <c r="BG1" s="1">
        <v>2020</v>
      </c>
      <c r="BH1" s="1">
        <v>2021</v>
      </c>
      <c r="BI1" s="1">
        <v>2022</v>
      </c>
      <c r="BJ1" s="1">
        <v>2025</v>
      </c>
      <c r="BK1" s="1">
        <v>2030</v>
      </c>
    </row>
    <row r="2" spans="1:67" x14ac:dyDescent="0.3">
      <c r="A2" s="9" t="s">
        <v>32</v>
      </c>
      <c r="B2" s="9" t="s">
        <v>65</v>
      </c>
      <c r="C2" s="17" t="s">
        <v>60</v>
      </c>
      <c r="E2" s="9"/>
      <c r="F2" s="9"/>
      <c r="G2" s="9"/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"/>
      <c r="AW2" s="46">
        <f>HLOOKUP(AW$1,  HDD!$B$4:$AP$33,   MATCH($A$2, HDD!$A$4:$A$33,0), FALSE)</f>
        <v>3982.16</v>
      </c>
      <c r="AX2" s="46">
        <f>HLOOKUP(AX$1,  HDD!$B$4:$AP$33,   MATCH($A$2, HDD!$A$4:$A$33,0), FALSE)</f>
        <v>3148.45</v>
      </c>
      <c r="AY2" s="46">
        <f>HLOOKUP(AY$1,  HDD!$B$4:$AP$33,   MATCH($A$2, HDD!$A$4:$A$33,0), FALSE)</f>
        <v>3424.15</v>
      </c>
      <c r="AZ2" s="46">
        <f>HLOOKUP(AZ$1,  HDD!$B$4:$AP$33,   MATCH($A$2, HDD!$A$4:$A$33,0), FALSE)</f>
        <v>3396.28</v>
      </c>
      <c r="BA2" s="46">
        <f>HLOOKUP(BA$1,  HDD!$B$4:$AP$33,   MATCH($A$2, HDD!$A$4:$A$33,0), FALSE)</f>
        <v>2834.98</v>
      </c>
      <c r="BB2" s="46">
        <f>HLOOKUP(BB$1,  HDD!$B$4:$AP$33,   MATCH($A$2, HDD!$A$4:$A$33,0), FALSE)</f>
        <v>3114.15</v>
      </c>
      <c r="BC2" s="46">
        <f>HLOOKUP(BC$1,  HDD!$B$4:$AP$33,   MATCH($A$2, HDD!$A$4:$A$33,0), FALSE)</f>
        <v>3141.46</v>
      </c>
      <c r="BD2" s="46">
        <f>HLOOKUP(BD$1,  HDD!$B$4:$AP$33,   MATCH($A$2, HDD!$A$4:$A$33,0), FALSE)</f>
        <v>3112.11</v>
      </c>
      <c r="BE2" s="46">
        <f>HLOOKUP(BE$1,  HDD!$B$4:$AP$33,   MATCH($A$2, HDD!$A$4:$A$33,0), FALSE)</f>
        <v>3048.54</v>
      </c>
      <c r="BF2" s="46">
        <f>HLOOKUP(BF$1,  HDD!$B$4:$AP$33,   MATCH($A$2, HDD!$A$4:$A$33,0), FALSE)</f>
        <v>3026.8</v>
      </c>
      <c r="BG2" s="46">
        <f>HLOOKUP(BG$1,  HDD!$B$4:$AP$33,   MATCH($A$2, HDD!$A$4:$A$33,0), FALSE)</f>
        <v>2920.71</v>
      </c>
      <c r="BH2" s="47"/>
      <c r="BI2" s="47"/>
      <c r="BJ2" s="46">
        <f>HLOOKUP(BJ$1,  HDD!$B$4:$AP$33,   MATCH($A$2, HDD!$A$4:$A$33,0), FALSE)</f>
        <v>3025.3138739495771</v>
      </c>
      <c r="BK2" s="46">
        <f>HLOOKUP(BK$1,  HDD!$B$4:$AP$33,   MATCH($A$2, HDD!$A$4:$A$33,0), FALSE)</f>
        <v>2960.3094901960758</v>
      </c>
    </row>
    <row r="3" spans="1:67" x14ac:dyDescent="0.3">
      <c r="A3" s="9" t="s">
        <v>32</v>
      </c>
      <c r="B3" s="9" t="s">
        <v>65</v>
      </c>
      <c r="C3" s="17" t="s">
        <v>61</v>
      </c>
      <c r="D3" s="17" t="s">
        <v>62</v>
      </c>
      <c r="E3" s="17"/>
      <c r="F3" s="17"/>
      <c r="G3" s="17"/>
      <c r="H3" s="1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19">
        <v>5.4757910000000001</v>
      </c>
      <c r="AV3" s="21">
        <v>5.5114510000000001</v>
      </c>
      <c r="AW3" s="34">
        <f>HLOOKUP(AW$1, Pop!$B$8:$M$62, MATCH($A$3, Pop!$A$8:$A$62,0), FALSE)/1000000</f>
        <v>5.5347379999999999</v>
      </c>
      <c r="AX3" s="34">
        <f>HLOOKUP(AX$1, Pop!$B$8:$P$62, MATCH($A$3, Pop!$A$8:$A$62,0), FALSE)/1000000</f>
        <v>5.5606280000000003</v>
      </c>
      <c r="AY3" s="34">
        <f>HLOOKUP(AY$1, Pop!$B$8:$P$62, MATCH($A$3, Pop!$A$8:$A$62,0), FALSE)/1000000</f>
        <v>5.5805160000000003</v>
      </c>
      <c r="AZ3" s="34">
        <f>HLOOKUP(AZ$1, Pop!$B$8:$P$62, MATCH($A$3, Pop!$A$8:$A$62,0), FALSE)/1000000</f>
        <v>5.6026280000000002</v>
      </c>
      <c r="BA3" s="34">
        <f>HLOOKUP(BA$1, Pop!$B$8:$P$62, MATCH($A$3, Pop!$A$8:$A$62,0), FALSE)/1000000</f>
        <v>5.6272349999999998</v>
      </c>
      <c r="BB3" s="34">
        <f>HLOOKUP(BB$1, Pop!$B$8:$P$62, MATCH($A$3, Pop!$A$8:$A$62,0), FALSE)/1000000</f>
        <v>5.6597150000000003</v>
      </c>
      <c r="BC3" s="34">
        <f>HLOOKUP(BC$1, Pop!$B$8:$P$62, MATCH($A$3, Pop!$A$8:$A$62,0), FALSE)/1000000</f>
        <v>5.7072510000000003</v>
      </c>
      <c r="BD3" s="34">
        <f>HLOOKUP(BD$1, Pop!$B$8:$P$62, MATCH($A$3, Pop!$A$8:$A$62,0), FALSE)/1000000</f>
        <v>5.7487690000000002</v>
      </c>
      <c r="BE3" s="34">
        <f>HLOOKUP(BE$1, Pop!$B$8:$P$62, MATCH($A$3, Pop!$A$8:$A$62,0), FALSE)/1000000</f>
        <v>5.7811899999999996</v>
      </c>
      <c r="BF3" s="34">
        <f>HLOOKUP(BF$1, Pop!$B$8:$P$62, MATCH($A$3, Pop!$A$8:$A$62,0), FALSE)/1000000</f>
        <v>5.8060809999999998</v>
      </c>
      <c r="BG3" s="34">
        <f>HLOOKUP(BG$1, Pop!$B$8:$P$62, MATCH($A$3, Pop!$A$8:$A$62,0), FALSE)/1000000</f>
        <v>5.8227630000000001</v>
      </c>
      <c r="BH3" s="34">
        <f>HLOOKUP(BH$1, Pop!$B$8:$M$62, MATCH($A$3, Pop!$A$8:$A$62,0), FALSE)/1000000</f>
        <v>5.8400449999999999</v>
      </c>
      <c r="BI3" s="48"/>
      <c r="BJ3" s="34">
        <f>HLOOKUP(BJ$1, Pop!$B$8:$P$62, MATCH($A$3, Pop!$A$8:$A$62,0), FALSE)/1000000</f>
        <v>5.9276090000000003</v>
      </c>
      <c r="BK3" s="34">
        <f>HLOOKUP(BK$1, Pop!$B$8:$P$62, MATCH($A$3, Pop!$A$8:$A$62,0), FALSE)/1000000</f>
        <v>6.0442260000000001</v>
      </c>
    </row>
    <row r="4" spans="1:67" x14ac:dyDescent="0.3">
      <c r="A4" s="9" t="s">
        <v>32</v>
      </c>
      <c r="B4" s="9" t="s">
        <v>65</v>
      </c>
      <c r="C4" s="17" t="s">
        <v>163</v>
      </c>
      <c r="D4" s="17" t="s">
        <v>64</v>
      </c>
      <c r="E4" s="18">
        <v>6142.7777777778301</v>
      </c>
      <c r="F4" s="18">
        <v>6907.5000000000555</v>
      </c>
      <c r="G4" s="17">
        <v>8626.1111111111804</v>
      </c>
      <c r="H4" s="17">
        <v>11866.111111111206</v>
      </c>
      <c r="I4" s="2">
        <v>12812.222222222324</v>
      </c>
      <c r="J4" s="2">
        <v>13970.833333333445</v>
      </c>
      <c r="K4" s="2">
        <v>15141.111111111233</v>
      </c>
      <c r="L4" s="2">
        <v>16474.166666666799</v>
      </c>
      <c r="M4" s="2">
        <v>17171.944444444583</v>
      </c>
      <c r="N4" s="2">
        <v>19016.666666666821</v>
      </c>
      <c r="O4" s="2">
        <v>20769.444444444613</v>
      </c>
      <c r="P4" s="2">
        <v>21014.72222222239</v>
      </c>
      <c r="Q4" s="2">
        <v>21870.000000000175</v>
      </c>
      <c r="R4" s="2">
        <v>23063.611111111295</v>
      </c>
      <c r="S4" s="2">
        <v>21948.888888889065</v>
      </c>
      <c r="T4" s="2">
        <v>21514.722222222394</v>
      </c>
      <c r="U4" s="2">
        <v>22023.888888889065</v>
      </c>
      <c r="V4" s="2">
        <v>22740.833333333518</v>
      </c>
      <c r="W4" s="2">
        <v>23470.277777777967</v>
      </c>
      <c r="X4" s="2">
        <v>26738.611111111328</v>
      </c>
      <c r="Y4" s="2">
        <v>27080.555555555773</v>
      </c>
      <c r="Z4" s="2">
        <v>28223.055555555784</v>
      </c>
      <c r="AA4" s="2">
        <v>26844.166666666883</v>
      </c>
      <c r="AB4" s="2">
        <v>25459.722222222426</v>
      </c>
      <c r="AC4" s="2">
        <v>25669.72222222243</v>
      </c>
      <c r="AD4" s="2">
        <v>29159.444444444678</v>
      </c>
      <c r="AE4" s="2">
        <v>29152.222222222455</v>
      </c>
      <c r="AF4" s="2">
        <v>30931.944444444693</v>
      </c>
      <c r="AG4" s="2">
        <v>31062.222222222474</v>
      </c>
      <c r="AH4" s="2">
        <v>32681.111111111375</v>
      </c>
      <c r="AI4" s="2">
        <v>36088.888888889182</v>
      </c>
      <c r="AJ4" s="2">
        <v>34003.88888888916</v>
      </c>
      <c r="AK4" s="2">
        <v>34899.166666666948</v>
      </c>
      <c r="AL4" s="2">
        <v>33863.333333333605</v>
      </c>
      <c r="AM4" s="2">
        <v>32831.111111111371</v>
      </c>
      <c r="AN4" s="2">
        <v>35442.22222222251</v>
      </c>
      <c r="AO4" s="2">
        <v>35026.666666666948</v>
      </c>
      <c r="AP4" s="2">
        <v>36016.111111111401</v>
      </c>
      <c r="AQ4" s="2">
        <v>35836.944444444729</v>
      </c>
      <c r="AR4" s="2">
        <v>35323.611111111393</v>
      </c>
      <c r="AS4" s="2">
        <v>35103.055555555839</v>
      </c>
      <c r="AT4" s="2">
        <v>34235.27777777805</v>
      </c>
      <c r="AU4" s="2">
        <v>35039.166666666948</v>
      </c>
      <c r="AV4" s="1">
        <v>35826.111111111401</v>
      </c>
      <c r="AW4" s="49">
        <v>41378.888888889218</v>
      </c>
      <c r="AX4" s="49">
        <v>36590.277777778072</v>
      </c>
      <c r="AY4" s="49">
        <v>37670.55555555586</v>
      </c>
      <c r="AZ4" s="49">
        <v>37075.833333333634</v>
      </c>
      <c r="BA4" s="49">
        <v>33331.111111111379</v>
      </c>
      <c r="BB4" s="49">
        <v>35908.055555555846</v>
      </c>
      <c r="BC4" s="49">
        <v>37267.500000000298</v>
      </c>
      <c r="BD4" s="49">
        <v>37492.500000000298</v>
      </c>
      <c r="BE4" s="49">
        <v>37243.888888889189</v>
      </c>
      <c r="BF4" s="49">
        <v>36244.72222222251</v>
      </c>
      <c r="BG4" s="49">
        <v>34554.166666666948</v>
      </c>
      <c r="BH4" s="50"/>
      <c r="BI4" s="50"/>
      <c r="BJ4" s="50"/>
      <c r="BK4" s="50"/>
      <c r="BM4" t="s">
        <v>82</v>
      </c>
      <c r="BN4" t="s">
        <v>83</v>
      </c>
      <c r="BO4" t="s">
        <v>81</v>
      </c>
    </row>
    <row r="5" spans="1:67" s="9" customFormat="1" x14ac:dyDescent="0.3">
      <c r="A5" s="9" t="s">
        <v>32</v>
      </c>
      <c r="B5" s="9" t="s">
        <v>65</v>
      </c>
      <c r="C5" s="17" t="s">
        <v>80</v>
      </c>
      <c r="D5" s="17"/>
      <c r="E5" s="18"/>
      <c r="F5" s="18"/>
      <c r="G5" s="17"/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"/>
      <c r="AW5" s="49">
        <f>TREND($BB$5:$BF$5,$BB$1:$BF$1,AW$1)</f>
        <v>8518.0771013158082</v>
      </c>
      <c r="AX5" s="49">
        <f>TREND($BB$5:$BF$5,$BB$1:$BF$1,AX$1)</f>
        <v>8610.1684197989816</v>
      </c>
      <c r="AY5" s="49">
        <f>TREND($BB$5:$BF$5,$BB$1:$BF$1,AY$1)</f>
        <v>8702.259738282155</v>
      </c>
      <c r="AZ5" s="49">
        <f>TREND($BB$5:$BF$5,$BB$1:$BF$1,AZ$1)</f>
        <v>8794.3510567653575</v>
      </c>
      <c r="BA5" s="49">
        <f>TREND($BB$5:$BF$5,$BB$1:$BF$1,BA$1)</f>
        <v>8886.4423752485309</v>
      </c>
      <c r="BB5" s="49">
        <f>BG28/$BK$28*$BF$5</f>
        <v>8998.2793010839614</v>
      </c>
      <c r="BC5" s="49">
        <f>BH28/$BK$28*$BF$5</f>
        <v>9070.6240615966653</v>
      </c>
      <c r="BD5" s="49">
        <f>BI28/$BK$28*$BF$5</f>
        <v>9131.8228238005413</v>
      </c>
      <c r="BE5" s="49">
        <f>BJ28/$BK$28*$BF$5</f>
        <v>9237.6150854216648</v>
      </c>
      <c r="BF5" s="49">
        <f>$BM$34*BF4</f>
        <v>9375.2403815873549</v>
      </c>
      <c r="BG5" s="49">
        <f>TREND($BB$5:$BF$5,$BB$1:$BF$1,BG$1)</f>
        <v>9438.9902861476003</v>
      </c>
      <c r="BH5" s="50"/>
      <c r="BI5" s="50"/>
      <c r="BJ5" s="49">
        <f>$BN$10*BJ$8</f>
        <v>8339.2255168895117</v>
      </c>
      <c r="BK5" s="49"/>
    </row>
    <row r="6" spans="1:67" s="9" customFormat="1" x14ac:dyDescent="0.3">
      <c r="A6" s="9" t="s">
        <v>32</v>
      </c>
      <c r="B6" s="9" t="s">
        <v>65</v>
      </c>
      <c r="C6" s="17" t="s">
        <v>79</v>
      </c>
      <c r="D6" s="17"/>
      <c r="E6" s="18"/>
      <c r="F6" s="18"/>
      <c r="G6" s="17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"/>
      <c r="AW6" s="49">
        <f t="shared" ref="AW6:BG6" si="0">AW4-AW5</f>
        <v>32860.81178757341</v>
      </c>
      <c r="AX6" s="49">
        <f t="shared" si="0"/>
        <v>27980.10935797909</v>
      </c>
      <c r="AY6" s="49">
        <f t="shared" si="0"/>
        <v>28968.295817273705</v>
      </c>
      <c r="AZ6" s="49">
        <f t="shared" si="0"/>
        <v>28281.482276568277</v>
      </c>
      <c r="BA6" s="49">
        <f t="shared" si="0"/>
        <v>24444.668735862848</v>
      </c>
      <c r="BB6" s="49">
        <f t="shared" si="0"/>
        <v>26909.776254471886</v>
      </c>
      <c r="BC6" s="49">
        <f t="shared" si="0"/>
        <v>28196.875938403631</v>
      </c>
      <c r="BD6" s="49">
        <f t="shared" si="0"/>
        <v>28360.677176199759</v>
      </c>
      <c r="BE6" s="49">
        <f t="shared" si="0"/>
        <v>28006.273803467524</v>
      </c>
      <c r="BF6" s="49">
        <f t="shared" si="0"/>
        <v>26869.481840635155</v>
      </c>
      <c r="BG6" s="49">
        <f t="shared" si="0"/>
        <v>25115.176380519348</v>
      </c>
      <c r="BH6" s="50"/>
      <c r="BI6" s="50"/>
      <c r="BJ6" s="50"/>
      <c r="BK6" s="50"/>
      <c r="BM6" s="33">
        <f t="array" ref="BM6:BO6">LINEST(AW6:BG6,AW2:BG3)</f>
        <v>3464.3231355407725</v>
      </c>
      <c r="BN6" s="33">
        <v>7.2420430025405444</v>
      </c>
      <c r="BO6" s="33">
        <v>-14985.963607122972</v>
      </c>
    </row>
    <row r="7" spans="1:67" s="9" customFormat="1" x14ac:dyDescent="0.3">
      <c r="A7" s="9" t="s">
        <v>32</v>
      </c>
      <c r="B7" s="9" t="s">
        <v>65</v>
      </c>
      <c r="C7" s="17" t="s">
        <v>84</v>
      </c>
      <c r="D7" s="17"/>
      <c r="E7" s="18"/>
      <c r="F7" s="18"/>
      <c r="G7" s="17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"/>
      <c r="AW7" s="47">
        <f>$BN$6*AW2+$BM$6*AW3+$BO$6</f>
        <v>33027.131258430541</v>
      </c>
      <c r="AX7" s="47">
        <f>$BN$6*AX2+$BM$6*AX3+$BO$6</f>
        <v>27079.058912761615</v>
      </c>
      <c r="AY7" s="47">
        <f t="shared" ref="AY7:BF7" si="1">$BN$6*AY2+$BM$6*AY3+$BO$6</f>
        <v>29144.588627081681</v>
      </c>
      <c r="AZ7" s="47">
        <f t="shared" si="1"/>
        <v>29019.356001773955</v>
      </c>
      <c r="BA7" s="47">
        <f t="shared" si="1"/>
        <v>25039.643863844194</v>
      </c>
      <c r="BB7" s="47">
        <f t="shared" si="1"/>
        <v>27173.926224305807</v>
      </c>
      <c r="BC7" s="47">
        <f t="shared" si="1"/>
        <v>27536.386483276252</v>
      </c>
      <c r="BD7" s="47">
        <f t="shared" si="1"/>
        <v>27467.664289093071</v>
      </c>
      <c r="BE7" s="47">
        <f t="shared" si="1"/>
        <v>27119.604435798934</v>
      </c>
      <c r="BF7" s="47">
        <f t="shared" si="1"/>
        <v>27048.392888090453</v>
      </c>
      <c r="BG7" s="47">
        <f>$BN$6*BG2+$BM$6*BG3+$BO$6</f>
        <v>26337.876384498017</v>
      </c>
      <c r="BH7" s="50"/>
      <c r="BI7" s="50"/>
      <c r="BJ7" s="47">
        <f>BN6*BJ2+BM6*BJ3+BO6</f>
        <v>27458.642561342091</v>
      </c>
      <c r="BK7" s="47">
        <f>BN6*BK2+BM6*BK3+BO6</f>
        <v>27391.87698994295</v>
      </c>
    </row>
    <row r="8" spans="1:67" s="9" customFormat="1" x14ac:dyDescent="0.3">
      <c r="A8" s="9" t="s">
        <v>32</v>
      </c>
      <c r="B8" s="9" t="s">
        <v>65</v>
      </c>
      <c r="C8" s="17" t="s">
        <v>85</v>
      </c>
      <c r="D8" s="17"/>
      <c r="E8" s="18"/>
      <c r="F8" s="18"/>
      <c r="G8" s="17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"/>
      <c r="AW8" s="49">
        <f>AW5+AW7</f>
        <v>41545.20835974635</v>
      </c>
      <c r="AX8" s="49">
        <f t="shared" ref="AX8:BI8" si="2">AX5+AX7</f>
        <v>35689.227332560593</v>
      </c>
      <c r="AY8" s="49">
        <f t="shared" si="2"/>
        <v>37846.84836536384</v>
      </c>
      <c r="AZ8" s="49">
        <f t="shared" si="2"/>
        <v>37813.707058539308</v>
      </c>
      <c r="BA8" s="49">
        <f t="shared" si="2"/>
        <v>33926.086239092721</v>
      </c>
      <c r="BB8" s="49">
        <f t="shared" si="2"/>
        <v>36172.205525389771</v>
      </c>
      <c r="BC8" s="49">
        <f t="shared" si="2"/>
        <v>36607.010544872915</v>
      </c>
      <c r="BD8" s="49">
        <f t="shared" si="2"/>
        <v>36599.487112893614</v>
      </c>
      <c r="BE8" s="49">
        <f t="shared" si="2"/>
        <v>36357.219521220599</v>
      </c>
      <c r="BF8" s="49">
        <f t="shared" si="2"/>
        <v>36423.633269677812</v>
      </c>
      <c r="BG8" s="49">
        <f t="shared" si="2"/>
        <v>35776.866670645613</v>
      </c>
      <c r="BH8" s="49">
        <f t="shared" si="2"/>
        <v>0</v>
      </c>
      <c r="BI8" s="49">
        <f t="shared" si="2"/>
        <v>0</v>
      </c>
      <c r="BJ8" s="49">
        <f>TREND($AW$8:$BG$8,$AW$1:$BG$1,BJ$1)</f>
        <v>34057.910289547872</v>
      </c>
      <c r="BK8" s="49">
        <f>TREND($AW$8:$BG$8,$AW$1:$BG$1,BK$1)</f>
        <v>32688.797252503573</v>
      </c>
    </row>
    <row r="9" spans="1:67" s="9" customFormat="1" x14ac:dyDescent="0.3">
      <c r="A9" s="9" t="s">
        <v>32</v>
      </c>
      <c r="B9" s="9" t="s">
        <v>65</v>
      </c>
      <c r="C9" s="17" t="s">
        <v>164</v>
      </c>
      <c r="D9" s="17"/>
      <c r="E9" s="18"/>
      <c r="F9" s="18"/>
      <c r="G9" s="17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"/>
      <c r="AW9" s="51">
        <f t="shared" ref="AW9:BG9" si="3">AW8/AW4</f>
        <v>1.0040194281510006</v>
      </c>
      <c r="AX9" s="51">
        <f t="shared" si="3"/>
        <v>0.97537459401948834</v>
      </c>
      <c r="AY9" s="51">
        <f t="shared" si="3"/>
        <v>1.0046798569123301</v>
      </c>
      <c r="AZ9" s="51">
        <f t="shared" si="3"/>
        <v>1.0199017435042323</v>
      </c>
      <c r="BA9" s="51">
        <f t="shared" si="3"/>
        <v>1.0178504438690315</v>
      </c>
      <c r="BB9" s="51">
        <f>BB8/BB4</f>
        <v>1.0073562872104072</v>
      </c>
      <c r="BC9" s="51">
        <f t="shared" si="3"/>
        <v>0.98227706567042661</v>
      </c>
      <c r="BD9" s="51">
        <f t="shared" si="3"/>
        <v>0.97618155932235307</v>
      </c>
      <c r="BE9" s="51">
        <f t="shared" si="3"/>
        <v>0.97619288978350738</v>
      </c>
      <c r="BF9" s="51">
        <f t="shared" si="3"/>
        <v>1.0049361958510363</v>
      </c>
      <c r="BG9" s="51">
        <f t="shared" si="3"/>
        <v>1.0353850236289495</v>
      </c>
      <c r="BH9" s="50"/>
      <c r="BI9" s="50"/>
      <c r="BJ9" s="51"/>
      <c r="BK9" s="47"/>
    </row>
    <row r="10" spans="1:67" s="9" customFormat="1" x14ac:dyDescent="0.3">
      <c r="A10" s="9" t="s">
        <v>32</v>
      </c>
      <c r="B10" s="9" t="s">
        <v>65</v>
      </c>
      <c r="C10" s="17" t="s">
        <v>174</v>
      </c>
      <c r="D10" s="17"/>
      <c r="E10" s="18"/>
      <c r="F10" s="18"/>
      <c r="G10" s="17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"/>
      <c r="AW10" s="52">
        <f>AW5/AW4</f>
        <v>0.20585562662614232</v>
      </c>
      <c r="AX10" s="52">
        <f>AX5/AX4</f>
        <v>0.2353130105240166</v>
      </c>
      <c r="AY10" s="52">
        <f>AY5/AY4</f>
        <v>0.23100959383113473</v>
      </c>
      <c r="AZ10" s="52">
        <f t="shared" ref="AZ10:BG10" si="4">AZ5/AZ4</f>
        <v>0.2371990125669988</v>
      </c>
      <c r="BA10" s="52">
        <f t="shared" si="4"/>
        <v>0.26661104532714225</v>
      </c>
      <c r="BB10" s="52">
        <f t="shared" si="4"/>
        <v>0.2505922184274807</v>
      </c>
      <c r="BC10" s="52">
        <f t="shared" si="4"/>
        <v>0.24339234082234099</v>
      </c>
      <c r="BD10" s="52">
        <f t="shared" si="4"/>
        <v>0.24356398809896562</v>
      </c>
      <c r="BE10" s="52">
        <f t="shared" si="4"/>
        <v>0.24803035775830282</v>
      </c>
      <c r="BF10" s="52">
        <f t="shared" si="4"/>
        <v>0.25866498090690759</v>
      </c>
      <c r="BG10" s="52">
        <f t="shared" si="4"/>
        <v>0.27316503902995365</v>
      </c>
      <c r="BH10" s="50"/>
      <c r="BI10" s="50"/>
      <c r="BJ10" s="47"/>
      <c r="BK10" s="47"/>
      <c r="BM10" s="9" t="s">
        <v>173</v>
      </c>
      <c r="BN10" s="8">
        <f>AVERAGE(AW10:BG10)</f>
        <v>0.24485429217448965</v>
      </c>
    </row>
    <row r="11" spans="1:67" s="9" customFormat="1" x14ac:dyDescent="0.3">
      <c r="C11" s="17"/>
      <c r="D11" s="17"/>
      <c r="E11" s="18"/>
      <c r="F11" s="18"/>
      <c r="G11" s="17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"/>
      <c r="AW11" s="49"/>
      <c r="AX11" s="49"/>
      <c r="AY11" s="52"/>
      <c r="AZ11" s="52"/>
      <c r="BA11" s="52"/>
      <c r="BB11" s="52"/>
      <c r="BC11" s="52"/>
      <c r="BD11" s="52"/>
      <c r="BE11" s="52"/>
      <c r="BF11" s="52"/>
      <c r="BG11" s="52"/>
      <c r="BH11" s="50"/>
      <c r="BI11" s="50"/>
      <c r="BJ11" s="47"/>
      <c r="BK11" s="47"/>
      <c r="BN11" s="8"/>
    </row>
    <row r="12" spans="1:67" x14ac:dyDescent="0.3">
      <c r="A12" s="9" t="s">
        <v>32</v>
      </c>
      <c r="B12" s="9" t="s">
        <v>67</v>
      </c>
      <c r="C12" s="17" t="s">
        <v>61</v>
      </c>
      <c r="D12" s="17" t="s">
        <v>62</v>
      </c>
      <c r="E12" s="17"/>
      <c r="F12" s="17"/>
      <c r="G12" s="17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19">
        <v>2.5281289999999998</v>
      </c>
      <c r="AV12" s="20">
        <v>2.5435680000000001</v>
      </c>
      <c r="AW12" s="53">
        <v>2.5490409999999999</v>
      </c>
      <c r="AX12" s="53">
        <v>2.5565090000000001</v>
      </c>
      <c r="AY12" s="53">
        <v>2.5628299999999999</v>
      </c>
      <c r="AZ12" s="53">
        <v>2.5685289999999998</v>
      </c>
      <c r="BA12" s="53">
        <v>2.574395</v>
      </c>
      <c r="BB12" s="53">
        <v>2.582532</v>
      </c>
      <c r="BC12" s="53">
        <v>2.5991040000000001</v>
      </c>
      <c r="BD12" s="53">
        <v>2.6147629999999999</v>
      </c>
      <c r="BE12" s="53">
        <v>2.6272639999999998</v>
      </c>
      <c r="BF12" s="53">
        <v>2.6353</v>
      </c>
      <c r="BG12" s="53">
        <v>2.6408749999999999</v>
      </c>
      <c r="BH12" s="48">
        <v>2.6467019999999999</v>
      </c>
      <c r="BI12" s="48">
        <v>2.660177</v>
      </c>
      <c r="BJ12" s="48">
        <v>2.6782279999999998</v>
      </c>
      <c r="BK12" s="48">
        <v>2.724313</v>
      </c>
    </row>
    <row r="13" spans="1:67" x14ac:dyDescent="0.3">
      <c r="A13" s="9" t="s">
        <v>32</v>
      </c>
      <c r="B13" s="9" t="s">
        <v>67</v>
      </c>
      <c r="C13" s="17" t="s">
        <v>63</v>
      </c>
      <c r="D13" s="17" t="s">
        <v>64</v>
      </c>
      <c r="E13" s="17"/>
      <c r="F13" s="17"/>
      <c r="G13" s="17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"/>
      <c r="AW13" s="49">
        <f t="shared" ref="AW13:AX13" si="5">AW$12/AW$3*AW$9*$BJ$8</f>
        <v>15748.524391995888</v>
      </c>
      <c r="AX13" s="49">
        <f t="shared" si="5"/>
        <v>15272.597983782838</v>
      </c>
      <c r="AY13" s="49">
        <f t="shared" ref="AY13:BG13" si="6">AY$12/AY$3*AY$9*$BJ$8</f>
        <v>15714.158659556049</v>
      </c>
      <c r="AZ13" s="49">
        <f t="shared" si="6"/>
        <v>15924.617788254865</v>
      </c>
      <c r="BA13" s="49">
        <f>BA$12/BA$3*BA$9*$BJ$8</f>
        <v>15859.230039588037</v>
      </c>
      <c r="BB13" s="49">
        <f t="shared" si="6"/>
        <v>15654.970285405634</v>
      </c>
      <c r="BC13" s="49">
        <f t="shared" si="6"/>
        <v>15235.218464523552</v>
      </c>
      <c r="BD13" s="49">
        <f t="shared" si="6"/>
        <v>15121.889820657987</v>
      </c>
      <c r="BE13" s="49">
        <f t="shared" si="6"/>
        <v>15109.152667271132</v>
      </c>
      <c r="BF13" s="49">
        <f t="shared" si="6"/>
        <v>15534.721000146859</v>
      </c>
      <c r="BG13" s="49">
        <f t="shared" si="6"/>
        <v>15993.31929338263</v>
      </c>
      <c r="BH13" s="47"/>
      <c r="BI13" s="47"/>
      <c r="BJ13" s="47">
        <f>BJ12/BJ3*BJ8</f>
        <v>15388.135242887174</v>
      </c>
      <c r="BK13" s="47">
        <f>BK12/BK3*BK8</f>
        <v>14733.8162585846</v>
      </c>
    </row>
    <row r="14" spans="1:67" s="9" customFormat="1" x14ac:dyDescent="0.3">
      <c r="A14" s="9" t="s">
        <v>32</v>
      </c>
      <c r="B14" s="9" t="s">
        <v>67</v>
      </c>
      <c r="C14" s="17" t="s">
        <v>79</v>
      </c>
      <c r="D14" s="17" t="s">
        <v>64</v>
      </c>
      <c r="E14" s="17"/>
      <c r="F14" s="17"/>
      <c r="G14" s="17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"/>
      <c r="AW14" s="49">
        <f t="shared" ref="AW14:AX14" si="7">AW$9*$BJ$13-AW$15</f>
        <v>11682.135784091382</v>
      </c>
      <c r="AX14" s="49">
        <f t="shared" si="7"/>
        <v>11241.345202465602</v>
      </c>
      <c r="AY14" s="49">
        <f t="shared" ref="AY14:BG14" si="8">AY$9*$BJ$13-AY$15</f>
        <v>11692.298551189013</v>
      </c>
      <c r="AZ14" s="49">
        <f t="shared" si="8"/>
        <v>11926.535000717096</v>
      </c>
      <c r="BA14" s="49">
        <f t="shared" si="8"/>
        <v>11894.969324506939</v>
      </c>
      <c r="BB14" s="49">
        <f t="shared" si="8"/>
        <v>11733.483822583983</v>
      </c>
      <c r="BC14" s="49">
        <f t="shared" si="8"/>
        <v>11347.561369740433</v>
      </c>
      <c r="BD14" s="49">
        <f t="shared" si="8"/>
        <v>11253.7628936824</v>
      </c>
      <c r="BE14" s="49">
        <f t="shared" si="8"/>
        <v>11253.937248351007</v>
      </c>
      <c r="BF14" s="49">
        <f t="shared" si="8"/>
        <v>11696.243129445842</v>
      </c>
      <c r="BG14" s="49">
        <f t="shared" si="8"/>
        <v>12164.79380927975</v>
      </c>
      <c r="BH14" s="47"/>
      <c r="BI14" s="47"/>
      <c r="BJ14" s="47">
        <f>BJ13-BJ15</f>
        <v>11620.284280104717</v>
      </c>
      <c r="BK14" s="47">
        <f>BK13-BK15</f>
        <v>10965.965295802143</v>
      </c>
    </row>
    <row r="15" spans="1:67" s="9" customFormat="1" x14ac:dyDescent="0.3">
      <c r="A15" s="9" t="s">
        <v>32</v>
      </c>
      <c r="B15" s="9" t="s">
        <v>67</v>
      </c>
      <c r="C15" s="17" t="s">
        <v>76</v>
      </c>
      <c r="D15" s="17" t="s">
        <v>165</v>
      </c>
      <c r="E15" s="17"/>
      <c r="F15" s="17"/>
      <c r="G15" s="17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"/>
      <c r="AW15" s="49">
        <f t="shared" ref="AW15:AX15" si="9">$BJ$15</f>
        <v>3767.8509627824574</v>
      </c>
      <c r="AX15" s="49">
        <f t="shared" si="9"/>
        <v>3767.8509627824574</v>
      </c>
      <c r="AY15" s="49">
        <f>$BJ$15</f>
        <v>3767.8509627824574</v>
      </c>
      <c r="AZ15" s="49">
        <f t="shared" ref="AZ15:BG15" si="10">$BJ$15</f>
        <v>3767.8509627824574</v>
      </c>
      <c r="BA15" s="49">
        <f t="shared" si="10"/>
        <v>3767.8509627824574</v>
      </c>
      <c r="BB15" s="49">
        <f t="shared" si="10"/>
        <v>3767.8509627824574</v>
      </c>
      <c r="BC15" s="49">
        <f t="shared" si="10"/>
        <v>3767.8509627824574</v>
      </c>
      <c r="BD15" s="49">
        <f t="shared" si="10"/>
        <v>3767.8509627824574</v>
      </c>
      <c r="BE15" s="49">
        <f t="shared" si="10"/>
        <v>3767.8509627824574</v>
      </c>
      <c r="BF15" s="49">
        <f t="shared" si="10"/>
        <v>3767.8509627824574</v>
      </c>
      <c r="BG15" s="49">
        <f t="shared" si="10"/>
        <v>3767.8509627824574</v>
      </c>
      <c r="BH15" s="47"/>
      <c r="BI15" s="47"/>
      <c r="BJ15" s="47">
        <f>BJ12/BJ3*BJ5</f>
        <v>3767.8509627824574</v>
      </c>
      <c r="BK15" s="49">
        <f t="shared" ref="BK15" si="11">$BJ$15</f>
        <v>3767.8509627824574</v>
      </c>
    </row>
    <row r="16" spans="1:67" x14ac:dyDescent="0.3">
      <c r="A16" s="9" t="s">
        <v>32</v>
      </c>
      <c r="B16" s="9" t="s">
        <v>66</v>
      </c>
      <c r="C16" s="17" t="s">
        <v>61</v>
      </c>
      <c r="D16" s="17" t="s">
        <v>62</v>
      </c>
      <c r="E16" s="17"/>
      <c r="F16" s="17"/>
      <c r="G16" s="17"/>
      <c r="H16" s="1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19">
        <v>2.9476619999999998</v>
      </c>
      <c r="AV16" s="20">
        <v>2.967883</v>
      </c>
      <c r="AW16" s="53">
        <v>2.985697</v>
      </c>
      <c r="AX16" s="53">
        <v>3.0041190000000002</v>
      </c>
      <c r="AY16" s="53">
        <v>3.0176859999999999</v>
      </c>
      <c r="AZ16" s="53">
        <v>3.0340989999999999</v>
      </c>
      <c r="BA16" s="53">
        <v>3.0528400000000002</v>
      </c>
      <c r="BB16" s="53">
        <v>3.0771829999999998</v>
      </c>
      <c r="BC16" s="53">
        <v>3.1081470000000002</v>
      </c>
      <c r="BD16" s="53">
        <v>3.1340059999999998</v>
      </c>
      <c r="BE16" s="53">
        <v>3.1539259999999998</v>
      </c>
      <c r="BF16" s="53">
        <v>3.1707809999999998</v>
      </c>
      <c r="BG16" s="53">
        <v>3.1818879999999998</v>
      </c>
      <c r="BH16" s="48">
        <v>3.193343</v>
      </c>
      <c r="BI16" s="48">
        <v>3.2132429999999998</v>
      </c>
      <c r="BJ16" s="48">
        <v>3.2493810000000001</v>
      </c>
      <c r="BK16" s="48">
        <v>3.3199130000000001</v>
      </c>
      <c r="BL16" s="33"/>
    </row>
    <row r="17" spans="1:65" x14ac:dyDescent="0.3">
      <c r="A17" s="9" t="s">
        <v>32</v>
      </c>
      <c r="B17" s="9" t="s">
        <v>66</v>
      </c>
      <c r="C17" s="17" t="s">
        <v>63</v>
      </c>
      <c r="D17" s="17" t="s">
        <v>64</v>
      </c>
      <c r="E17" s="17"/>
      <c r="F17" s="17"/>
      <c r="G17" s="17"/>
      <c r="H17" s="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"/>
      <c r="AW17" s="49">
        <f t="shared" ref="AW17:AX17" si="12">AW16/AW$3*AW$9*$BJ$8</f>
        <v>18446.279220934048</v>
      </c>
      <c r="AX17" s="49">
        <f t="shared" si="12"/>
        <v>17946.622438037073</v>
      </c>
      <c r="AY17" s="49">
        <f>AY16/AY$3*AY$9*$BJ$8</f>
        <v>18503.137776879877</v>
      </c>
      <c r="AZ17" s="49">
        <f t="shared" ref="AZ17:BF17" si="13">AZ16/AZ$3*AZ$9*$BJ$8</f>
        <v>18811.104296165744</v>
      </c>
      <c r="BA17" s="49">
        <f t="shared" si="13"/>
        <v>18806.629065879923</v>
      </c>
      <c r="BB17" s="49">
        <f t="shared" si="13"/>
        <v>18653.479774018433</v>
      </c>
      <c r="BC17" s="49">
        <f t="shared" si="13"/>
        <v>18219.085717560163</v>
      </c>
      <c r="BD17" s="49">
        <f t="shared" si="13"/>
        <v>18124.814153053663</v>
      </c>
      <c r="BE17" s="49">
        <f t="shared" si="13"/>
        <v>18137.937198270054</v>
      </c>
      <c r="BF17" s="49">
        <f t="shared" si="13"/>
        <v>18691.30580486725</v>
      </c>
      <c r="BG17" s="49">
        <f>BG16/BG$3*BG$9*$BJ$8</f>
        <v>19269.730956513533</v>
      </c>
      <c r="BH17" s="47"/>
      <c r="BI17" s="47"/>
      <c r="BJ17" s="47">
        <f>BJ16/BJ3*BJ8</f>
        <v>18669.775046660696</v>
      </c>
      <c r="BK17" s="47">
        <f>BK16/BK3*BK8</f>
        <v>17954.980993918973</v>
      </c>
      <c r="BL17" s="10"/>
    </row>
    <row r="18" spans="1:65" s="9" customFormat="1" x14ac:dyDescent="0.3">
      <c r="A18" s="9" t="s">
        <v>32</v>
      </c>
      <c r="B18" s="9" t="s">
        <v>66</v>
      </c>
      <c r="C18" s="17" t="s">
        <v>79</v>
      </c>
      <c r="D18" s="17" t="s">
        <v>64</v>
      </c>
      <c r="E18" s="17"/>
      <c r="F18" s="17"/>
      <c r="G18" s="17"/>
      <c r="H18" s="1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"/>
      <c r="AW18" s="49">
        <f t="shared" ref="AW18:AX18" si="14">AW17-AW19</f>
        <v>13874.904666826995</v>
      </c>
      <c r="AX18" s="49">
        <f t="shared" si="14"/>
        <v>13375.24788393002</v>
      </c>
      <c r="AY18" s="49">
        <f>AY17-AY19</f>
        <v>13931.763222772825</v>
      </c>
      <c r="AZ18" s="49">
        <f t="shared" ref="AZ18:BG18" si="15">AZ17-AZ19</f>
        <v>14239.729742058691</v>
      </c>
      <c r="BA18" s="49">
        <f t="shared" si="15"/>
        <v>14235.25451177287</v>
      </c>
      <c r="BB18" s="49">
        <f t="shared" si="15"/>
        <v>14082.10521991138</v>
      </c>
      <c r="BC18" s="49">
        <f t="shared" si="15"/>
        <v>13647.71116345311</v>
      </c>
      <c r="BD18" s="49">
        <f t="shared" si="15"/>
        <v>13553.43959894661</v>
      </c>
      <c r="BE18" s="49">
        <f t="shared" si="15"/>
        <v>13566.562644163001</v>
      </c>
      <c r="BF18" s="49">
        <f t="shared" si="15"/>
        <v>14119.931250760197</v>
      </c>
      <c r="BG18" s="49">
        <f t="shared" si="15"/>
        <v>14698.35640240648</v>
      </c>
      <c r="BH18" s="47"/>
      <c r="BI18" s="47"/>
      <c r="BJ18" s="47">
        <f>BJ17-BJ19</f>
        <v>14098.400492553643</v>
      </c>
      <c r="BK18" s="47">
        <f>BK17-BK19</f>
        <v>13383.60643981192</v>
      </c>
      <c r="BL18" s="10"/>
    </row>
    <row r="19" spans="1:65" x14ac:dyDescent="0.3">
      <c r="A19" t="s">
        <v>166</v>
      </c>
      <c r="B19" t="s">
        <v>66</v>
      </c>
      <c r="C19" s="17" t="s">
        <v>80</v>
      </c>
      <c r="D19" s="10" t="s">
        <v>64</v>
      </c>
      <c r="AW19" s="47">
        <f t="shared" ref="AW19:AX19" si="16">$BJ$19</f>
        <v>4571.3745541070539</v>
      </c>
      <c r="AX19" s="47">
        <f t="shared" si="16"/>
        <v>4571.3745541070539</v>
      </c>
      <c r="AY19" s="10">
        <f>$BJ$19</f>
        <v>4571.3745541070539</v>
      </c>
      <c r="AZ19" s="10">
        <f t="shared" ref="AZ19:BG19" si="17">$BJ$19</f>
        <v>4571.3745541070539</v>
      </c>
      <c r="BA19" s="10">
        <f t="shared" si="17"/>
        <v>4571.3745541070539</v>
      </c>
      <c r="BB19" s="10">
        <f t="shared" si="17"/>
        <v>4571.3745541070539</v>
      </c>
      <c r="BC19" s="10">
        <f t="shared" si="17"/>
        <v>4571.3745541070539</v>
      </c>
      <c r="BD19" s="10">
        <f t="shared" si="17"/>
        <v>4571.3745541070539</v>
      </c>
      <c r="BE19" s="10">
        <f t="shared" si="17"/>
        <v>4571.3745541070539</v>
      </c>
      <c r="BF19" s="10">
        <f t="shared" si="17"/>
        <v>4571.3745541070539</v>
      </c>
      <c r="BG19" s="10">
        <f t="shared" si="17"/>
        <v>4571.3745541070539</v>
      </c>
      <c r="BJ19" s="10">
        <f>BJ16/BJ3*BJ5</f>
        <v>4571.3745541070539</v>
      </c>
      <c r="BK19" s="10">
        <f t="shared" ref="BK19" si="18">$BJ$19</f>
        <v>4571.3745541070539</v>
      </c>
    </row>
    <row r="23" spans="1:65" x14ac:dyDescent="0.3">
      <c r="C23" t="s">
        <v>175</v>
      </c>
    </row>
    <row r="24" spans="1:65" x14ac:dyDescent="0.3">
      <c r="C24" t="s">
        <v>205</v>
      </c>
      <c r="BA24" s="22" t="s">
        <v>72</v>
      </c>
      <c r="BB24" s="23" t="s">
        <v>16</v>
      </c>
      <c r="BC24" s="23" t="s">
        <v>17</v>
      </c>
      <c r="BD24" s="23" t="s">
        <v>18</v>
      </c>
      <c r="BE24" s="23" t="s">
        <v>19</v>
      </c>
      <c r="BF24" s="23" t="s">
        <v>20</v>
      </c>
      <c r="BG24" s="23" t="s">
        <v>21</v>
      </c>
      <c r="BH24" s="23" t="s">
        <v>22</v>
      </c>
      <c r="BI24" s="23" t="s">
        <v>23</v>
      </c>
      <c r="BJ24" s="23" t="s">
        <v>24</v>
      </c>
      <c r="BK24" s="23" t="s">
        <v>25</v>
      </c>
      <c r="BL24" s="9"/>
      <c r="BM24" s="9"/>
    </row>
    <row r="25" spans="1:65" x14ac:dyDescent="0.3">
      <c r="C25" t="s">
        <v>176</v>
      </c>
      <c r="BA25" s="24" t="s">
        <v>73</v>
      </c>
      <c r="BB25" s="25" t="s">
        <v>51</v>
      </c>
      <c r="BC25" s="25" t="s">
        <v>51</v>
      </c>
      <c r="BD25" s="25" t="s">
        <v>51</v>
      </c>
      <c r="BE25" s="25" t="s">
        <v>51</v>
      </c>
      <c r="BF25" s="25" t="s">
        <v>51</v>
      </c>
      <c r="BG25" s="26">
        <v>183987.027</v>
      </c>
      <c r="BH25" s="26">
        <v>192946.00399999999</v>
      </c>
      <c r="BI25" s="26">
        <v>190314.99600000001</v>
      </c>
      <c r="BJ25" s="26">
        <v>191632.698</v>
      </c>
      <c r="BK25" s="26">
        <v>182946.984</v>
      </c>
      <c r="BL25" s="9"/>
      <c r="BM25" s="9"/>
    </row>
    <row r="26" spans="1:65" x14ac:dyDescent="0.3">
      <c r="BA26" s="24" t="s">
        <v>74</v>
      </c>
      <c r="BB26" s="25" t="s">
        <v>51</v>
      </c>
      <c r="BC26" s="25" t="s">
        <v>51</v>
      </c>
      <c r="BD26" s="25" t="s">
        <v>51</v>
      </c>
      <c r="BE26" s="25" t="s">
        <v>51</v>
      </c>
      <c r="BF26" s="25" t="s">
        <v>51</v>
      </c>
      <c r="BG26" s="27">
        <v>112246.02</v>
      </c>
      <c r="BH26" s="26">
        <v>120605.363</v>
      </c>
      <c r="BI26" s="27">
        <v>119010</v>
      </c>
      <c r="BJ26" s="26">
        <v>119807.842</v>
      </c>
      <c r="BK26" s="26">
        <v>109155.125</v>
      </c>
      <c r="BL26" s="9"/>
      <c r="BM26" s="9"/>
    </row>
    <row r="27" spans="1:65" x14ac:dyDescent="0.3">
      <c r="BA27" s="24" t="s">
        <v>75</v>
      </c>
      <c r="BB27" s="25" t="s">
        <v>51</v>
      </c>
      <c r="BC27" s="25" t="s">
        <v>51</v>
      </c>
      <c r="BD27" s="25" t="s">
        <v>51</v>
      </c>
      <c r="BE27" s="25" t="s">
        <v>51</v>
      </c>
      <c r="BF27" s="25" t="s">
        <v>51</v>
      </c>
      <c r="BG27" s="25" t="s">
        <v>51</v>
      </c>
      <c r="BH27" s="25" t="s">
        <v>51</v>
      </c>
      <c r="BI27" s="25" t="s">
        <v>51</v>
      </c>
      <c r="BJ27" s="25" t="s">
        <v>51</v>
      </c>
      <c r="BK27" s="25" t="s">
        <v>51</v>
      </c>
      <c r="BL27" s="9"/>
      <c r="BM27" s="9"/>
    </row>
    <row r="28" spans="1:65" x14ac:dyDescent="0.3">
      <c r="BA28" s="24" t="s">
        <v>76</v>
      </c>
      <c r="BB28" s="25" t="s">
        <v>51</v>
      </c>
      <c r="BC28" s="25" t="s">
        <v>51</v>
      </c>
      <c r="BD28" s="25" t="s">
        <v>51</v>
      </c>
      <c r="BE28" s="25" t="s">
        <v>51</v>
      </c>
      <c r="BF28" s="25" t="s">
        <v>51</v>
      </c>
      <c r="BG28" s="26">
        <v>39755.995999999999</v>
      </c>
      <c r="BH28" s="26">
        <v>40075.627999999997</v>
      </c>
      <c r="BI28" s="26">
        <v>40346.014999999999</v>
      </c>
      <c r="BJ28" s="26">
        <v>40813.423999999999</v>
      </c>
      <c r="BK28" s="26">
        <v>41421.476999999999</v>
      </c>
      <c r="BL28" s="9"/>
      <c r="BM28" s="9"/>
    </row>
    <row r="29" spans="1:65" x14ac:dyDescent="0.3">
      <c r="BA29" s="24" t="s">
        <v>77</v>
      </c>
      <c r="BB29" s="25" t="s">
        <v>51</v>
      </c>
      <c r="BC29" s="25" t="s">
        <v>51</v>
      </c>
      <c r="BD29" s="25" t="s">
        <v>51</v>
      </c>
      <c r="BE29" s="25" t="s">
        <v>51</v>
      </c>
      <c r="BF29" s="25" t="s">
        <v>51</v>
      </c>
      <c r="BG29" s="26"/>
      <c r="BH29" s="27"/>
      <c r="BI29" s="26"/>
      <c r="BJ29" s="27"/>
      <c r="BK29" s="27"/>
      <c r="BL29" s="9"/>
      <c r="BM29" s="9"/>
    </row>
    <row r="30" spans="1:65" x14ac:dyDescent="0.3"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 x14ac:dyDescent="0.3"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 x14ac:dyDescent="0.3"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53:65" x14ac:dyDescent="0.3"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 t="s">
        <v>78</v>
      </c>
    </row>
    <row r="34" spans="53:65" x14ac:dyDescent="0.3">
      <c r="BA34" s="9" t="s">
        <v>167</v>
      </c>
      <c r="BB34" s="9"/>
      <c r="BC34" s="9"/>
      <c r="BD34" s="9"/>
      <c r="BE34" s="9"/>
      <c r="BF34" s="9"/>
      <c r="BG34" s="8">
        <f>BG28/(BG26+BG28)</f>
        <v>0.26154913629566595</v>
      </c>
      <c r="BH34" s="8">
        <f t="shared" ref="BH34:BK34" si="19">BH28/(BH26+BH28)</f>
        <v>0.24941113289499192</v>
      </c>
      <c r="BI34" s="8">
        <f t="shared" si="19"/>
        <v>0.25318162605911043</v>
      </c>
      <c r="BJ34" s="8">
        <f t="shared" si="19"/>
        <v>0.25409726256297843</v>
      </c>
      <c r="BK34" s="8">
        <f t="shared" si="19"/>
        <v>0.27508574672179142</v>
      </c>
      <c r="BL34" s="9"/>
      <c r="BM34" s="28">
        <f>AVERAGE(BG34:BK34)</f>
        <v>0.25866498090690759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1"/>
  <sheetViews>
    <sheetView topLeftCell="A25" workbookViewId="0">
      <selection activeCell="O48" sqref="O48"/>
    </sheetView>
  </sheetViews>
  <sheetFormatPr defaultRowHeight="14.4" x14ac:dyDescent="0.3"/>
  <cols>
    <col min="1" max="1" width="16.33203125" customWidth="1"/>
    <col min="2" max="2" width="11.88671875" customWidth="1"/>
    <col min="15" max="15" width="11" bestFit="1" customWidth="1"/>
  </cols>
  <sheetData>
    <row r="1" spans="1:18" s="9" customFormat="1" x14ac:dyDescent="0.3">
      <c r="A1" s="36" t="s">
        <v>118</v>
      </c>
    </row>
    <row r="2" spans="1:18" s="9" customFormat="1" x14ac:dyDescent="0.3">
      <c r="A2" s="36" t="s">
        <v>119</v>
      </c>
      <c r="B2" s="37" t="s">
        <v>177</v>
      </c>
    </row>
    <row r="3" spans="1:18" s="9" customFormat="1" x14ac:dyDescent="0.3">
      <c r="A3" s="36" t="s">
        <v>120</v>
      </c>
      <c r="B3" s="36" t="s">
        <v>121</v>
      </c>
    </row>
    <row r="4" spans="1:18" s="9" customFormat="1" x14ac:dyDescent="0.3"/>
    <row r="5" spans="1:18" s="9" customFormat="1" x14ac:dyDescent="0.3">
      <c r="A5" s="37" t="s">
        <v>122</v>
      </c>
      <c r="B5" s="9" t="s">
        <v>160</v>
      </c>
    </row>
    <row r="6" spans="1:18" s="9" customFormat="1" x14ac:dyDescent="0.3">
      <c r="A6" s="37" t="s">
        <v>123</v>
      </c>
      <c r="B6" s="36" t="s">
        <v>161</v>
      </c>
    </row>
    <row r="7" spans="1:18" s="9" customFormat="1" x14ac:dyDescent="0.3"/>
    <row r="8" spans="1:18" s="9" customFormat="1" ht="11.4" customHeight="1" x14ac:dyDescent="0.3">
      <c r="A8" s="22" t="s">
        <v>15</v>
      </c>
      <c r="B8" s="1">
        <v>2010</v>
      </c>
      <c r="C8" s="1">
        <v>2011</v>
      </c>
      <c r="D8" s="1">
        <v>2012</v>
      </c>
      <c r="E8" s="1">
        <v>2013</v>
      </c>
      <c r="F8" s="1">
        <v>2014</v>
      </c>
      <c r="G8" s="1">
        <v>2015</v>
      </c>
      <c r="H8" s="1">
        <v>2016</v>
      </c>
      <c r="I8" s="1">
        <v>2017</v>
      </c>
      <c r="J8" s="1">
        <v>2018</v>
      </c>
      <c r="K8" s="1">
        <v>2019</v>
      </c>
      <c r="L8" s="1">
        <v>2020</v>
      </c>
      <c r="M8" s="1">
        <v>2021</v>
      </c>
      <c r="O8" s="1">
        <v>2025</v>
      </c>
      <c r="P8" s="1">
        <v>2030</v>
      </c>
    </row>
    <row r="9" spans="1:18" s="9" customFormat="1" x14ac:dyDescent="0.3">
      <c r="A9" s="24" t="s">
        <v>34</v>
      </c>
      <c r="B9" s="38">
        <v>440660421</v>
      </c>
      <c r="C9" s="38">
        <v>439942305</v>
      </c>
      <c r="D9" s="38">
        <v>440552661</v>
      </c>
      <c r="E9" s="38">
        <v>441257711</v>
      </c>
      <c r="F9" s="38">
        <v>442883888</v>
      </c>
      <c r="G9" s="38">
        <v>443666812</v>
      </c>
      <c r="H9" s="38">
        <v>444802830</v>
      </c>
      <c r="I9" s="38">
        <v>445534430</v>
      </c>
      <c r="J9" s="38">
        <v>446208557</v>
      </c>
      <c r="K9" s="38">
        <v>446559279</v>
      </c>
      <c r="L9" s="38">
        <v>447485231</v>
      </c>
      <c r="M9" s="38">
        <v>447207489</v>
      </c>
    </row>
    <row r="10" spans="1:18" s="9" customFormat="1" x14ac:dyDescent="0.3">
      <c r="A10" s="24" t="s">
        <v>127</v>
      </c>
      <c r="B10" s="39">
        <v>503170618</v>
      </c>
      <c r="C10" s="39">
        <v>502964837</v>
      </c>
      <c r="D10" s="39">
        <v>504047749</v>
      </c>
      <c r="E10" s="39">
        <v>505163053</v>
      </c>
      <c r="F10" s="39">
        <v>507235091</v>
      </c>
      <c r="G10" s="39">
        <v>508520205</v>
      </c>
      <c r="H10" s="39">
        <v>510181874</v>
      </c>
      <c r="I10" s="39">
        <v>511378572</v>
      </c>
      <c r="J10" s="39">
        <v>512482133</v>
      </c>
      <c r="K10" s="39">
        <v>513206391</v>
      </c>
      <c r="L10" s="39" t="s">
        <v>51</v>
      </c>
      <c r="M10" s="39" t="s">
        <v>51</v>
      </c>
    </row>
    <row r="11" spans="1:18" s="9" customFormat="1" x14ac:dyDescent="0.3">
      <c r="A11" s="24" t="s">
        <v>128</v>
      </c>
      <c r="B11" s="38">
        <v>335266424</v>
      </c>
      <c r="C11" s="38">
        <v>334572589</v>
      </c>
      <c r="D11" s="38">
        <v>335288924</v>
      </c>
      <c r="E11" s="38">
        <v>336044966</v>
      </c>
      <c r="F11" s="38">
        <v>337764352</v>
      </c>
      <c r="G11" s="38">
        <v>338562121</v>
      </c>
      <c r="H11" s="38">
        <v>339787987</v>
      </c>
      <c r="I11" s="38">
        <v>340541142</v>
      </c>
      <c r="J11" s="38">
        <v>341253004</v>
      </c>
      <c r="K11" s="38">
        <v>341636902</v>
      </c>
      <c r="L11" s="38">
        <v>342574791</v>
      </c>
      <c r="M11" s="38">
        <v>342561034</v>
      </c>
      <c r="R11" s="97" t="s">
        <v>306</v>
      </c>
    </row>
    <row r="12" spans="1:18" s="9" customFormat="1" x14ac:dyDescent="0.3">
      <c r="A12" s="24" t="s">
        <v>130</v>
      </c>
      <c r="B12" s="39">
        <v>332124448</v>
      </c>
      <c r="C12" s="39">
        <v>331520001</v>
      </c>
      <c r="D12" s="39">
        <v>332285283</v>
      </c>
      <c r="E12" s="39">
        <v>333073061</v>
      </c>
      <c r="F12" s="39">
        <v>334820880</v>
      </c>
      <c r="G12" s="39">
        <v>335640859</v>
      </c>
      <c r="H12" s="39">
        <v>336899429</v>
      </c>
      <c r="I12" s="39">
        <v>337693238</v>
      </c>
      <c r="J12" s="39">
        <v>338444103</v>
      </c>
      <c r="K12" s="39">
        <v>338842718</v>
      </c>
      <c r="L12" s="39">
        <v>339780701</v>
      </c>
      <c r="M12" s="39">
        <v>339765354</v>
      </c>
    </row>
    <row r="13" spans="1:18" s="9" customFormat="1" x14ac:dyDescent="0.3">
      <c r="A13" s="24" t="s">
        <v>27</v>
      </c>
      <c r="B13" s="38">
        <v>10839905</v>
      </c>
      <c r="C13" s="38">
        <v>11000638</v>
      </c>
      <c r="D13" s="38">
        <v>11075889</v>
      </c>
      <c r="E13" s="38">
        <v>11137974</v>
      </c>
      <c r="F13" s="38">
        <v>11180840</v>
      </c>
      <c r="G13" s="38">
        <v>11237274</v>
      </c>
      <c r="H13" s="38">
        <v>11311117</v>
      </c>
      <c r="I13" s="38">
        <v>11351727</v>
      </c>
      <c r="J13" s="38">
        <v>11398589</v>
      </c>
      <c r="K13" s="38">
        <v>11455519</v>
      </c>
      <c r="L13" s="38">
        <v>11522440</v>
      </c>
      <c r="M13" s="38">
        <v>11554767</v>
      </c>
      <c r="O13" s="82">
        <v>11661206</v>
      </c>
      <c r="P13" s="82">
        <v>11757990</v>
      </c>
    </row>
    <row r="14" spans="1:18" s="9" customFormat="1" x14ac:dyDescent="0.3">
      <c r="A14" s="24" t="s">
        <v>28</v>
      </c>
      <c r="B14" s="39">
        <v>7421766</v>
      </c>
      <c r="C14" s="39">
        <v>7369431</v>
      </c>
      <c r="D14" s="39">
        <v>7327224</v>
      </c>
      <c r="E14" s="39">
        <v>7284552</v>
      </c>
      <c r="F14" s="39">
        <v>7245677</v>
      </c>
      <c r="G14" s="39">
        <v>7202198</v>
      </c>
      <c r="H14" s="39">
        <v>7153784</v>
      </c>
      <c r="I14" s="39">
        <v>7101859</v>
      </c>
      <c r="J14" s="39">
        <v>7050034</v>
      </c>
      <c r="K14" s="39">
        <v>7000039</v>
      </c>
      <c r="L14" s="39">
        <v>6951482</v>
      </c>
      <c r="M14" s="39">
        <v>6916548</v>
      </c>
    </row>
    <row r="15" spans="1:18" s="9" customFormat="1" x14ac:dyDescent="0.3">
      <c r="A15" s="24" t="s">
        <v>31</v>
      </c>
      <c r="B15" s="38">
        <v>10462088</v>
      </c>
      <c r="C15" s="38">
        <v>10486731</v>
      </c>
      <c r="D15" s="38">
        <v>10505445</v>
      </c>
      <c r="E15" s="38">
        <v>10516125</v>
      </c>
      <c r="F15" s="38">
        <v>10512419</v>
      </c>
      <c r="G15" s="38">
        <v>10538275</v>
      </c>
      <c r="H15" s="38">
        <v>10553843</v>
      </c>
      <c r="I15" s="38">
        <v>10578820</v>
      </c>
      <c r="J15" s="38">
        <v>10610055</v>
      </c>
      <c r="K15" s="38">
        <v>10649800</v>
      </c>
      <c r="L15" s="38">
        <v>10693939</v>
      </c>
      <c r="M15" s="38">
        <v>10701777</v>
      </c>
    </row>
    <row r="16" spans="1:18" s="9" customFormat="1" x14ac:dyDescent="0.3">
      <c r="A16" s="24" t="s">
        <v>32</v>
      </c>
      <c r="B16" s="39">
        <v>5534738</v>
      </c>
      <c r="C16" s="39">
        <v>5560628</v>
      </c>
      <c r="D16" s="39">
        <v>5580516</v>
      </c>
      <c r="E16" s="39">
        <v>5602628</v>
      </c>
      <c r="F16" s="39">
        <v>5627235</v>
      </c>
      <c r="G16" s="39">
        <v>5659715</v>
      </c>
      <c r="H16" s="39">
        <v>5707251</v>
      </c>
      <c r="I16" s="39">
        <v>5748769</v>
      </c>
      <c r="J16" s="39">
        <v>5781190</v>
      </c>
      <c r="K16" s="39">
        <v>5806081</v>
      </c>
      <c r="L16" s="39">
        <v>5822763</v>
      </c>
      <c r="M16" s="39">
        <v>5840045</v>
      </c>
      <c r="O16" s="9">
        <v>5927609</v>
      </c>
      <c r="P16" s="9">
        <v>6044226</v>
      </c>
      <c r="R16" s="9" t="s">
        <v>204</v>
      </c>
    </row>
    <row r="17" spans="1:18" s="9" customFormat="1" x14ac:dyDescent="0.3">
      <c r="A17" s="24" t="s">
        <v>262</v>
      </c>
      <c r="B17" s="38">
        <v>81802257</v>
      </c>
      <c r="C17" s="38">
        <v>80222065</v>
      </c>
      <c r="D17" s="38">
        <v>80327900</v>
      </c>
      <c r="E17" s="38">
        <v>80523746</v>
      </c>
      <c r="F17" s="38">
        <v>80767463</v>
      </c>
      <c r="G17" s="38">
        <v>81197537</v>
      </c>
      <c r="H17" s="38">
        <v>82175684</v>
      </c>
      <c r="I17" s="38">
        <v>82521653</v>
      </c>
      <c r="J17" s="38">
        <v>82792351</v>
      </c>
      <c r="K17" s="38">
        <v>83019213</v>
      </c>
      <c r="L17" s="38">
        <v>83166711</v>
      </c>
      <c r="M17" s="38">
        <v>83155031</v>
      </c>
      <c r="O17" s="91">
        <v>83482307</v>
      </c>
      <c r="P17" s="92">
        <v>83453697</v>
      </c>
    </row>
    <row r="18" spans="1:18" s="9" customFormat="1" x14ac:dyDescent="0.3">
      <c r="A18" s="24" t="s">
        <v>33</v>
      </c>
      <c r="B18" s="39">
        <v>1333290</v>
      </c>
      <c r="C18" s="39">
        <v>1329660</v>
      </c>
      <c r="D18" s="39">
        <v>1325217</v>
      </c>
      <c r="E18" s="39">
        <v>1320174</v>
      </c>
      <c r="F18" s="39">
        <v>1315819</v>
      </c>
      <c r="G18" s="39">
        <v>1314870</v>
      </c>
      <c r="H18" s="39">
        <v>1315944</v>
      </c>
      <c r="I18" s="39">
        <v>1315635</v>
      </c>
      <c r="J18" s="39">
        <v>1319133</v>
      </c>
      <c r="K18" s="39">
        <v>1324820</v>
      </c>
      <c r="L18" s="39">
        <v>1328976</v>
      </c>
      <c r="M18" s="39">
        <v>1330068</v>
      </c>
      <c r="O18" s="9">
        <v>1322440</v>
      </c>
      <c r="P18" s="9">
        <v>1308435</v>
      </c>
    </row>
    <row r="19" spans="1:18" s="9" customFormat="1" x14ac:dyDescent="0.3">
      <c r="A19" s="24" t="s">
        <v>39</v>
      </c>
      <c r="B19" s="38">
        <v>4549428</v>
      </c>
      <c r="C19" s="38">
        <v>4570881</v>
      </c>
      <c r="D19" s="38">
        <v>4589287</v>
      </c>
      <c r="E19" s="38">
        <v>4609779</v>
      </c>
      <c r="F19" s="38">
        <v>4637852</v>
      </c>
      <c r="G19" s="38">
        <v>4677627</v>
      </c>
      <c r="H19" s="38">
        <v>4726286</v>
      </c>
      <c r="I19" s="38">
        <v>4784383</v>
      </c>
      <c r="J19" s="38">
        <v>4830392</v>
      </c>
      <c r="K19" s="38">
        <v>4904240</v>
      </c>
      <c r="L19" s="38">
        <v>4964440</v>
      </c>
      <c r="M19" s="38">
        <v>5006324</v>
      </c>
    </row>
    <row r="20" spans="1:18" s="9" customFormat="1" x14ac:dyDescent="0.3">
      <c r="A20" s="24" t="s">
        <v>37</v>
      </c>
      <c r="B20" s="39">
        <v>11119289</v>
      </c>
      <c r="C20" s="39">
        <v>11123392</v>
      </c>
      <c r="D20" s="39">
        <v>11086406</v>
      </c>
      <c r="E20" s="39">
        <v>11003615</v>
      </c>
      <c r="F20" s="39">
        <v>10926807</v>
      </c>
      <c r="G20" s="39">
        <v>10858018</v>
      </c>
      <c r="H20" s="39">
        <v>10783748</v>
      </c>
      <c r="I20" s="39">
        <v>10768193</v>
      </c>
      <c r="J20" s="39">
        <v>10741165</v>
      </c>
      <c r="K20" s="39">
        <v>10724599</v>
      </c>
      <c r="L20" s="39">
        <v>10718565</v>
      </c>
      <c r="M20" s="39">
        <v>10678632</v>
      </c>
    </row>
    <row r="21" spans="1:18" s="9" customFormat="1" x14ac:dyDescent="0.3">
      <c r="A21" s="24" t="s">
        <v>49</v>
      </c>
      <c r="B21" s="38">
        <v>46486619</v>
      </c>
      <c r="C21" s="38">
        <v>46667174</v>
      </c>
      <c r="D21" s="38">
        <v>46818219</v>
      </c>
      <c r="E21" s="38">
        <v>46727890</v>
      </c>
      <c r="F21" s="38">
        <v>46512199</v>
      </c>
      <c r="G21" s="38">
        <v>46449565</v>
      </c>
      <c r="H21" s="38">
        <v>46440099</v>
      </c>
      <c r="I21" s="38">
        <v>46528024</v>
      </c>
      <c r="J21" s="38">
        <v>46658447</v>
      </c>
      <c r="K21" s="38">
        <v>46937060</v>
      </c>
      <c r="L21" s="38">
        <v>47332614</v>
      </c>
      <c r="M21" s="38">
        <v>47398695</v>
      </c>
      <c r="O21" s="82">
        <v>48310619</v>
      </c>
      <c r="P21" s="82">
        <v>48746399</v>
      </c>
    </row>
    <row r="22" spans="1:18" s="9" customFormat="1" x14ac:dyDescent="0.3">
      <c r="A22" s="24" t="s">
        <v>35</v>
      </c>
      <c r="B22" s="39">
        <v>64658856</v>
      </c>
      <c r="C22" s="39">
        <v>64978721</v>
      </c>
      <c r="D22" s="39">
        <v>65276983</v>
      </c>
      <c r="E22" s="39">
        <v>65600350</v>
      </c>
      <c r="F22" s="39">
        <v>66165980</v>
      </c>
      <c r="G22" s="39">
        <v>66458153</v>
      </c>
      <c r="H22" s="39">
        <v>66638391</v>
      </c>
      <c r="I22" s="39">
        <v>66809816</v>
      </c>
      <c r="J22" s="39">
        <v>67026224</v>
      </c>
      <c r="K22" s="39">
        <v>67290471</v>
      </c>
      <c r="L22" s="39">
        <v>67485531</v>
      </c>
      <c r="M22" s="39">
        <v>67656682</v>
      </c>
      <c r="O22" s="103">
        <v>68036808</v>
      </c>
      <c r="P22" s="103">
        <v>68749400</v>
      </c>
    </row>
    <row r="23" spans="1:18" s="9" customFormat="1" x14ac:dyDescent="0.3">
      <c r="A23" s="24" t="s">
        <v>131</v>
      </c>
      <c r="B23" s="38">
        <v>62765235</v>
      </c>
      <c r="C23" s="38">
        <v>63070344</v>
      </c>
      <c r="D23" s="38">
        <v>63375971</v>
      </c>
      <c r="E23" s="38">
        <v>63697865</v>
      </c>
      <c r="F23" s="38" t="s">
        <v>51</v>
      </c>
      <c r="G23" s="38" t="s">
        <v>51</v>
      </c>
      <c r="H23" s="38" t="s">
        <v>51</v>
      </c>
      <c r="I23" s="38" t="s">
        <v>51</v>
      </c>
      <c r="J23" s="38" t="s">
        <v>51</v>
      </c>
      <c r="K23" s="38" t="s">
        <v>51</v>
      </c>
      <c r="L23" s="38" t="s">
        <v>51</v>
      </c>
      <c r="M23" s="38" t="s">
        <v>51</v>
      </c>
    </row>
    <row r="24" spans="1:18" s="9" customFormat="1" x14ac:dyDescent="0.3">
      <c r="A24" s="24" t="s">
        <v>29</v>
      </c>
      <c r="B24" s="39">
        <v>4302847</v>
      </c>
      <c r="C24" s="39">
        <v>4289857</v>
      </c>
      <c r="D24" s="39">
        <v>4275984</v>
      </c>
      <c r="E24" s="39">
        <v>4262140</v>
      </c>
      <c r="F24" s="39">
        <v>4246809</v>
      </c>
      <c r="G24" s="39">
        <v>4225316</v>
      </c>
      <c r="H24" s="39">
        <v>4190669</v>
      </c>
      <c r="I24" s="39">
        <v>4154213</v>
      </c>
      <c r="J24" s="39">
        <v>4105493</v>
      </c>
      <c r="K24" s="39">
        <v>4076246</v>
      </c>
      <c r="L24" s="39">
        <v>4058165</v>
      </c>
      <c r="M24" s="39">
        <v>4036355</v>
      </c>
    </row>
    <row r="25" spans="1:18" s="9" customFormat="1" x14ac:dyDescent="0.3">
      <c r="A25" s="24" t="s">
        <v>40</v>
      </c>
      <c r="B25" s="38">
        <v>59190143</v>
      </c>
      <c r="C25" s="38">
        <v>59364690</v>
      </c>
      <c r="D25" s="38">
        <v>59394207</v>
      </c>
      <c r="E25" s="38">
        <v>59685227</v>
      </c>
      <c r="F25" s="38">
        <v>60782668</v>
      </c>
      <c r="G25" s="38">
        <v>60795612</v>
      </c>
      <c r="H25" s="38">
        <v>60665551</v>
      </c>
      <c r="I25" s="38">
        <v>60589445</v>
      </c>
      <c r="J25" s="38">
        <v>60483973</v>
      </c>
      <c r="K25" s="38">
        <v>59816673</v>
      </c>
      <c r="L25" s="38">
        <v>59641488</v>
      </c>
      <c r="M25" s="38">
        <v>59236213</v>
      </c>
    </row>
    <row r="26" spans="1:18" s="9" customFormat="1" x14ac:dyDescent="0.3">
      <c r="A26" s="24" t="s">
        <v>30</v>
      </c>
      <c r="B26" s="39">
        <v>819140</v>
      </c>
      <c r="C26" s="39">
        <v>839751</v>
      </c>
      <c r="D26" s="39">
        <v>862011</v>
      </c>
      <c r="E26" s="39">
        <v>865878</v>
      </c>
      <c r="F26" s="39">
        <v>858000</v>
      </c>
      <c r="G26" s="39">
        <v>847008</v>
      </c>
      <c r="H26" s="39">
        <v>848319</v>
      </c>
      <c r="I26" s="39">
        <v>854802</v>
      </c>
      <c r="J26" s="39">
        <v>864236</v>
      </c>
      <c r="K26" s="39">
        <v>875899</v>
      </c>
      <c r="L26" s="39">
        <v>888005</v>
      </c>
      <c r="M26" s="39">
        <v>896007</v>
      </c>
    </row>
    <row r="27" spans="1:18" s="9" customFormat="1" x14ac:dyDescent="0.3">
      <c r="A27" s="24" t="s">
        <v>0</v>
      </c>
      <c r="B27" s="38">
        <v>2120504</v>
      </c>
      <c r="C27" s="38">
        <v>2074605</v>
      </c>
      <c r="D27" s="38">
        <v>2044813</v>
      </c>
      <c r="E27" s="38">
        <v>2023825</v>
      </c>
      <c r="F27" s="38">
        <v>2001468</v>
      </c>
      <c r="G27" s="38">
        <v>1986096</v>
      </c>
      <c r="H27" s="38">
        <v>1968957</v>
      </c>
      <c r="I27" s="38">
        <v>1950116</v>
      </c>
      <c r="J27" s="38">
        <v>1934379</v>
      </c>
      <c r="K27" s="38">
        <v>1919968</v>
      </c>
      <c r="L27" s="38">
        <v>1907675</v>
      </c>
      <c r="M27" s="38">
        <v>1893223</v>
      </c>
      <c r="O27" s="93">
        <v>1815550</v>
      </c>
      <c r="P27" s="93">
        <v>1712746</v>
      </c>
    </row>
    <row r="28" spans="1:18" s="9" customFormat="1" x14ac:dyDescent="0.3">
      <c r="A28" s="24" t="s">
        <v>41</v>
      </c>
      <c r="B28" s="39">
        <v>3141976</v>
      </c>
      <c r="C28" s="39">
        <v>3052588</v>
      </c>
      <c r="D28" s="39">
        <v>3003641</v>
      </c>
      <c r="E28" s="39">
        <v>2971905</v>
      </c>
      <c r="F28" s="39">
        <v>2943472</v>
      </c>
      <c r="G28" s="39">
        <v>2921262</v>
      </c>
      <c r="H28" s="39">
        <v>2888558</v>
      </c>
      <c r="I28" s="39">
        <v>2847904</v>
      </c>
      <c r="J28" s="39">
        <v>2808901</v>
      </c>
      <c r="K28" s="39">
        <v>2794184</v>
      </c>
      <c r="L28" s="39">
        <v>2794090</v>
      </c>
      <c r="M28" s="39">
        <v>2795680</v>
      </c>
      <c r="O28" s="98">
        <v>2707915</v>
      </c>
      <c r="P28" s="99">
        <v>2575553</v>
      </c>
      <c r="R28" s="97"/>
    </row>
    <row r="29" spans="1:18" s="9" customFormat="1" x14ac:dyDescent="0.3">
      <c r="A29" s="24" t="s">
        <v>42</v>
      </c>
      <c r="B29" s="38">
        <v>502066</v>
      </c>
      <c r="C29" s="38">
        <v>511840</v>
      </c>
      <c r="D29" s="38">
        <v>524853</v>
      </c>
      <c r="E29" s="38">
        <v>537039</v>
      </c>
      <c r="F29" s="38">
        <v>549680</v>
      </c>
      <c r="G29" s="38">
        <v>562958</v>
      </c>
      <c r="H29" s="38">
        <v>576249</v>
      </c>
      <c r="I29" s="38">
        <v>590667</v>
      </c>
      <c r="J29" s="38">
        <v>602005</v>
      </c>
      <c r="K29" s="38">
        <v>613894</v>
      </c>
      <c r="L29" s="38">
        <v>626108</v>
      </c>
      <c r="M29" s="38">
        <v>634730</v>
      </c>
    </row>
    <row r="30" spans="1:18" s="9" customFormat="1" x14ac:dyDescent="0.3">
      <c r="A30" s="24" t="s">
        <v>38</v>
      </c>
      <c r="B30" s="39">
        <v>10014324</v>
      </c>
      <c r="C30" s="39">
        <v>9985722</v>
      </c>
      <c r="D30" s="39">
        <v>9931925</v>
      </c>
      <c r="E30" s="39">
        <v>9908798</v>
      </c>
      <c r="F30" s="39">
        <v>9877365</v>
      </c>
      <c r="G30" s="39">
        <v>9855571</v>
      </c>
      <c r="H30" s="39">
        <v>9830485</v>
      </c>
      <c r="I30" s="39">
        <v>9797561</v>
      </c>
      <c r="J30" s="39">
        <v>9778371</v>
      </c>
      <c r="K30" s="39">
        <v>9772756</v>
      </c>
      <c r="L30" s="39">
        <v>9769526</v>
      </c>
      <c r="M30" s="39">
        <v>9730772</v>
      </c>
    </row>
    <row r="31" spans="1:18" s="9" customFormat="1" x14ac:dyDescent="0.3">
      <c r="A31" s="24" t="s">
        <v>43</v>
      </c>
      <c r="B31" s="38">
        <v>414027</v>
      </c>
      <c r="C31" s="38">
        <v>414989</v>
      </c>
      <c r="D31" s="38">
        <v>417546</v>
      </c>
      <c r="E31" s="38">
        <v>422509</v>
      </c>
      <c r="F31" s="38">
        <v>429424</v>
      </c>
      <c r="G31" s="38">
        <v>439691</v>
      </c>
      <c r="H31" s="38">
        <v>450415</v>
      </c>
      <c r="I31" s="38">
        <v>460297</v>
      </c>
      <c r="J31" s="38">
        <v>475701</v>
      </c>
      <c r="K31" s="38">
        <v>493559</v>
      </c>
      <c r="L31" s="38">
        <v>514564</v>
      </c>
      <c r="M31" s="38">
        <v>516100</v>
      </c>
    </row>
    <row r="32" spans="1:18" s="9" customFormat="1" x14ac:dyDescent="0.3">
      <c r="A32" s="24" t="s">
        <v>44</v>
      </c>
      <c r="B32" s="39">
        <v>16574989</v>
      </c>
      <c r="C32" s="39">
        <v>16655799</v>
      </c>
      <c r="D32" s="39">
        <v>16730348</v>
      </c>
      <c r="E32" s="39">
        <v>16779575</v>
      </c>
      <c r="F32" s="39">
        <v>16829289</v>
      </c>
      <c r="G32" s="39">
        <v>16900726</v>
      </c>
      <c r="H32" s="39">
        <v>16979120</v>
      </c>
      <c r="I32" s="39">
        <v>17081507</v>
      </c>
      <c r="J32" s="39">
        <v>17181084</v>
      </c>
      <c r="K32" s="39">
        <v>17282163</v>
      </c>
      <c r="L32" s="39">
        <v>17407585</v>
      </c>
      <c r="M32" s="39">
        <v>17475415</v>
      </c>
      <c r="O32" s="82">
        <v>17751055</v>
      </c>
      <c r="P32" s="82">
        <v>17969884</v>
      </c>
    </row>
    <row r="33" spans="1:18" s="9" customFormat="1" x14ac:dyDescent="0.3">
      <c r="A33" s="24" t="s">
        <v>26</v>
      </c>
      <c r="B33" s="38">
        <v>8351643</v>
      </c>
      <c r="C33" s="38">
        <v>8375164</v>
      </c>
      <c r="D33" s="38">
        <v>8408121</v>
      </c>
      <c r="E33" s="38">
        <v>8451860</v>
      </c>
      <c r="F33" s="38">
        <v>8507786</v>
      </c>
      <c r="G33" s="38">
        <v>8584926</v>
      </c>
      <c r="H33" s="38">
        <v>8700471</v>
      </c>
      <c r="I33" s="38">
        <v>8772865</v>
      </c>
      <c r="J33" s="38">
        <v>8822267</v>
      </c>
      <c r="K33" s="38">
        <v>8858775</v>
      </c>
      <c r="L33" s="38">
        <v>8901064</v>
      </c>
      <c r="M33" s="38">
        <v>8932664</v>
      </c>
      <c r="O33" s="9">
        <v>9029008</v>
      </c>
      <c r="P33" s="9">
        <v>9149001</v>
      </c>
    </row>
    <row r="34" spans="1:18" s="9" customFormat="1" x14ac:dyDescent="0.3">
      <c r="A34" s="24" t="s">
        <v>14</v>
      </c>
      <c r="B34" s="39">
        <v>38022869</v>
      </c>
      <c r="C34" s="39">
        <v>38062718</v>
      </c>
      <c r="D34" s="39">
        <v>38063792</v>
      </c>
      <c r="E34" s="39">
        <v>38062535</v>
      </c>
      <c r="F34" s="39">
        <v>38017856</v>
      </c>
      <c r="G34" s="39">
        <v>38005614</v>
      </c>
      <c r="H34" s="39">
        <v>37967209</v>
      </c>
      <c r="I34" s="39">
        <v>37972964</v>
      </c>
      <c r="J34" s="39">
        <v>37976687</v>
      </c>
      <c r="K34" s="39">
        <v>37972812</v>
      </c>
      <c r="L34" s="39">
        <v>37958138</v>
      </c>
      <c r="M34" s="39">
        <v>37840001</v>
      </c>
      <c r="O34" s="94">
        <v>37567248</v>
      </c>
      <c r="P34" s="94">
        <v>37018453</v>
      </c>
    </row>
    <row r="35" spans="1:18" s="9" customFormat="1" x14ac:dyDescent="0.3">
      <c r="A35" s="24" t="s">
        <v>45</v>
      </c>
      <c r="B35" s="38">
        <v>10573479</v>
      </c>
      <c r="C35" s="38">
        <v>10572721</v>
      </c>
      <c r="D35" s="38">
        <v>10542398</v>
      </c>
      <c r="E35" s="38">
        <v>10487289</v>
      </c>
      <c r="F35" s="38">
        <v>10427301</v>
      </c>
      <c r="G35" s="38">
        <v>10374822</v>
      </c>
      <c r="H35" s="38">
        <v>10341330</v>
      </c>
      <c r="I35" s="38">
        <v>10309573</v>
      </c>
      <c r="J35" s="38">
        <v>10291027</v>
      </c>
      <c r="K35" s="38">
        <v>10276617</v>
      </c>
      <c r="L35" s="38">
        <v>10295909</v>
      </c>
      <c r="M35" s="38">
        <v>10298252</v>
      </c>
    </row>
    <row r="36" spans="1:18" s="9" customFormat="1" x14ac:dyDescent="0.3">
      <c r="A36" s="24" t="s">
        <v>46</v>
      </c>
      <c r="B36" s="39">
        <v>20294683</v>
      </c>
      <c r="C36" s="39">
        <v>20199059</v>
      </c>
      <c r="D36" s="39">
        <v>20095996</v>
      </c>
      <c r="E36" s="39">
        <v>20020074</v>
      </c>
      <c r="F36" s="39">
        <v>19947311</v>
      </c>
      <c r="G36" s="39">
        <v>19870647</v>
      </c>
      <c r="H36" s="39">
        <v>19760585</v>
      </c>
      <c r="I36" s="39">
        <v>19643949</v>
      </c>
      <c r="J36" s="39">
        <v>19533481</v>
      </c>
      <c r="K36" s="39">
        <v>19414458</v>
      </c>
      <c r="L36" s="39">
        <v>19328838</v>
      </c>
      <c r="M36" s="39">
        <v>19201662</v>
      </c>
    </row>
    <row r="37" spans="1:18" s="9" customFormat="1" x14ac:dyDescent="0.3">
      <c r="A37" s="24" t="s">
        <v>48</v>
      </c>
      <c r="B37" s="38">
        <v>2046976</v>
      </c>
      <c r="C37" s="38">
        <v>2050189</v>
      </c>
      <c r="D37" s="38">
        <v>2055496</v>
      </c>
      <c r="E37" s="38">
        <v>2058821</v>
      </c>
      <c r="F37" s="38">
        <v>2061085</v>
      </c>
      <c r="G37" s="38">
        <v>2062874</v>
      </c>
      <c r="H37" s="38">
        <v>2064188</v>
      </c>
      <c r="I37" s="38">
        <v>2065895</v>
      </c>
      <c r="J37" s="38">
        <v>2066880</v>
      </c>
      <c r="K37" s="38">
        <v>2080908</v>
      </c>
      <c r="L37" s="38">
        <v>2095861</v>
      </c>
      <c r="M37" s="38">
        <v>2108977</v>
      </c>
    </row>
    <row r="38" spans="1:18" s="9" customFormat="1" x14ac:dyDescent="0.3">
      <c r="A38" s="24" t="s">
        <v>47</v>
      </c>
      <c r="B38" s="39">
        <v>5390410</v>
      </c>
      <c r="C38" s="39">
        <v>5392446</v>
      </c>
      <c r="D38" s="39">
        <v>5404322</v>
      </c>
      <c r="E38" s="39">
        <v>5410836</v>
      </c>
      <c r="F38" s="39">
        <v>5415949</v>
      </c>
      <c r="G38" s="39">
        <v>5421349</v>
      </c>
      <c r="H38" s="39">
        <v>5426252</v>
      </c>
      <c r="I38" s="39">
        <v>5435343</v>
      </c>
      <c r="J38" s="39">
        <v>5443120</v>
      </c>
      <c r="K38" s="39">
        <v>5450421</v>
      </c>
      <c r="L38" s="39">
        <v>5457873</v>
      </c>
      <c r="M38" s="39">
        <v>5459781</v>
      </c>
    </row>
    <row r="39" spans="1:18" s="9" customFormat="1" x14ac:dyDescent="0.3">
      <c r="A39" s="24" t="s">
        <v>7</v>
      </c>
      <c r="B39" s="38">
        <v>5351427</v>
      </c>
      <c r="C39" s="38">
        <v>5375276</v>
      </c>
      <c r="D39" s="38">
        <v>5401267</v>
      </c>
      <c r="E39" s="38">
        <v>5426674</v>
      </c>
      <c r="F39" s="38">
        <v>5451270</v>
      </c>
      <c r="G39" s="38">
        <v>5471753</v>
      </c>
      <c r="H39" s="38">
        <v>5487308</v>
      </c>
      <c r="I39" s="38">
        <v>5503297</v>
      </c>
      <c r="J39" s="38">
        <v>5513130</v>
      </c>
      <c r="K39" s="38">
        <v>5517919</v>
      </c>
      <c r="L39" s="38">
        <v>5525292</v>
      </c>
      <c r="M39" s="38">
        <v>5533793</v>
      </c>
      <c r="O39" s="10">
        <v>5576186</v>
      </c>
      <c r="P39" s="10">
        <v>5598821</v>
      </c>
      <c r="R39" s="9" t="s">
        <v>242</v>
      </c>
    </row>
    <row r="40" spans="1:18" s="9" customFormat="1" x14ac:dyDescent="0.3">
      <c r="A40" s="24" t="s">
        <v>1</v>
      </c>
      <c r="B40" s="39">
        <v>9340682</v>
      </c>
      <c r="C40" s="39">
        <v>9415570</v>
      </c>
      <c r="D40" s="39">
        <v>9482855</v>
      </c>
      <c r="E40" s="39">
        <v>9555893</v>
      </c>
      <c r="F40" s="39">
        <v>9644864</v>
      </c>
      <c r="G40" s="39">
        <v>9747355</v>
      </c>
      <c r="H40" s="39">
        <v>9851017</v>
      </c>
      <c r="I40" s="39">
        <v>9995153</v>
      </c>
      <c r="J40" s="39">
        <v>10120242</v>
      </c>
      <c r="K40" s="39">
        <v>10230185</v>
      </c>
      <c r="L40" s="39">
        <v>10327589</v>
      </c>
      <c r="M40" s="39">
        <v>10379295</v>
      </c>
      <c r="O40" s="10">
        <v>10625349.0002</v>
      </c>
      <c r="P40" s="9">
        <v>10869078.0035</v>
      </c>
    </row>
    <row r="41" spans="1:18" s="9" customFormat="1" x14ac:dyDescent="0.3">
      <c r="A41" s="24" t="s">
        <v>132</v>
      </c>
      <c r="B41" s="38">
        <v>317630</v>
      </c>
      <c r="C41" s="38">
        <v>318452</v>
      </c>
      <c r="D41" s="38">
        <v>319575</v>
      </c>
      <c r="E41" s="38">
        <v>321857</v>
      </c>
      <c r="F41" s="38">
        <v>325671</v>
      </c>
      <c r="G41" s="38">
        <v>329100</v>
      </c>
      <c r="H41" s="38">
        <v>332529</v>
      </c>
      <c r="I41" s="38">
        <v>338349</v>
      </c>
      <c r="J41" s="38">
        <v>348450</v>
      </c>
      <c r="K41" s="38">
        <v>356991</v>
      </c>
      <c r="L41" s="38">
        <v>364134</v>
      </c>
      <c r="M41" s="38">
        <v>368792</v>
      </c>
    </row>
    <row r="42" spans="1:18" s="9" customFormat="1" x14ac:dyDescent="0.3">
      <c r="A42" s="24" t="s">
        <v>133</v>
      </c>
      <c r="B42" s="39">
        <v>35894</v>
      </c>
      <c r="C42" s="39">
        <v>36149</v>
      </c>
      <c r="D42" s="39">
        <v>36475</v>
      </c>
      <c r="E42" s="39">
        <v>36838</v>
      </c>
      <c r="F42" s="39">
        <v>37129</v>
      </c>
      <c r="G42" s="39">
        <v>37366</v>
      </c>
      <c r="H42" s="39">
        <v>37622</v>
      </c>
      <c r="I42" s="39">
        <v>37810</v>
      </c>
      <c r="J42" s="39">
        <v>38114</v>
      </c>
      <c r="K42" s="39">
        <v>38378</v>
      </c>
      <c r="L42" s="39">
        <v>38747</v>
      </c>
      <c r="M42" s="39">
        <v>39055</v>
      </c>
    </row>
    <row r="43" spans="1:18" s="9" customFormat="1" x14ac:dyDescent="0.3">
      <c r="A43" s="24" t="s">
        <v>6</v>
      </c>
      <c r="B43" s="38">
        <v>4858199</v>
      </c>
      <c r="C43" s="38">
        <v>4920305</v>
      </c>
      <c r="D43" s="38">
        <v>4985870</v>
      </c>
      <c r="E43" s="38">
        <v>5051275</v>
      </c>
      <c r="F43" s="38">
        <v>5107970</v>
      </c>
      <c r="G43" s="38">
        <v>5166493</v>
      </c>
      <c r="H43" s="38">
        <v>5210721</v>
      </c>
      <c r="I43" s="38">
        <v>5258317</v>
      </c>
      <c r="J43" s="38">
        <v>5295619</v>
      </c>
      <c r="K43" s="38">
        <v>5328212</v>
      </c>
      <c r="L43" s="38">
        <v>5367580</v>
      </c>
      <c r="M43" s="38">
        <v>5391369</v>
      </c>
      <c r="O43" s="9">
        <v>5497555</v>
      </c>
      <c r="P43" s="9">
        <v>5625562</v>
      </c>
      <c r="R43" s="9" t="s">
        <v>240</v>
      </c>
    </row>
    <row r="44" spans="1:18" s="9" customFormat="1" x14ac:dyDescent="0.3">
      <c r="A44" s="24" t="s">
        <v>134</v>
      </c>
      <c r="B44" s="39">
        <v>7785806</v>
      </c>
      <c r="C44" s="39">
        <v>7870134</v>
      </c>
      <c r="D44" s="39">
        <v>7954662</v>
      </c>
      <c r="E44" s="39">
        <v>8039060</v>
      </c>
      <c r="F44" s="39">
        <v>8139631</v>
      </c>
      <c r="G44" s="39">
        <v>8237666</v>
      </c>
      <c r="H44" s="39">
        <v>8327126</v>
      </c>
      <c r="I44" s="39">
        <v>8419550</v>
      </c>
      <c r="J44" s="39">
        <v>8484130</v>
      </c>
      <c r="K44" s="39">
        <v>8544527</v>
      </c>
      <c r="L44" s="39">
        <v>8606033</v>
      </c>
      <c r="M44" s="39">
        <v>8670300</v>
      </c>
      <c r="O44" s="103">
        <v>8811474</v>
      </c>
      <c r="P44" s="103">
        <v>9076646</v>
      </c>
    </row>
    <row r="45" spans="1:18" s="9" customFormat="1" x14ac:dyDescent="0.3">
      <c r="A45" s="24" t="s">
        <v>135</v>
      </c>
      <c r="B45" s="38">
        <v>62510197</v>
      </c>
      <c r="C45" s="38">
        <v>63022532</v>
      </c>
      <c r="D45" s="38">
        <v>63495088</v>
      </c>
      <c r="E45" s="38">
        <v>63905342</v>
      </c>
      <c r="F45" s="38">
        <v>64351203</v>
      </c>
      <c r="G45" s="38">
        <v>64853393</v>
      </c>
      <c r="H45" s="38">
        <v>65379044</v>
      </c>
      <c r="I45" s="38">
        <v>65844142</v>
      </c>
      <c r="J45" s="38">
        <v>66273576</v>
      </c>
      <c r="K45" s="38">
        <v>66647112</v>
      </c>
      <c r="L45" s="38">
        <v>67025542</v>
      </c>
      <c r="M45" s="38" t="s">
        <v>51</v>
      </c>
      <c r="O45" s="10" cm="1">
        <f t="array" ref="O45">TREND(B45:L45,B8:L8,O8)</f>
        <v>69420283.727272749</v>
      </c>
      <c r="P45" s="10" cm="1">
        <f t="array" ref="P45">TREND(B45:L45,B8:L8,P8)</f>
        <v>71707372.363636374</v>
      </c>
      <c r="R45" s="9" t="s">
        <v>307</v>
      </c>
    </row>
    <row r="46" spans="1:18" s="9" customFormat="1" x14ac:dyDescent="0.3">
      <c r="A46" s="24" t="s">
        <v>136</v>
      </c>
      <c r="B46" s="39">
        <v>619001</v>
      </c>
      <c r="C46" s="39">
        <v>619850</v>
      </c>
      <c r="D46" s="39">
        <v>620308</v>
      </c>
      <c r="E46" s="39">
        <v>620893</v>
      </c>
      <c r="F46" s="39">
        <v>621521</v>
      </c>
      <c r="G46" s="39">
        <v>622099</v>
      </c>
      <c r="H46" s="39">
        <v>622218</v>
      </c>
      <c r="I46" s="39">
        <v>622387</v>
      </c>
      <c r="J46" s="39">
        <v>622359</v>
      </c>
      <c r="K46" s="39">
        <v>622182</v>
      </c>
      <c r="L46" s="39">
        <v>621873</v>
      </c>
      <c r="M46" s="39">
        <v>620739</v>
      </c>
    </row>
    <row r="47" spans="1:18" s="9" customFormat="1" x14ac:dyDescent="0.3">
      <c r="A47" s="24" t="s">
        <v>137</v>
      </c>
      <c r="B47" s="38">
        <v>2052722</v>
      </c>
      <c r="C47" s="38">
        <v>2057284</v>
      </c>
      <c r="D47" s="38">
        <v>2059794</v>
      </c>
      <c r="E47" s="38">
        <v>2062294</v>
      </c>
      <c r="F47" s="38">
        <v>2065769</v>
      </c>
      <c r="G47" s="38">
        <v>2069172</v>
      </c>
      <c r="H47" s="38">
        <v>2071278</v>
      </c>
      <c r="I47" s="38">
        <v>2073702</v>
      </c>
      <c r="J47" s="38">
        <v>2075301</v>
      </c>
      <c r="K47" s="38">
        <v>2077132</v>
      </c>
      <c r="L47" s="38">
        <v>2076255</v>
      </c>
      <c r="M47" s="38">
        <v>2068808</v>
      </c>
    </row>
    <row r="48" spans="1:18" s="9" customFormat="1" ht="11.4" customHeight="1" x14ac:dyDescent="0.3">
      <c r="A48" s="24" t="s">
        <v>138</v>
      </c>
      <c r="B48" s="39">
        <v>2918674</v>
      </c>
      <c r="C48" s="39">
        <v>2907361</v>
      </c>
      <c r="D48" s="39">
        <v>2903008</v>
      </c>
      <c r="E48" s="39">
        <v>2897770</v>
      </c>
      <c r="F48" s="39">
        <v>2892394</v>
      </c>
      <c r="G48" s="39">
        <v>2885796</v>
      </c>
      <c r="H48" s="39">
        <v>2875592</v>
      </c>
      <c r="I48" s="39">
        <v>2876591</v>
      </c>
      <c r="J48" s="39">
        <v>2870324</v>
      </c>
      <c r="K48" s="39">
        <v>2862427</v>
      </c>
      <c r="L48" s="39">
        <v>2845955</v>
      </c>
      <c r="M48" s="39">
        <v>2829741</v>
      </c>
    </row>
    <row r="49" spans="1:13" s="9" customFormat="1" x14ac:dyDescent="0.3">
      <c r="A49" s="24" t="s">
        <v>139</v>
      </c>
      <c r="B49" s="38">
        <v>7306677</v>
      </c>
      <c r="C49" s="38">
        <v>7251549</v>
      </c>
      <c r="D49" s="38">
        <v>7216649</v>
      </c>
      <c r="E49" s="38">
        <v>7181505</v>
      </c>
      <c r="F49" s="38">
        <v>7146759</v>
      </c>
      <c r="G49" s="38">
        <v>7114393</v>
      </c>
      <c r="H49" s="38">
        <v>7076372</v>
      </c>
      <c r="I49" s="38">
        <v>7040272</v>
      </c>
      <c r="J49" s="38">
        <v>7001444</v>
      </c>
      <c r="K49" s="38">
        <v>6963764</v>
      </c>
      <c r="L49" s="38">
        <v>6926705</v>
      </c>
      <c r="M49" s="38">
        <v>6871547</v>
      </c>
    </row>
    <row r="50" spans="1:13" s="9" customFormat="1" x14ac:dyDescent="0.3">
      <c r="A50" s="24" t="s">
        <v>140</v>
      </c>
      <c r="B50" s="39">
        <v>72561312</v>
      </c>
      <c r="C50" s="39">
        <v>73722988</v>
      </c>
      <c r="D50" s="39">
        <v>74724269</v>
      </c>
      <c r="E50" s="39">
        <v>75627384</v>
      </c>
      <c r="F50" s="39">
        <v>76667864</v>
      </c>
      <c r="G50" s="39">
        <v>77695904</v>
      </c>
      <c r="H50" s="39">
        <v>78741053</v>
      </c>
      <c r="I50" s="39">
        <v>79814871</v>
      </c>
      <c r="J50" s="39">
        <v>80810525</v>
      </c>
      <c r="K50" s="39">
        <v>82003882</v>
      </c>
      <c r="L50" s="39">
        <v>83154997</v>
      </c>
      <c r="M50" s="39">
        <v>83614362</v>
      </c>
    </row>
    <row r="51" spans="1:13" s="9" customFormat="1" x14ac:dyDescent="0.3">
      <c r="A51" s="24" t="s">
        <v>141</v>
      </c>
      <c r="B51" s="38">
        <v>84082</v>
      </c>
      <c r="C51" s="38">
        <v>78115</v>
      </c>
      <c r="D51" s="38">
        <v>78115</v>
      </c>
      <c r="E51" s="38">
        <v>76246</v>
      </c>
      <c r="F51" s="38" t="s">
        <v>51</v>
      </c>
      <c r="G51" s="38" t="s">
        <v>51</v>
      </c>
      <c r="H51" s="38">
        <v>71732</v>
      </c>
      <c r="I51" s="38" t="s">
        <v>51</v>
      </c>
      <c r="J51" s="38">
        <v>74794</v>
      </c>
      <c r="K51" s="38">
        <v>76177</v>
      </c>
      <c r="L51" s="38">
        <v>77543</v>
      </c>
      <c r="M51" s="38" t="s">
        <v>51</v>
      </c>
    </row>
    <row r="52" spans="1:13" s="9" customFormat="1" x14ac:dyDescent="0.3">
      <c r="A52" s="24" t="s">
        <v>142</v>
      </c>
      <c r="B52" s="39">
        <v>9480178</v>
      </c>
      <c r="C52" s="39">
        <v>9481193</v>
      </c>
      <c r="D52" s="39">
        <v>9465150</v>
      </c>
      <c r="E52" s="39">
        <v>9463840</v>
      </c>
      <c r="F52" s="39">
        <v>9468154</v>
      </c>
      <c r="G52" s="39">
        <v>9480868</v>
      </c>
      <c r="H52" s="39">
        <v>9498364</v>
      </c>
      <c r="I52" s="39">
        <v>9504704</v>
      </c>
      <c r="J52" s="39">
        <v>9491823</v>
      </c>
      <c r="K52" s="39">
        <v>9475174</v>
      </c>
      <c r="L52" s="39">
        <v>9408350</v>
      </c>
      <c r="M52" s="39" t="s">
        <v>51</v>
      </c>
    </row>
    <row r="53" spans="1:13" s="9" customFormat="1" x14ac:dyDescent="0.3">
      <c r="A53" s="24" t="s">
        <v>143</v>
      </c>
      <c r="B53" s="38">
        <v>3844046</v>
      </c>
      <c r="C53" s="38">
        <v>3843183</v>
      </c>
      <c r="D53" s="38">
        <v>3839265</v>
      </c>
      <c r="E53" s="38">
        <v>3835645</v>
      </c>
      <c r="F53" s="38">
        <v>3830911</v>
      </c>
      <c r="G53" s="38">
        <v>3825334</v>
      </c>
      <c r="H53" s="38">
        <v>3515982</v>
      </c>
      <c r="I53" s="38">
        <v>3509728</v>
      </c>
      <c r="J53" s="38">
        <v>3500295</v>
      </c>
      <c r="K53" s="38">
        <v>3492018</v>
      </c>
      <c r="L53" s="38" t="s">
        <v>51</v>
      </c>
      <c r="M53" s="38" t="s">
        <v>51</v>
      </c>
    </row>
    <row r="54" spans="1:13" s="9" customFormat="1" x14ac:dyDescent="0.3">
      <c r="A54" s="24" t="s">
        <v>144</v>
      </c>
      <c r="B54" s="39">
        <v>2208107</v>
      </c>
      <c r="C54" s="39">
        <v>1794180</v>
      </c>
      <c r="D54" s="39">
        <v>1780021</v>
      </c>
      <c r="E54" s="39">
        <v>1815606</v>
      </c>
      <c r="F54" s="39">
        <v>1820631</v>
      </c>
      <c r="G54" s="39">
        <v>1804944</v>
      </c>
      <c r="H54" s="39">
        <v>1771604</v>
      </c>
      <c r="I54" s="39">
        <v>1783531</v>
      </c>
      <c r="J54" s="39">
        <v>1798506</v>
      </c>
      <c r="K54" s="39">
        <v>1795666</v>
      </c>
      <c r="L54" s="39">
        <v>1782115</v>
      </c>
      <c r="M54" s="39" t="s">
        <v>51</v>
      </c>
    </row>
    <row r="55" spans="1:13" s="9" customFormat="1" x14ac:dyDescent="0.3">
      <c r="A55" s="24" t="s">
        <v>145</v>
      </c>
      <c r="B55" s="38">
        <v>3563695</v>
      </c>
      <c r="C55" s="38">
        <v>3560430</v>
      </c>
      <c r="D55" s="38">
        <v>3559541</v>
      </c>
      <c r="E55" s="38">
        <v>3559497</v>
      </c>
      <c r="F55" s="38">
        <v>3557634</v>
      </c>
      <c r="G55" s="38">
        <v>3555159</v>
      </c>
      <c r="H55" s="38">
        <v>3553056</v>
      </c>
      <c r="I55" s="38">
        <v>3550852</v>
      </c>
      <c r="J55" s="38">
        <v>3547539</v>
      </c>
      <c r="K55" s="38" t="s">
        <v>51</v>
      </c>
      <c r="L55" s="38" t="s">
        <v>51</v>
      </c>
      <c r="M55" s="38" t="s">
        <v>51</v>
      </c>
    </row>
    <row r="56" spans="1:13" s="9" customFormat="1" x14ac:dyDescent="0.3">
      <c r="A56" s="24" t="s">
        <v>146</v>
      </c>
      <c r="B56" s="39" t="s">
        <v>51</v>
      </c>
      <c r="C56" s="39" t="s">
        <v>51</v>
      </c>
      <c r="D56" s="39" t="s">
        <v>51</v>
      </c>
      <c r="E56" s="39" t="s">
        <v>51</v>
      </c>
      <c r="F56" s="39" t="s">
        <v>51</v>
      </c>
      <c r="G56" s="39">
        <v>37700</v>
      </c>
      <c r="H56" s="39">
        <v>38200</v>
      </c>
      <c r="I56" s="39" t="s">
        <v>51</v>
      </c>
      <c r="J56" s="39">
        <v>38300</v>
      </c>
      <c r="K56" s="39">
        <v>38300</v>
      </c>
      <c r="L56" s="39" t="s">
        <v>51</v>
      </c>
      <c r="M56" s="39" t="s">
        <v>51</v>
      </c>
    </row>
    <row r="57" spans="1:13" x14ac:dyDescent="0.3">
      <c r="A57" s="24" t="s">
        <v>147</v>
      </c>
      <c r="B57" s="38">
        <v>141914509</v>
      </c>
      <c r="C57" s="38">
        <v>142856536</v>
      </c>
      <c r="D57" s="38">
        <v>143056383</v>
      </c>
      <c r="E57" s="38" t="s">
        <v>51</v>
      </c>
      <c r="F57" s="38">
        <v>143666931</v>
      </c>
      <c r="G57" s="38" t="s">
        <v>51</v>
      </c>
      <c r="H57" s="38" t="s">
        <v>51</v>
      </c>
      <c r="I57" s="38" t="s">
        <v>51</v>
      </c>
      <c r="J57" s="38" t="s">
        <v>51</v>
      </c>
      <c r="K57" s="38" t="s">
        <v>51</v>
      </c>
      <c r="L57" s="38" t="s">
        <v>51</v>
      </c>
      <c r="M57" s="38" t="s">
        <v>51</v>
      </c>
    </row>
    <row r="58" spans="1:13" x14ac:dyDescent="0.3">
      <c r="A58" s="24" t="s">
        <v>148</v>
      </c>
      <c r="B58" s="39" t="s">
        <v>51</v>
      </c>
      <c r="C58" s="39">
        <v>31863</v>
      </c>
      <c r="D58" s="39">
        <v>33376</v>
      </c>
      <c r="E58" s="39">
        <v>33562</v>
      </c>
      <c r="F58" s="39">
        <v>32520</v>
      </c>
      <c r="G58" s="39">
        <v>32789</v>
      </c>
      <c r="H58" s="39">
        <v>33005</v>
      </c>
      <c r="I58" s="39">
        <v>33196</v>
      </c>
      <c r="J58" s="39">
        <v>34453</v>
      </c>
      <c r="K58" s="39">
        <v>34590</v>
      </c>
      <c r="L58" s="39">
        <v>34735</v>
      </c>
      <c r="M58" s="39">
        <v>34805</v>
      </c>
    </row>
    <row r="59" spans="1:13" x14ac:dyDescent="0.3">
      <c r="A59" s="24" t="s">
        <v>149</v>
      </c>
      <c r="B59" s="38">
        <v>45782592</v>
      </c>
      <c r="C59" s="38">
        <v>45598179</v>
      </c>
      <c r="D59" s="38">
        <v>45453282</v>
      </c>
      <c r="E59" s="38">
        <v>45372692</v>
      </c>
      <c r="F59" s="38">
        <v>45245894</v>
      </c>
      <c r="G59" s="38">
        <v>42759661</v>
      </c>
      <c r="H59" s="38">
        <v>42590879</v>
      </c>
      <c r="I59" s="38">
        <v>42414905</v>
      </c>
      <c r="J59" s="38">
        <v>42216766</v>
      </c>
      <c r="K59" s="38">
        <v>41983564</v>
      </c>
      <c r="L59" s="38">
        <v>41732779</v>
      </c>
      <c r="M59" s="38">
        <v>41418717</v>
      </c>
    </row>
    <row r="60" spans="1:13" x14ac:dyDescent="0.3">
      <c r="A60" s="24" t="s">
        <v>150</v>
      </c>
      <c r="B60" s="39">
        <v>3249482</v>
      </c>
      <c r="C60" s="39">
        <v>3262650</v>
      </c>
      <c r="D60" s="39">
        <v>3274285</v>
      </c>
      <c r="E60" s="39">
        <v>3026878</v>
      </c>
      <c r="F60" s="39">
        <v>3017079</v>
      </c>
      <c r="G60" s="39">
        <v>3010598</v>
      </c>
      <c r="H60" s="39">
        <v>2998577</v>
      </c>
      <c r="I60" s="39">
        <v>2986151</v>
      </c>
      <c r="J60" s="39">
        <v>2972732</v>
      </c>
      <c r="K60" s="39">
        <v>2965269</v>
      </c>
      <c r="L60" s="39">
        <v>2959694</v>
      </c>
      <c r="M60" s="39">
        <v>2963251</v>
      </c>
    </row>
    <row r="61" spans="1:13" x14ac:dyDescent="0.3">
      <c r="A61" s="24" t="s">
        <v>151</v>
      </c>
      <c r="B61" s="38">
        <v>8997586</v>
      </c>
      <c r="C61" s="38">
        <v>9111078</v>
      </c>
      <c r="D61" s="38">
        <v>9235085</v>
      </c>
      <c r="E61" s="38">
        <v>9356483</v>
      </c>
      <c r="F61" s="38">
        <v>9477119</v>
      </c>
      <c r="G61" s="38">
        <v>9593038</v>
      </c>
      <c r="H61" s="38">
        <v>9705643</v>
      </c>
      <c r="I61" s="38">
        <v>9809981</v>
      </c>
      <c r="J61" s="38">
        <v>9898085</v>
      </c>
      <c r="K61" s="38">
        <v>9981457</v>
      </c>
      <c r="L61" s="38">
        <v>10067108</v>
      </c>
      <c r="M61" s="38">
        <v>10119133</v>
      </c>
    </row>
    <row r="62" spans="1:13" x14ac:dyDescent="0.3">
      <c r="A62" s="24" t="s">
        <v>152</v>
      </c>
      <c r="B62" s="39">
        <v>4436391</v>
      </c>
      <c r="C62" s="39">
        <v>4469250</v>
      </c>
      <c r="D62" s="39">
        <v>4497617</v>
      </c>
      <c r="E62" s="39" t="s">
        <v>51</v>
      </c>
      <c r="F62" s="39">
        <v>4490498</v>
      </c>
      <c r="G62" s="39">
        <v>3729500</v>
      </c>
      <c r="H62" s="39">
        <v>3720400</v>
      </c>
      <c r="I62" s="39">
        <v>3726374</v>
      </c>
      <c r="J62" s="39">
        <v>3729633</v>
      </c>
      <c r="K62" s="39">
        <v>3723464</v>
      </c>
      <c r="L62" s="39">
        <v>3716858</v>
      </c>
      <c r="M62" s="39" t="s">
        <v>51</v>
      </c>
    </row>
    <row r="63" spans="1:13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3">
      <c r="A64" s="37" t="s">
        <v>153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3">
      <c r="A65" s="37" t="s">
        <v>51</v>
      </c>
      <c r="B65" s="36" t="s">
        <v>52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3">
      <c r="A66" s="37" t="s">
        <v>154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3">
      <c r="A67" s="37" t="s">
        <v>126</v>
      </c>
      <c r="B67" s="36" t="s">
        <v>155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3">
      <c r="A68" s="37" t="s">
        <v>125</v>
      </c>
      <c r="B68" s="36" t="s">
        <v>156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x14ac:dyDescent="0.3">
      <c r="A69" s="37" t="s">
        <v>81</v>
      </c>
      <c r="B69" s="36" t="s">
        <v>157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x14ac:dyDescent="0.3">
      <c r="A70" s="37" t="s">
        <v>124</v>
      </c>
      <c r="B70" s="36" t="s">
        <v>158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3">
      <c r="A71" s="37" t="s">
        <v>129</v>
      </c>
      <c r="B71" s="36" t="s">
        <v>159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</sheetData>
  <pageMargins left="0.7" right="0.7" top="0.75" bottom="0.75" header="0.3" footer="0.3"/>
  <pageSetup paperSize="9" orientation="portrait" horizontalDpi="30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R69"/>
  <sheetViews>
    <sheetView workbookViewId="0">
      <pane xSplit="1" ySplit="4" topLeftCell="W5" activePane="bottomRight" state="frozen"/>
      <selection pane="topRight" activeCell="B1" sqref="B1"/>
      <selection pane="bottomLeft" activeCell="A5" sqref="A5"/>
      <selection pane="bottomRight" activeCell="AO5" sqref="AO5"/>
    </sheetView>
  </sheetViews>
  <sheetFormatPr defaultRowHeight="14.4" x14ac:dyDescent="0.3"/>
  <cols>
    <col min="1" max="1" width="16.6640625" customWidth="1"/>
    <col min="2" max="24" width="5.6640625" style="9" customWidth="1"/>
    <col min="25" max="34" width="5.6640625" customWidth="1"/>
    <col min="35" max="36" width="5.6640625" style="9" customWidth="1"/>
    <col min="41" max="42" width="9.109375" style="9"/>
    <col min="43" max="70" width="12.5546875" style="9" bestFit="1" customWidth="1"/>
  </cols>
  <sheetData>
    <row r="1" spans="1:70" x14ac:dyDescent="0.3">
      <c r="A1" t="s">
        <v>109</v>
      </c>
    </row>
    <row r="2" spans="1:70" x14ac:dyDescent="0.3">
      <c r="A2" t="s">
        <v>59</v>
      </c>
    </row>
    <row r="3" spans="1:70" x14ac:dyDescent="0.3">
      <c r="Z3" s="9"/>
      <c r="AA3" s="9"/>
      <c r="AB3" s="9"/>
      <c r="AC3" s="9"/>
      <c r="AD3" s="9"/>
      <c r="AE3" s="9"/>
      <c r="AF3" s="9"/>
      <c r="AG3" s="9"/>
      <c r="AH3" s="9"/>
      <c r="AL3" t="s">
        <v>110</v>
      </c>
    </row>
    <row r="4" spans="1:70" x14ac:dyDescent="0.3">
      <c r="A4" s="11" t="s">
        <v>15</v>
      </c>
      <c r="B4" s="11">
        <v>1987</v>
      </c>
      <c r="C4" s="11">
        <v>1988</v>
      </c>
      <c r="D4" s="11">
        <v>1989</v>
      </c>
      <c r="E4" s="11">
        <v>1990</v>
      </c>
      <c r="F4" s="11">
        <v>1991</v>
      </c>
      <c r="G4" s="11">
        <v>1992</v>
      </c>
      <c r="H4" s="11">
        <v>1993</v>
      </c>
      <c r="I4" s="11">
        <v>1994</v>
      </c>
      <c r="J4" s="11">
        <v>1995</v>
      </c>
      <c r="K4" s="11">
        <v>1996</v>
      </c>
      <c r="L4" s="11">
        <v>1997</v>
      </c>
      <c r="M4" s="11">
        <v>1998</v>
      </c>
      <c r="N4" s="11">
        <v>1999</v>
      </c>
      <c r="O4" s="11">
        <v>2000</v>
      </c>
      <c r="P4" s="11">
        <v>2001</v>
      </c>
      <c r="Q4" s="11">
        <v>2002</v>
      </c>
      <c r="R4" s="11">
        <v>2003</v>
      </c>
      <c r="S4" s="11">
        <v>2004</v>
      </c>
      <c r="T4" s="11">
        <v>2005</v>
      </c>
      <c r="U4" s="11">
        <v>2006</v>
      </c>
      <c r="V4" s="11">
        <v>2007</v>
      </c>
      <c r="W4" s="11">
        <v>2008</v>
      </c>
      <c r="X4" s="11">
        <v>2009</v>
      </c>
      <c r="Y4" s="11">
        <v>2010</v>
      </c>
      <c r="Z4" s="11">
        <v>2011</v>
      </c>
      <c r="AA4" s="11">
        <v>2012</v>
      </c>
      <c r="AB4" s="11">
        <v>2013</v>
      </c>
      <c r="AC4" s="11">
        <v>2014</v>
      </c>
      <c r="AD4" s="11">
        <v>2015</v>
      </c>
      <c r="AE4" s="11">
        <v>2016</v>
      </c>
      <c r="AF4" s="11">
        <v>2017</v>
      </c>
      <c r="AG4" s="11">
        <v>2018</v>
      </c>
      <c r="AH4" s="11">
        <v>2019</v>
      </c>
      <c r="AI4" s="11">
        <v>2020</v>
      </c>
      <c r="AJ4" s="11">
        <v>2021</v>
      </c>
      <c r="AL4" s="15" t="s">
        <v>57</v>
      </c>
      <c r="AM4" s="15" t="s">
        <v>58</v>
      </c>
      <c r="AO4" s="9">
        <v>2025</v>
      </c>
      <c r="AP4" s="9">
        <v>2030</v>
      </c>
    </row>
    <row r="5" spans="1:70" x14ac:dyDescent="0.3">
      <c r="A5" s="11" t="s">
        <v>26</v>
      </c>
      <c r="B5" s="32">
        <v>4056.48</v>
      </c>
      <c r="C5" s="32">
        <v>3731</v>
      </c>
      <c r="D5" s="32">
        <v>3595.02</v>
      </c>
      <c r="E5" s="32">
        <v>3653.29</v>
      </c>
      <c r="F5" s="32">
        <v>4007.59</v>
      </c>
      <c r="G5" s="32">
        <v>3595.32</v>
      </c>
      <c r="H5" s="32">
        <v>3766.17</v>
      </c>
      <c r="I5" s="32">
        <v>3367.48</v>
      </c>
      <c r="J5" s="32">
        <v>3799.04</v>
      </c>
      <c r="K5" s="32">
        <v>4119.3900000000003</v>
      </c>
      <c r="L5" s="32">
        <v>3684.86</v>
      </c>
      <c r="M5" s="32">
        <v>3714.68</v>
      </c>
      <c r="N5" s="32">
        <v>3670.18</v>
      </c>
      <c r="O5" s="32">
        <v>3408.97</v>
      </c>
      <c r="P5" s="32">
        <v>3747.09</v>
      </c>
      <c r="Q5" s="32">
        <v>3480.79</v>
      </c>
      <c r="R5" s="32">
        <v>3703.61</v>
      </c>
      <c r="S5" s="32">
        <v>3737.74</v>
      </c>
      <c r="T5" s="32">
        <v>3853.61</v>
      </c>
      <c r="U5" s="32">
        <v>3649.35</v>
      </c>
      <c r="V5" s="32">
        <v>3363.28</v>
      </c>
      <c r="W5" s="32">
        <v>3444.43</v>
      </c>
      <c r="X5" s="32">
        <v>3504.84</v>
      </c>
      <c r="Y5" s="32">
        <v>3905.88</v>
      </c>
      <c r="Z5" s="32">
        <v>3409.28</v>
      </c>
      <c r="AA5" s="32">
        <v>3552.85</v>
      </c>
      <c r="AB5" s="32">
        <v>3635.43</v>
      </c>
      <c r="AC5" s="32">
        <v>3126.98</v>
      </c>
      <c r="AD5" s="32">
        <v>3316.42</v>
      </c>
      <c r="AE5" s="32">
        <v>3419.3</v>
      </c>
      <c r="AF5" s="32">
        <v>3498.07</v>
      </c>
      <c r="AG5" s="32">
        <v>3193.65</v>
      </c>
      <c r="AH5" s="32">
        <v>3279.5</v>
      </c>
      <c r="AI5" s="32">
        <v>3322.79</v>
      </c>
      <c r="AJ5" s="32">
        <v>3633.44</v>
      </c>
      <c r="AL5" s="16">
        <f>MIN(Y5:AJ5)</f>
        <v>3126.98</v>
      </c>
      <c r="AM5" s="16">
        <f>MAX(Y5:AJ5)</f>
        <v>3905.88</v>
      </c>
      <c r="AO5" s="10">
        <f>TREND($B5:$AJ5,$B$4:$AJ$4,AO$4)</f>
        <v>3309.5974537815127</v>
      </c>
      <c r="AP5" s="10">
        <f>TREND($B5:$AJ5,$B$4:$AJ$4,AP$4)</f>
        <v>3240.8090924369753</v>
      </c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x14ac:dyDescent="0.3">
      <c r="A6" s="11" t="s">
        <v>27</v>
      </c>
      <c r="B6" s="32">
        <v>3254.55</v>
      </c>
      <c r="C6" s="32">
        <v>2730.55</v>
      </c>
      <c r="D6" s="32">
        <v>2634.04</v>
      </c>
      <c r="E6" s="32">
        <v>2655.17</v>
      </c>
      <c r="F6" s="32">
        <v>3037.76</v>
      </c>
      <c r="G6" s="32">
        <v>2776.15</v>
      </c>
      <c r="H6" s="32">
        <v>2857.38</v>
      </c>
      <c r="I6" s="32">
        <v>2594.86</v>
      </c>
      <c r="J6" s="32">
        <v>2719.37</v>
      </c>
      <c r="K6" s="32">
        <v>3290.62</v>
      </c>
      <c r="L6" s="32">
        <v>2751.57</v>
      </c>
      <c r="M6" s="32">
        <v>2723.96</v>
      </c>
      <c r="N6" s="32">
        <v>2606.17</v>
      </c>
      <c r="O6" s="32">
        <v>2515.89</v>
      </c>
      <c r="P6" s="32">
        <v>2719.01</v>
      </c>
      <c r="Q6" s="32">
        <v>2527.94</v>
      </c>
      <c r="R6" s="32">
        <v>2687.09</v>
      </c>
      <c r="S6" s="32">
        <v>2773.96</v>
      </c>
      <c r="T6" s="32">
        <v>2661.22</v>
      </c>
      <c r="U6" s="32">
        <v>2588.67</v>
      </c>
      <c r="V6" s="32">
        <v>2439.16</v>
      </c>
      <c r="W6" s="32">
        <v>2698.26</v>
      </c>
      <c r="X6" s="32">
        <v>2692.13</v>
      </c>
      <c r="Y6" s="32">
        <v>3193.64</v>
      </c>
      <c r="Z6" s="32">
        <v>2404.6799999999998</v>
      </c>
      <c r="AA6" s="32">
        <v>2766.54</v>
      </c>
      <c r="AB6" s="32">
        <v>3021.71</v>
      </c>
      <c r="AC6" s="32">
        <v>2323.21</v>
      </c>
      <c r="AD6" s="32">
        <v>2632.63</v>
      </c>
      <c r="AE6" s="32">
        <v>2695.22</v>
      </c>
      <c r="AF6" s="32">
        <v>2584.09</v>
      </c>
      <c r="AG6" s="32">
        <v>2511.15</v>
      </c>
      <c r="AH6" s="32">
        <v>2532.36</v>
      </c>
      <c r="AI6" s="32">
        <v>2339.71</v>
      </c>
      <c r="AJ6" s="32">
        <v>2770.92</v>
      </c>
      <c r="AL6" s="16">
        <f t="shared" ref="AL6:AL33" si="0">MIN(Y6:AJ6)</f>
        <v>2323.21</v>
      </c>
      <c r="AM6" s="16">
        <f t="shared" ref="AM6:AM33" si="1">MAX(Y6:AJ6)</f>
        <v>3193.64</v>
      </c>
      <c r="AO6" s="10">
        <f t="shared" ref="AO6:AP33" si="2">TREND($B6:$AJ6,$B$4:$AJ$4,AO$4)</f>
        <v>2525.2108739495779</v>
      </c>
      <c r="AP6" s="10">
        <f t="shared" si="2"/>
        <v>2482.1567282913165</v>
      </c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spans="1:70" x14ac:dyDescent="0.3">
      <c r="A7" s="11" t="s">
        <v>28</v>
      </c>
      <c r="B7" s="32">
        <v>3031.34</v>
      </c>
      <c r="C7" s="32">
        <v>2904.03</v>
      </c>
      <c r="D7" s="32">
        <v>2563.41</v>
      </c>
      <c r="E7" s="32">
        <v>2526.37</v>
      </c>
      <c r="F7" s="32">
        <v>3003.33</v>
      </c>
      <c r="G7" s="32">
        <v>2735.4</v>
      </c>
      <c r="H7" s="32">
        <v>2885.77</v>
      </c>
      <c r="I7" s="32">
        <v>2486.25</v>
      </c>
      <c r="J7" s="32">
        <v>2779.84</v>
      </c>
      <c r="K7" s="32">
        <v>3039.62</v>
      </c>
      <c r="L7" s="32">
        <v>2937.72</v>
      </c>
      <c r="M7" s="32">
        <v>2692.83</v>
      </c>
      <c r="N7" s="32">
        <v>2478.83</v>
      </c>
      <c r="O7" s="32">
        <v>2481.29</v>
      </c>
      <c r="P7" s="32">
        <v>2525.98</v>
      </c>
      <c r="Q7" s="32">
        <v>2522.88</v>
      </c>
      <c r="R7" s="32">
        <v>2891.31</v>
      </c>
      <c r="S7" s="32">
        <v>2537.4</v>
      </c>
      <c r="T7" s="32">
        <v>2692.51</v>
      </c>
      <c r="U7" s="32">
        <v>2660.51</v>
      </c>
      <c r="V7" s="32">
        <v>2393.19</v>
      </c>
      <c r="W7" s="32">
        <v>2466.8200000000002</v>
      </c>
      <c r="X7" s="32">
        <v>2437.31</v>
      </c>
      <c r="Y7" s="32">
        <v>2516.8200000000002</v>
      </c>
      <c r="Z7" s="32">
        <v>2798.59</v>
      </c>
      <c r="AA7" s="32">
        <v>2614</v>
      </c>
      <c r="AB7" s="32">
        <v>2387.56</v>
      </c>
      <c r="AC7" s="32">
        <v>2365.02</v>
      </c>
      <c r="AD7" s="32">
        <v>2371.11</v>
      </c>
      <c r="AE7" s="32">
        <v>2420.17</v>
      </c>
      <c r="AF7" s="32">
        <v>2527.59</v>
      </c>
      <c r="AG7" s="32">
        <v>2352.1</v>
      </c>
      <c r="AH7" s="32">
        <v>2152.56</v>
      </c>
      <c r="AI7" s="32">
        <v>2247.42</v>
      </c>
      <c r="AJ7" s="32">
        <v>2503.0700000000002</v>
      </c>
      <c r="AL7" s="16">
        <f t="shared" si="0"/>
        <v>2152.56</v>
      </c>
      <c r="AM7" s="16">
        <f t="shared" si="1"/>
        <v>2798.59</v>
      </c>
      <c r="AO7" s="10">
        <f t="shared" si="2"/>
        <v>2277.5123361344558</v>
      </c>
      <c r="AP7" s="10">
        <f t="shared" si="2"/>
        <v>2201.2060896358562</v>
      </c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spans="1:70" x14ac:dyDescent="0.3">
      <c r="A8" s="11" t="s">
        <v>29</v>
      </c>
      <c r="B8" s="32">
        <v>2810.59</v>
      </c>
      <c r="C8" s="32">
        <v>2566.4699999999998</v>
      </c>
      <c r="D8" s="32">
        <v>2429.35</v>
      </c>
      <c r="E8" s="32">
        <v>2346.2800000000002</v>
      </c>
      <c r="F8" s="32">
        <v>2804.18</v>
      </c>
      <c r="G8" s="32">
        <v>2489.4299999999998</v>
      </c>
      <c r="H8" s="32">
        <v>2573.6</v>
      </c>
      <c r="I8" s="32">
        <v>2259.5100000000002</v>
      </c>
      <c r="J8" s="32">
        <v>2642.38</v>
      </c>
      <c r="K8" s="32">
        <v>2877.77</v>
      </c>
      <c r="L8" s="32">
        <v>2538.52</v>
      </c>
      <c r="M8" s="32">
        <v>2514.58</v>
      </c>
      <c r="N8" s="32">
        <v>2425.23</v>
      </c>
      <c r="O8" s="32">
        <v>2119.27</v>
      </c>
      <c r="P8" s="32">
        <v>2358.02</v>
      </c>
      <c r="Q8" s="32">
        <v>2179.12</v>
      </c>
      <c r="R8" s="32">
        <v>2569.42</v>
      </c>
      <c r="S8" s="32">
        <v>2464.5700000000002</v>
      </c>
      <c r="T8" s="32">
        <v>2684.01</v>
      </c>
      <c r="U8" s="32">
        <v>2408.4899999999998</v>
      </c>
      <c r="V8" s="32">
        <v>2208.64</v>
      </c>
      <c r="W8" s="32">
        <v>2214.64</v>
      </c>
      <c r="X8" s="32">
        <v>2273.67</v>
      </c>
      <c r="Y8" s="32">
        <v>2521.2199999999998</v>
      </c>
      <c r="Z8" s="32">
        <v>2359.44</v>
      </c>
      <c r="AA8" s="32">
        <v>2355.0700000000002</v>
      </c>
      <c r="AB8" s="32">
        <v>2290</v>
      </c>
      <c r="AC8" s="32">
        <v>1885.28</v>
      </c>
      <c r="AD8" s="32">
        <v>2246.21</v>
      </c>
      <c r="AE8" s="32">
        <v>2264.65</v>
      </c>
      <c r="AF8" s="32">
        <v>2323.2199999999998</v>
      </c>
      <c r="AG8" s="32">
        <v>2139.52</v>
      </c>
      <c r="AH8" s="32">
        <v>2076.4699999999998</v>
      </c>
      <c r="AI8" s="32">
        <v>2137.64</v>
      </c>
      <c r="AJ8" s="32">
        <v>2366.1799999999998</v>
      </c>
      <c r="AL8" s="16">
        <f t="shared" si="0"/>
        <v>1885.28</v>
      </c>
      <c r="AM8" s="16">
        <f t="shared" si="1"/>
        <v>2521.2199999999998</v>
      </c>
      <c r="AO8" s="10">
        <f t="shared" si="2"/>
        <v>2111.3966638655438</v>
      </c>
      <c r="AP8" s="10">
        <f t="shared" si="2"/>
        <v>2044.5683865546198</v>
      </c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</row>
    <row r="9" spans="1:70" x14ac:dyDescent="0.3">
      <c r="A9" s="11" t="s">
        <v>30</v>
      </c>
      <c r="B9" s="32">
        <v>872.02</v>
      </c>
      <c r="C9" s="32">
        <v>935.47</v>
      </c>
      <c r="D9" s="32">
        <v>880.31</v>
      </c>
      <c r="E9" s="32">
        <v>824.94</v>
      </c>
      <c r="F9" s="32">
        <v>807.88</v>
      </c>
      <c r="G9" s="32">
        <v>1180.0899999999999</v>
      </c>
      <c r="H9" s="32">
        <v>960.75</v>
      </c>
      <c r="I9" s="32">
        <v>815.69</v>
      </c>
      <c r="J9" s="32">
        <v>907.61</v>
      </c>
      <c r="K9" s="32">
        <v>795.37</v>
      </c>
      <c r="L9" s="32">
        <v>910.78</v>
      </c>
      <c r="M9" s="32">
        <v>757</v>
      </c>
      <c r="N9" s="32">
        <v>662.95</v>
      </c>
      <c r="O9" s="32">
        <v>863.34</v>
      </c>
      <c r="P9" s="32">
        <v>636.57000000000005</v>
      </c>
      <c r="Q9" s="32">
        <v>714.82</v>
      </c>
      <c r="R9" s="32">
        <v>793.64</v>
      </c>
      <c r="S9" s="32">
        <v>844.33</v>
      </c>
      <c r="T9" s="32">
        <v>767.46</v>
      </c>
      <c r="U9" s="32">
        <v>852.91</v>
      </c>
      <c r="V9" s="32">
        <v>804.12</v>
      </c>
      <c r="W9" s="32">
        <v>734.66</v>
      </c>
      <c r="X9" s="32">
        <v>710.65</v>
      </c>
      <c r="Y9" s="32">
        <v>498.76</v>
      </c>
      <c r="Z9" s="32">
        <v>794.38</v>
      </c>
      <c r="AA9" s="32">
        <v>817.04</v>
      </c>
      <c r="AB9" s="32">
        <v>707.11</v>
      </c>
      <c r="AC9" s="32">
        <v>523.15</v>
      </c>
      <c r="AD9" s="32">
        <v>749.52</v>
      </c>
      <c r="AE9" s="32">
        <v>677.81</v>
      </c>
      <c r="AF9" s="32">
        <v>720.83</v>
      </c>
      <c r="AG9" s="32">
        <v>470.75</v>
      </c>
      <c r="AH9" s="32">
        <v>693.06</v>
      </c>
      <c r="AI9" s="32">
        <v>630.45000000000005</v>
      </c>
      <c r="AJ9" s="32">
        <v>609.84</v>
      </c>
      <c r="AL9" s="16">
        <f t="shared" si="0"/>
        <v>470.75</v>
      </c>
      <c r="AM9" s="16">
        <f t="shared" si="1"/>
        <v>817.04</v>
      </c>
      <c r="AO9" s="10">
        <f t="shared" si="2"/>
        <v>575.01199999999881</v>
      </c>
      <c r="AP9" s="10">
        <f t="shared" si="2"/>
        <v>528.74914285714112</v>
      </c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</row>
    <row r="10" spans="1:70" x14ac:dyDescent="0.3">
      <c r="A10" s="11" t="s">
        <v>31</v>
      </c>
      <c r="B10" s="32">
        <v>3951.86</v>
      </c>
      <c r="C10" s="32">
        <v>3459.7</v>
      </c>
      <c r="D10" s="32">
        <v>3312.49</v>
      </c>
      <c r="E10" s="32">
        <v>3302.92</v>
      </c>
      <c r="F10" s="32">
        <v>3746.58</v>
      </c>
      <c r="G10" s="32">
        <v>3370.68</v>
      </c>
      <c r="H10" s="32">
        <v>3577.73</v>
      </c>
      <c r="I10" s="32">
        <v>3269.88</v>
      </c>
      <c r="J10" s="32">
        <v>3579.79</v>
      </c>
      <c r="K10" s="32">
        <v>4116.32</v>
      </c>
      <c r="L10" s="32">
        <v>3640.37</v>
      </c>
      <c r="M10" s="32">
        <v>3427.02</v>
      </c>
      <c r="N10" s="32">
        <v>3312.24</v>
      </c>
      <c r="O10" s="32">
        <v>3097.45</v>
      </c>
      <c r="P10" s="32">
        <v>3560.09</v>
      </c>
      <c r="Q10" s="32">
        <v>3273.97</v>
      </c>
      <c r="R10" s="32">
        <v>3460.67</v>
      </c>
      <c r="S10" s="32">
        <v>3470.78</v>
      </c>
      <c r="T10" s="32">
        <v>3550</v>
      </c>
      <c r="U10" s="32">
        <v>3430.32</v>
      </c>
      <c r="V10" s="32">
        <v>3180.25</v>
      </c>
      <c r="W10" s="32">
        <v>3210.66</v>
      </c>
      <c r="X10" s="32">
        <v>3333.48</v>
      </c>
      <c r="Y10" s="32">
        <v>3828.88</v>
      </c>
      <c r="Z10" s="32">
        <v>3234.6</v>
      </c>
      <c r="AA10" s="32">
        <v>3399.61</v>
      </c>
      <c r="AB10" s="32">
        <v>3514.82</v>
      </c>
      <c r="AC10" s="32">
        <v>2919.87</v>
      </c>
      <c r="AD10" s="32">
        <v>3090.62</v>
      </c>
      <c r="AE10" s="32">
        <v>3247.67</v>
      </c>
      <c r="AF10" s="32">
        <v>3311.5</v>
      </c>
      <c r="AG10" s="32">
        <v>2995.64</v>
      </c>
      <c r="AH10" s="32">
        <v>2998.07</v>
      </c>
      <c r="AI10" s="32">
        <v>3078.64</v>
      </c>
      <c r="AJ10" s="32">
        <v>3452.39</v>
      </c>
      <c r="AL10" s="16">
        <f t="shared" si="0"/>
        <v>2919.87</v>
      </c>
      <c r="AM10" s="16">
        <f t="shared" si="1"/>
        <v>3828.88</v>
      </c>
      <c r="AO10" s="10">
        <f t="shared" si="2"/>
        <v>3117.9814537815146</v>
      </c>
      <c r="AP10" s="10">
        <f t="shared" si="2"/>
        <v>3052.8235686274529</v>
      </c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</row>
    <row r="11" spans="1:70" x14ac:dyDescent="0.3">
      <c r="A11" s="11" t="s">
        <v>32</v>
      </c>
      <c r="B11" s="32">
        <v>4071.66</v>
      </c>
      <c r="C11" s="32">
        <v>3359.74</v>
      </c>
      <c r="D11" s="32">
        <v>3151.18</v>
      </c>
      <c r="E11" s="32">
        <v>3084.85</v>
      </c>
      <c r="F11" s="32">
        <v>3502.41</v>
      </c>
      <c r="G11" s="32">
        <v>3148.59</v>
      </c>
      <c r="H11" s="32">
        <v>3572.27</v>
      </c>
      <c r="I11" s="32">
        <v>3421.25</v>
      </c>
      <c r="J11" s="32">
        <v>3549.28</v>
      </c>
      <c r="K11" s="32">
        <v>4035.52</v>
      </c>
      <c r="L11" s="32">
        <v>3490.29</v>
      </c>
      <c r="M11" s="32">
        <v>3410.83</v>
      </c>
      <c r="N11" s="32">
        <v>3202.85</v>
      </c>
      <c r="O11" s="32">
        <v>3112.07</v>
      </c>
      <c r="P11" s="32">
        <v>3494.43</v>
      </c>
      <c r="Q11" s="32">
        <v>3189.34</v>
      </c>
      <c r="R11" s="32">
        <v>3325.61</v>
      </c>
      <c r="S11" s="32">
        <v>3309.22</v>
      </c>
      <c r="T11" s="32">
        <v>3261.34</v>
      </c>
      <c r="U11" s="32">
        <v>3084.26</v>
      </c>
      <c r="V11" s="32">
        <v>3000.97</v>
      </c>
      <c r="W11" s="32">
        <v>3019.35</v>
      </c>
      <c r="X11" s="32">
        <v>3230.76</v>
      </c>
      <c r="Y11" s="32">
        <v>3982.16</v>
      </c>
      <c r="Z11" s="32">
        <v>3148.45</v>
      </c>
      <c r="AA11" s="32">
        <v>3424.15</v>
      </c>
      <c r="AB11" s="32">
        <v>3396.28</v>
      </c>
      <c r="AC11" s="32">
        <v>2834.98</v>
      </c>
      <c r="AD11" s="32">
        <v>3114.15</v>
      </c>
      <c r="AE11" s="32">
        <v>3141.46</v>
      </c>
      <c r="AF11" s="32">
        <v>3112.11</v>
      </c>
      <c r="AG11" s="32">
        <v>3048.54</v>
      </c>
      <c r="AH11" s="32">
        <v>3026.8</v>
      </c>
      <c r="AI11" s="32">
        <v>2920.71</v>
      </c>
      <c r="AJ11" s="32">
        <v>3263.77</v>
      </c>
      <c r="AL11" s="16">
        <f t="shared" si="0"/>
        <v>2834.98</v>
      </c>
      <c r="AM11" s="16">
        <f t="shared" si="1"/>
        <v>3982.16</v>
      </c>
      <c r="AO11" s="10">
        <f t="shared" si="2"/>
        <v>3025.3138739495771</v>
      </c>
      <c r="AP11" s="10">
        <f t="shared" si="2"/>
        <v>2960.3094901960758</v>
      </c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</row>
    <row r="12" spans="1:70" x14ac:dyDescent="0.3">
      <c r="A12" s="11" t="s">
        <v>33</v>
      </c>
      <c r="B12" s="32">
        <v>5266.79</v>
      </c>
      <c r="C12" s="32">
        <v>4483.04</v>
      </c>
      <c r="D12" s="32">
        <v>3891.55</v>
      </c>
      <c r="E12" s="32">
        <v>4050.75</v>
      </c>
      <c r="F12" s="32">
        <v>4196.8100000000004</v>
      </c>
      <c r="G12" s="32">
        <v>4198.1899999999996</v>
      </c>
      <c r="H12" s="32">
        <v>4605.2</v>
      </c>
      <c r="I12" s="32">
        <v>4639.03</v>
      </c>
      <c r="J12" s="32">
        <v>4217.99</v>
      </c>
      <c r="K12" s="32">
        <v>4826.67</v>
      </c>
      <c r="L12" s="32">
        <v>4451.34</v>
      </c>
      <c r="M12" s="32">
        <v>4485.82</v>
      </c>
      <c r="N12" s="32">
        <v>4169.2</v>
      </c>
      <c r="O12" s="32">
        <v>3904.14</v>
      </c>
      <c r="P12" s="32">
        <v>4356.83</v>
      </c>
      <c r="Q12" s="32">
        <v>4277.7</v>
      </c>
      <c r="R12" s="32">
        <v>4436.75</v>
      </c>
      <c r="S12" s="32">
        <v>4338.2</v>
      </c>
      <c r="T12" s="32">
        <v>4331.9399999999996</v>
      </c>
      <c r="U12" s="32">
        <v>4173.78</v>
      </c>
      <c r="V12" s="32">
        <v>4056.17</v>
      </c>
      <c r="W12" s="32">
        <v>3882.35</v>
      </c>
      <c r="X12" s="32">
        <v>4318.1499999999996</v>
      </c>
      <c r="Y12" s="32">
        <v>4887.2299999999996</v>
      </c>
      <c r="Z12" s="32">
        <v>4084</v>
      </c>
      <c r="AA12" s="32">
        <v>4579.62</v>
      </c>
      <c r="AB12" s="32">
        <v>4154.32</v>
      </c>
      <c r="AC12" s="32">
        <v>4143.17</v>
      </c>
      <c r="AD12" s="32">
        <v>3795.56</v>
      </c>
      <c r="AE12" s="32">
        <v>4208.45</v>
      </c>
      <c r="AF12" s="32">
        <v>4209.57</v>
      </c>
      <c r="AG12" s="32">
        <v>4064.64</v>
      </c>
      <c r="AH12" s="32">
        <v>3883.05</v>
      </c>
      <c r="AI12" s="32">
        <v>3553.49</v>
      </c>
      <c r="AJ12" s="32">
        <v>4283.1000000000004</v>
      </c>
      <c r="AL12" s="16">
        <f t="shared" si="0"/>
        <v>3553.49</v>
      </c>
      <c r="AM12" s="16">
        <f t="shared" si="1"/>
        <v>4887.2299999999996</v>
      </c>
      <c r="AO12" s="10">
        <f t="shared" si="2"/>
        <v>3984.1519831932783</v>
      </c>
      <c r="AP12" s="10">
        <f t="shared" si="2"/>
        <v>3916.4018431372533</v>
      </c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</row>
    <row r="13" spans="1:70" x14ac:dyDescent="0.3">
      <c r="A13" s="11" t="s">
        <v>34</v>
      </c>
      <c r="B13" s="32">
        <v>3664.73</v>
      </c>
      <c r="C13" s="32">
        <v>3289.82</v>
      </c>
      <c r="D13" s="32">
        <v>3012.2</v>
      </c>
      <c r="E13" s="32">
        <v>3033.33</v>
      </c>
      <c r="F13" s="32">
        <v>3399.9</v>
      </c>
      <c r="G13" s="32">
        <v>3209.52</v>
      </c>
      <c r="H13" s="32">
        <v>3374.77</v>
      </c>
      <c r="I13" s="32">
        <v>3147.05</v>
      </c>
      <c r="J13" s="32">
        <v>3219.13</v>
      </c>
      <c r="K13" s="32">
        <v>3533.35</v>
      </c>
      <c r="L13" s="32">
        <v>3193.86</v>
      </c>
      <c r="M13" s="32">
        <v>3263.1</v>
      </c>
      <c r="N13" s="32">
        <v>3129.09</v>
      </c>
      <c r="O13" s="32">
        <v>2960.77</v>
      </c>
      <c r="P13" s="32">
        <v>3210.04</v>
      </c>
      <c r="Q13" s="32">
        <v>3063.01</v>
      </c>
      <c r="R13" s="32">
        <v>3225.75</v>
      </c>
      <c r="S13" s="32">
        <v>3215.73</v>
      </c>
      <c r="T13" s="32">
        <v>3209.72</v>
      </c>
      <c r="U13" s="32">
        <v>3084.51</v>
      </c>
      <c r="V13" s="32">
        <v>2985.9</v>
      </c>
      <c r="W13" s="32">
        <v>3036.39</v>
      </c>
      <c r="X13" s="32">
        <v>3113.25</v>
      </c>
      <c r="Y13" s="32">
        <v>3497.41</v>
      </c>
      <c r="Z13" s="32">
        <v>2968.15</v>
      </c>
      <c r="AA13" s="32">
        <v>3237.86</v>
      </c>
      <c r="AB13" s="32">
        <v>3160.09</v>
      </c>
      <c r="AC13" s="32">
        <v>2815.53</v>
      </c>
      <c r="AD13" s="32">
        <v>2901.23</v>
      </c>
      <c r="AE13" s="32">
        <v>3033.05</v>
      </c>
      <c r="AF13" s="32">
        <v>3044.85</v>
      </c>
      <c r="AG13" s="32">
        <v>2940.9</v>
      </c>
      <c r="AH13" s="32">
        <v>2909.29</v>
      </c>
      <c r="AI13" s="32">
        <v>2758.95</v>
      </c>
      <c r="AJ13" s="32">
        <v>3126.31</v>
      </c>
      <c r="AL13" s="16">
        <f t="shared" si="0"/>
        <v>2758.95</v>
      </c>
      <c r="AM13" s="16">
        <f t="shared" si="1"/>
        <v>3497.41</v>
      </c>
      <c r="AO13" s="10">
        <f t="shared" si="2"/>
        <v>2911.1716974789924</v>
      </c>
      <c r="AP13" s="10">
        <f t="shared" si="2"/>
        <v>2856.2225098039235</v>
      </c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</row>
    <row r="14" spans="1:70" x14ac:dyDescent="0.3">
      <c r="A14" s="11" t="s">
        <v>7</v>
      </c>
      <c r="B14" s="32">
        <v>6603.46</v>
      </c>
      <c r="C14" s="32">
        <v>5930.81</v>
      </c>
      <c r="D14" s="32">
        <v>5172.8100000000004</v>
      </c>
      <c r="E14" s="32">
        <v>5455.81</v>
      </c>
      <c r="F14" s="32">
        <v>5637.68</v>
      </c>
      <c r="G14" s="32">
        <v>5574.83</v>
      </c>
      <c r="H14" s="32">
        <v>5834.75</v>
      </c>
      <c r="I14" s="32">
        <v>5869.06</v>
      </c>
      <c r="J14" s="32">
        <v>5648.63</v>
      </c>
      <c r="K14" s="32">
        <v>5877.82</v>
      </c>
      <c r="L14" s="32">
        <v>5735.31</v>
      </c>
      <c r="M14" s="32">
        <v>6007.95</v>
      </c>
      <c r="N14" s="32">
        <v>5667.04</v>
      </c>
      <c r="O14" s="32">
        <v>5211.6899999999996</v>
      </c>
      <c r="P14" s="32">
        <v>5766.64</v>
      </c>
      <c r="Q14" s="32">
        <v>5736.48</v>
      </c>
      <c r="R14" s="32">
        <v>5665.7</v>
      </c>
      <c r="S14" s="32">
        <v>5561.61</v>
      </c>
      <c r="T14" s="32">
        <v>5295.38</v>
      </c>
      <c r="U14" s="32">
        <v>5442.56</v>
      </c>
      <c r="V14" s="32">
        <v>5321.96</v>
      </c>
      <c r="W14" s="32">
        <v>5332.63</v>
      </c>
      <c r="X14" s="32">
        <v>5608.3</v>
      </c>
      <c r="Y14" s="32">
        <v>6179.75</v>
      </c>
      <c r="Z14" s="32">
        <v>5239.13</v>
      </c>
      <c r="AA14" s="32">
        <v>5839.92</v>
      </c>
      <c r="AB14" s="32">
        <v>5238.58</v>
      </c>
      <c r="AC14" s="32">
        <v>5237.1400000000003</v>
      </c>
      <c r="AD14" s="32">
        <v>5014.74</v>
      </c>
      <c r="AE14" s="32">
        <v>5325.9</v>
      </c>
      <c r="AF14" s="32">
        <v>5508.23</v>
      </c>
      <c r="AG14" s="32">
        <v>5349.59</v>
      </c>
      <c r="AH14" s="32">
        <v>5482.97</v>
      </c>
      <c r="AI14" s="32">
        <v>4871.03</v>
      </c>
      <c r="AJ14" s="32">
        <v>5623.37</v>
      </c>
      <c r="AL14" s="16">
        <f t="shared" si="0"/>
        <v>4871.03</v>
      </c>
      <c r="AM14" s="16">
        <f t="shared" si="1"/>
        <v>6179.75</v>
      </c>
      <c r="AO14" s="10">
        <f t="shared" si="2"/>
        <v>5220.632789915966</v>
      </c>
      <c r="AP14" s="10">
        <f t="shared" si="2"/>
        <v>5137.9993725490131</v>
      </c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</row>
    <row r="15" spans="1:70" x14ac:dyDescent="0.3">
      <c r="A15" s="11" t="s">
        <v>35</v>
      </c>
      <c r="B15" s="32">
        <v>2796.66</v>
      </c>
      <c r="C15" s="32">
        <v>2426.88</v>
      </c>
      <c r="D15" s="32">
        <v>2336.7800000000002</v>
      </c>
      <c r="E15" s="32">
        <v>2335.2600000000002</v>
      </c>
      <c r="F15" s="32">
        <v>2731.9</v>
      </c>
      <c r="G15" s="32">
        <v>2549.79</v>
      </c>
      <c r="H15" s="32">
        <v>2588.69</v>
      </c>
      <c r="I15" s="32">
        <v>2263.02</v>
      </c>
      <c r="J15" s="32">
        <v>2422.4499999999998</v>
      </c>
      <c r="K15" s="32">
        <v>2708.36</v>
      </c>
      <c r="L15" s="32">
        <v>2300.16</v>
      </c>
      <c r="M15" s="32">
        <v>2471.6999999999998</v>
      </c>
      <c r="N15" s="32">
        <v>2351.4299999999998</v>
      </c>
      <c r="O15" s="32">
        <v>2270.83</v>
      </c>
      <c r="P15" s="32">
        <v>2412.5500000000002</v>
      </c>
      <c r="Q15" s="32">
        <v>2210.0100000000002</v>
      </c>
      <c r="R15" s="32">
        <v>2374.08</v>
      </c>
      <c r="S15" s="32">
        <v>2502.7800000000002</v>
      </c>
      <c r="T15" s="32">
        <v>2506.25</v>
      </c>
      <c r="U15" s="32">
        <v>2315.4499999999998</v>
      </c>
      <c r="V15" s="32">
        <v>2264.04</v>
      </c>
      <c r="W15" s="32">
        <v>2442.65</v>
      </c>
      <c r="X15" s="32">
        <v>2384.9299999999998</v>
      </c>
      <c r="Y15" s="32">
        <v>2756.06</v>
      </c>
      <c r="Z15" s="32">
        <v>2057.4899999999998</v>
      </c>
      <c r="AA15" s="32">
        <v>2439.2800000000002</v>
      </c>
      <c r="AB15" s="32">
        <v>2637.51</v>
      </c>
      <c r="AC15" s="32">
        <v>2080.89</v>
      </c>
      <c r="AD15" s="32">
        <v>2255.6999999999998</v>
      </c>
      <c r="AE15" s="32">
        <v>2397.9</v>
      </c>
      <c r="AF15" s="32">
        <v>2336</v>
      </c>
      <c r="AG15" s="32">
        <v>2181.92</v>
      </c>
      <c r="AH15" s="32">
        <v>2246.9499999999998</v>
      </c>
      <c r="AI15" s="32">
        <v>2037.95</v>
      </c>
      <c r="AJ15" s="32">
        <v>2412.69</v>
      </c>
      <c r="AL15" s="16">
        <f t="shared" si="0"/>
        <v>2037.95</v>
      </c>
      <c r="AM15" s="16">
        <f t="shared" si="1"/>
        <v>2756.06</v>
      </c>
      <c r="AO15" s="10">
        <f t="shared" si="2"/>
        <v>2228.8649579831927</v>
      </c>
      <c r="AP15" s="10">
        <f t="shared" si="2"/>
        <v>2189.4315126050424</v>
      </c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</row>
    <row r="16" spans="1:70" x14ac:dyDescent="0.3">
      <c r="A16" s="11" t="s">
        <v>262</v>
      </c>
      <c r="B16" s="32">
        <v>3702.66</v>
      </c>
      <c r="C16" s="32">
        <v>3089.35</v>
      </c>
      <c r="D16" s="32">
        <v>2985.04</v>
      </c>
      <c r="E16" s="32">
        <v>2957.58</v>
      </c>
      <c r="F16" s="32">
        <v>3403.08</v>
      </c>
      <c r="G16" s="32">
        <v>3106.43</v>
      </c>
      <c r="H16" s="32">
        <v>3297.91</v>
      </c>
      <c r="I16" s="32">
        <v>3004.46</v>
      </c>
      <c r="J16" s="32">
        <v>3264.5</v>
      </c>
      <c r="K16" s="32">
        <v>3822.29</v>
      </c>
      <c r="L16" s="32">
        <v>3228.41</v>
      </c>
      <c r="M16" s="32">
        <v>3135.18</v>
      </c>
      <c r="N16" s="32">
        <v>3003.63</v>
      </c>
      <c r="O16" s="32">
        <v>2842.27</v>
      </c>
      <c r="P16" s="32">
        <v>3216.74</v>
      </c>
      <c r="Q16" s="32">
        <v>3052.98</v>
      </c>
      <c r="R16" s="32">
        <v>3221.84</v>
      </c>
      <c r="S16" s="32">
        <v>3174.13</v>
      </c>
      <c r="T16" s="32">
        <v>3149.06</v>
      </c>
      <c r="U16" s="32">
        <v>3024.04</v>
      </c>
      <c r="V16" s="32">
        <v>2820.38</v>
      </c>
      <c r="W16" s="32">
        <v>2985.84</v>
      </c>
      <c r="X16" s="32">
        <v>3081.38</v>
      </c>
      <c r="Y16" s="32">
        <v>3635.4</v>
      </c>
      <c r="Z16" s="32">
        <v>2873.02</v>
      </c>
      <c r="AA16" s="32">
        <v>3130.93</v>
      </c>
      <c r="AB16" s="32">
        <v>3289.06</v>
      </c>
      <c r="AC16" s="32">
        <v>2659</v>
      </c>
      <c r="AD16" s="32">
        <v>2908.42</v>
      </c>
      <c r="AE16" s="32">
        <v>3009.02</v>
      </c>
      <c r="AF16" s="32">
        <v>2965.83</v>
      </c>
      <c r="AG16" s="32">
        <v>2774.95</v>
      </c>
      <c r="AH16" s="32">
        <v>2800.81</v>
      </c>
      <c r="AI16" s="32">
        <v>2741.03</v>
      </c>
      <c r="AJ16" s="32">
        <v>3114.19</v>
      </c>
      <c r="AL16" s="16">
        <f t="shared" si="0"/>
        <v>2659</v>
      </c>
      <c r="AM16" s="16">
        <f t="shared" si="1"/>
        <v>3635.4</v>
      </c>
      <c r="AO16" s="10">
        <f t="shared" si="2"/>
        <v>2860.0933277310905</v>
      </c>
      <c r="AP16" s="10">
        <f t="shared" si="2"/>
        <v>2803.1710588235292</v>
      </c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</row>
    <row r="17" spans="1:70" x14ac:dyDescent="0.3">
      <c r="A17" s="11" t="s">
        <v>37</v>
      </c>
      <c r="B17" s="32">
        <v>1810.74</v>
      </c>
      <c r="C17" s="32">
        <v>1823.66</v>
      </c>
      <c r="D17" s="32">
        <v>1733.22</v>
      </c>
      <c r="E17" s="32">
        <v>1636.03</v>
      </c>
      <c r="F17" s="32">
        <v>1953.12</v>
      </c>
      <c r="G17" s="32">
        <v>1834.12</v>
      </c>
      <c r="H17" s="32">
        <v>1813.7</v>
      </c>
      <c r="I17" s="32">
        <v>1596.12</v>
      </c>
      <c r="J17" s="32">
        <v>1715.02</v>
      </c>
      <c r="K17" s="32">
        <v>1804.68</v>
      </c>
      <c r="L17" s="32">
        <v>1821.25</v>
      </c>
      <c r="M17" s="32">
        <v>1690.09</v>
      </c>
      <c r="N17" s="32">
        <v>1563.01</v>
      </c>
      <c r="O17" s="32">
        <v>1661.02</v>
      </c>
      <c r="P17" s="32">
        <v>1593.33</v>
      </c>
      <c r="Q17" s="32">
        <v>1549.11</v>
      </c>
      <c r="R17" s="32">
        <v>1747.33</v>
      </c>
      <c r="S17" s="32">
        <v>1594.93</v>
      </c>
      <c r="T17" s="32">
        <v>1691.44</v>
      </c>
      <c r="U17" s="32">
        <v>1749.23</v>
      </c>
      <c r="V17" s="32">
        <v>1546.7</v>
      </c>
      <c r="W17" s="32">
        <v>1498.82</v>
      </c>
      <c r="X17" s="32">
        <v>1496.91</v>
      </c>
      <c r="Y17" s="32">
        <v>1390.85</v>
      </c>
      <c r="Z17" s="32">
        <v>1796.64</v>
      </c>
      <c r="AA17" s="32">
        <v>1654.99</v>
      </c>
      <c r="AB17" s="32">
        <v>1439.27</v>
      </c>
      <c r="AC17" s="32">
        <v>1397.47</v>
      </c>
      <c r="AD17" s="32">
        <v>1572.95</v>
      </c>
      <c r="AE17" s="32">
        <v>1458.36</v>
      </c>
      <c r="AF17" s="32">
        <v>1612.13</v>
      </c>
      <c r="AG17" s="32">
        <v>1371.74</v>
      </c>
      <c r="AH17" s="32">
        <v>1448.99</v>
      </c>
      <c r="AI17" s="32">
        <v>1489.06</v>
      </c>
      <c r="AJ17" s="32">
        <v>1535.61</v>
      </c>
      <c r="AL17" s="16">
        <f t="shared" si="0"/>
        <v>1371.74</v>
      </c>
      <c r="AM17" s="16">
        <f t="shared" si="1"/>
        <v>1796.64</v>
      </c>
      <c r="AO17" s="10">
        <f t="shared" si="2"/>
        <v>1407.702184873946</v>
      </c>
      <c r="AP17" s="10">
        <f t="shared" si="2"/>
        <v>1354.4908683473368</v>
      </c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</row>
    <row r="18" spans="1:70" x14ac:dyDescent="0.3">
      <c r="A18" s="11" t="s">
        <v>38</v>
      </c>
      <c r="B18" s="32">
        <v>3194.15</v>
      </c>
      <c r="C18" s="32">
        <v>2932.5</v>
      </c>
      <c r="D18" s="32">
        <v>2682.9</v>
      </c>
      <c r="E18" s="32">
        <v>2671.41</v>
      </c>
      <c r="F18" s="32">
        <v>3130.6</v>
      </c>
      <c r="G18" s="32">
        <v>2803.79</v>
      </c>
      <c r="H18" s="32">
        <v>2985.79</v>
      </c>
      <c r="I18" s="32">
        <v>2645.22</v>
      </c>
      <c r="J18" s="32">
        <v>2922.39</v>
      </c>
      <c r="K18" s="32">
        <v>3222.79</v>
      </c>
      <c r="L18" s="32">
        <v>3064.8</v>
      </c>
      <c r="M18" s="32">
        <v>2909.2</v>
      </c>
      <c r="N18" s="32">
        <v>2833.35</v>
      </c>
      <c r="O18" s="32">
        <v>2502.9499999999998</v>
      </c>
      <c r="P18" s="32">
        <v>2856.12</v>
      </c>
      <c r="Q18" s="32">
        <v>2650.18</v>
      </c>
      <c r="R18" s="32">
        <v>3110.57</v>
      </c>
      <c r="S18" s="32">
        <v>2892.42</v>
      </c>
      <c r="T18" s="32">
        <v>3042.39</v>
      </c>
      <c r="U18" s="32">
        <v>2825.8</v>
      </c>
      <c r="V18" s="32">
        <v>2572.6</v>
      </c>
      <c r="W18" s="32">
        <v>2553.4299999999998</v>
      </c>
      <c r="X18" s="32">
        <v>2618.66</v>
      </c>
      <c r="Y18" s="32">
        <v>2950.73</v>
      </c>
      <c r="Z18" s="32">
        <v>2815.26</v>
      </c>
      <c r="AA18" s="32">
        <v>2768.77</v>
      </c>
      <c r="AB18" s="32">
        <v>2688.69</v>
      </c>
      <c r="AC18" s="32">
        <v>2277.6799999999998</v>
      </c>
      <c r="AD18" s="32">
        <v>2598.04</v>
      </c>
      <c r="AE18" s="32">
        <v>2707.02</v>
      </c>
      <c r="AF18" s="32">
        <v>2742.93</v>
      </c>
      <c r="AG18" s="32">
        <v>2468.6999999999998</v>
      </c>
      <c r="AH18" s="32">
        <v>2381.2199999999998</v>
      </c>
      <c r="AI18" s="32">
        <v>2546.56</v>
      </c>
      <c r="AJ18" s="32">
        <v>2803.43</v>
      </c>
      <c r="AL18" s="16">
        <f t="shared" si="0"/>
        <v>2277.6799999999998</v>
      </c>
      <c r="AM18" s="16">
        <f t="shared" si="1"/>
        <v>2950.73</v>
      </c>
      <c r="AO18" s="10">
        <f t="shared" si="2"/>
        <v>2529.1803277310901</v>
      </c>
      <c r="AP18" s="10">
        <f t="shared" si="2"/>
        <v>2468.9644873949583</v>
      </c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</row>
    <row r="19" spans="1:70" x14ac:dyDescent="0.3">
      <c r="A19" s="11" t="s">
        <v>39</v>
      </c>
      <c r="B19" s="32">
        <v>3102.07</v>
      </c>
      <c r="C19" s="32">
        <v>2977.02</v>
      </c>
      <c r="D19" s="32">
        <v>2827.66</v>
      </c>
      <c r="E19" s="32">
        <v>2803.08</v>
      </c>
      <c r="F19" s="32">
        <v>2921</v>
      </c>
      <c r="G19" s="32">
        <v>2881.75</v>
      </c>
      <c r="H19" s="32">
        <v>2947.93</v>
      </c>
      <c r="I19" s="32">
        <v>2865.33</v>
      </c>
      <c r="J19" s="32">
        <v>2667.66</v>
      </c>
      <c r="K19" s="32">
        <v>2934.93</v>
      </c>
      <c r="L19" s="32">
        <v>2546.37</v>
      </c>
      <c r="M19" s="32">
        <v>2612.13</v>
      </c>
      <c r="N19" s="32">
        <v>2653.79</v>
      </c>
      <c r="O19" s="32">
        <v>2792.71</v>
      </c>
      <c r="P19" s="32">
        <v>2800.86</v>
      </c>
      <c r="Q19" s="32">
        <v>2699.57</v>
      </c>
      <c r="R19" s="32">
        <v>2630.34</v>
      </c>
      <c r="S19" s="32">
        <v>2700.72</v>
      </c>
      <c r="T19" s="32">
        <v>2608.3000000000002</v>
      </c>
      <c r="U19" s="32">
        <v>2601.42</v>
      </c>
      <c r="V19" s="32">
        <v>2523.35</v>
      </c>
      <c r="W19" s="32">
        <v>2803.54</v>
      </c>
      <c r="X19" s="32">
        <v>2817.65</v>
      </c>
      <c r="Y19" s="32">
        <v>3166.33</v>
      </c>
      <c r="Z19" s="32">
        <v>2766.1</v>
      </c>
      <c r="AA19" s="32">
        <v>2861.13</v>
      </c>
      <c r="AB19" s="32">
        <v>2835.61</v>
      </c>
      <c r="AC19" s="32">
        <v>2629.47</v>
      </c>
      <c r="AD19" s="32">
        <v>2912.09</v>
      </c>
      <c r="AE19" s="32">
        <v>2744.05</v>
      </c>
      <c r="AF19" s="32">
        <v>2668.92</v>
      </c>
      <c r="AG19" s="32">
        <v>2754.34</v>
      </c>
      <c r="AH19" s="32">
        <v>2706.58</v>
      </c>
      <c r="AI19" s="32">
        <v>2744.36</v>
      </c>
      <c r="AJ19" s="32">
        <v>2643.76</v>
      </c>
      <c r="AL19" s="16">
        <f t="shared" si="0"/>
        <v>2629.47</v>
      </c>
      <c r="AM19" s="16">
        <f t="shared" si="1"/>
        <v>3166.33</v>
      </c>
      <c r="AO19" s="10">
        <f t="shared" si="2"/>
        <v>2681.0723193277317</v>
      </c>
      <c r="AP19" s="10">
        <f t="shared" si="2"/>
        <v>2658.5254565826344</v>
      </c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</row>
    <row r="20" spans="1:70" x14ac:dyDescent="0.3">
      <c r="A20" s="11" t="s">
        <v>40</v>
      </c>
      <c r="B20" s="32">
        <v>2258.2399999999998</v>
      </c>
      <c r="C20" s="32">
        <v>2099.59</v>
      </c>
      <c r="D20" s="32">
        <v>2071.21</v>
      </c>
      <c r="E20" s="32">
        <v>2022.05</v>
      </c>
      <c r="F20" s="32">
        <v>2362.6999999999998</v>
      </c>
      <c r="G20" s="32">
        <v>2003.66</v>
      </c>
      <c r="H20" s="32">
        <v>2112.0100000000002</v>
      </c>
      <c r="I20" s="32">
        <v>1900.18</v>
      </c>
      <c r="J20" s="32">
        <v>2064.36</v>
      </c>
      <c r="K20" s="32">
        <v>2091.42</v>
      </c>
      <c r="L20" s="32">
        <v>1944.92</v>
      </c>
      <c r="M20" s="32">
        <v>2032.6</v>
      </c>
      <c r="N20" s="32">
        <v>2000.4</v>
      </c>
      <c r="O20" s="32">
        <v>1848.2</v>
      </c>
      <c r="P20" s="32">
        <v>1877.19</v>
      </c>
      <c r="Q20" s="32">
        <v>1804.77</v>
      </c>
      <c r="R20" s="32">
        <v>2007.84</v>
      </c>
      <c r="S20" s="32">
        <v>2006.05</v>
      </c>
      <c r="T20" s="32">
        <v>2162.84</v>
      </c>
      <c r="U20" s="32">
        <v>1949</v>
      </c>
      <c r="V20" s="32">
        <v>1836.76</v>
      </c>
      <c r="W20" s="32">
        <v>1896.16</v>
      </c>
      <c r="X20" s="32">
        <v>1947.26</v>
      </c>
      <c r="Y20" s="32">
        <v>2074.34</v>
      </c>
      <c r="Z20" s="32">
        <v>1856.24</v>
      </c>
      <c r="AA20" s="32">
        <v>1952.79</v>
      </c>
      <c r="AB20" s="32">
        <v>1932.55</v>
      </c>
      <c r="AC20" s="32">
        <v>1631.87</v>
      </c>
      <c r="AD20" s="32">
        <v>1808.06</v>
      </c>
      <c r="AE20" s="32">
        <v>1766.12</v>
      </c>
      <c r="AF20" s="32">
        <v>1879.86</v>
      </c>
      <c r="AG20" s="32">
        <v>1746.84</v>
      </c>
      <c r="AH20" s="32">
        <v>1813.91</v>
      </c>
      <c r="AI20" s="32">
        <v>1750.4</v>
      </c>
      <c r="AJ20" s="32">
        <v>1916.57</v>
      </c>
      <c r="AL20" s="16">
        <f t="shared" si="0"/>
        <v>1631.87</v>
      </c>
      <c r="AM20" s="16">
        <f t="shared" si="1"/>
        <v>2074.34</v>
      </c>
      <c r="AO20" s="10">
        <f t="shared" si="2"/>
        <v>1739.3533781512597</v>
      </c>
      <c r="AP20" s="10">
        <f t="shared" si="2"/>
        <v>1687.98200560224</v>
      </c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</row>
    <row r="21" spans="1:70" x14ac:dyDescent="0.3">
      <c r="A21" s="11" t="s">
        <v>0</v>
      </c>
      <c r="B21" s="32">
        <v>5057.8100000000004</v>
      </c>
      <c r="C21" s="32">
        <v>4295.62</v>
      </c>
      <c r="D21" s="32">
        <v>3732.62</v>
      </c>
      <c r="E21" s="32">
        <v>3762.31</v>
      </c>
      <c r="F21" s="32">
        <v>4020.92</v>
      </c>
      <c r="G21" s="32">
        <v>4031.67</v>
      </c>
      <c r="H21" s="32">
        <v>4408.7299999999996</v>
      </c>
      <c r="I21" s="32">
        <v>4399.3900000000003</v>
      </c>
      <c r="J21" s="32">
        <v>4110.72</v>
      </c>
      <c r="K21" s="32">
        <v>4707.55</v>
      </c>
      <c r="L21" s="32">
        <v>4284.1000000000004</v>
      </c>
      <c r="M21" s="32">
        <v>4269.8100000000004</v>
      </c>
      <c r="N21" s="32">
        <v>3972.04</v>
      </c>
      <c r="O21" s="32">
        <v>3732.08</v>
      </c>
      <c r="P21" s="32">
        <v>4180.03</v>
      </c>
      <c r="Q21" s="32">
        <v>4057.45</v>
      </c>
      <c r="R21" s="32">
        <v>4244.78</v>
      </c>
      <c r="S21" s="32">
        <v>4206.53</v>
      </c>
      <c r="T21" s="32">
        <v>4181.3</v>
      </c>
      <c r="U21" s="32">
        <v>4013.78</v>
      </c>
      <c r="V21" s="32">
        <v>3900.67</v>
      </c>
      <c r="W21" s="32">
        <v>3727.95</v>
      </c>
      <c r="X21" s="32">
        <v>4150.4399999999996</v>
      </c>
      <c r="Y21" s="32">
        <v>4635.9799999999996</v>
      </c>
      <c r="Z21" s="32">
        <v>3937.92</v>
      </c>
      <c r="AA21" s="32">
        <v>4322.0200000000004</v>
      </c>
      <c r="AB21" s="32">
        <v>4036.79</v>
      </c>
      <c r="AC21" s="32">
        <v>3939.85</v>
      </c>
      <c r="AD21" s="32">
        <v>3657.39</v>
      </c>
      <c r="AE21" s="32">
        <v>4002.81</v>
      </c>
      <c r="AF21" s="32">
        <v>3997.38</v>
      </c>
      <c r="AG21" s="32">
        <v>3862.19</v>
      </c>
      <c r="AH21" s="32">
        <v>3622.92</v>
      </c>
      <c r="AI21" s="32">
        <v>3403.51</v>
      </c>
      <c r="AJ21" s="32">
        <v>4143.7</v>
      </c>
      <c r="AL21" s="16">
        <f t="shared" si="0"/>
        <v>3403.51</v>
      </c>
      <c r="AM21" s="16">
        <f t="shared" si="1"/>
        <v>4635.9799999999996</v>
      </c>
      <c r="AO21" s="10">
        <f t="shared" si="2"/>
        <v>3805.6537142857123</v>
      </c>
      <c r="AP21" s="10">
        <f t="shared" si="2"/>
        <v>3738.8994285714289</v>
      </c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</row>
    <row r="22" spans="1:70" x14ac:dyDescent="0.3">
      <c r="A22" s="11" t="s">
        <v>41</v>
      </c>
      <c r="B22" s="32">
        <v>4841.84</v>
      </c>
      <c r="C22" s="32">
        <v>4127.8599999999997</v>
      </c>
      <c r="D22" s="32">
        <v>3564.61</v>
      </c>
      <c r="E22" s="32">
        <v>3561.46</v>
      </c>
      <c r="F22" s="32">
        <v>3906.56</v>
      </c>
      <c r="G22" s="32">
        <v>3871.75</v>
      </c>
      <c r="H22" s="32">
        <v>4183.6400000000003</v>
      </c>
      <c r="I22" s="32">
        <v>4134.46</v>
      </c>
      <c r="J22" s="32">
        <v>3987.29</v>
      </c>
      <c r="K22" s="32">
        <v>4607.8599999999997</v>
      </c>
      <c r="L22" s="32">
        <v>4139.71</v>
      </c>
      <c r="M22" s="32">
        <v>4072.47</v>
      </c>
      <c r="N22" s="32">
        <v>3812.06</v>
      </c>
      <c r="O22" s="32">
        <v>3566.72</v>
      </c>
      <c r="P22" s="32">
        <v>4011.72</v>
      </c>
      <c r="Q22" s="32">
        <v>3834.5</v>
      </c>
      <c r="R22" s="32">
        <v>4085.35</v>
      </c>
      <c r="S22" s="32">
        <v>4071.09</v>
      </c>
      <c r="T22" s="32">
        <v>4020.15</v>
      </c>
      <c r="U22" s="32">
        <v>3892.89</v>
      </c>
      <c r="V22" s="32">
        <v>3739.7</v>
      </c>
      <c r="W22" s="32">
        <v>3555.94</v>
      </c>
      <c r="X22" s="32">
        <v>3949.81</v>
      </c>
      <c r="Y22" s="32">
        <v>4415</v>
      </c>
      <c r="Z22" s="32">
        <v>3767.86</v>
      </c>
      <c r="AA22" s="32">
        <v>4081.27</v>
      </c>
      <c r="AB22" s="32">
        <v>3873.17</v>
      </c>
      <c r="AC22" s="32">
        <v>3729.28</v>
      </c>
      <c r="AD22" s="32">
        <v>3523.32</v>
      </c>
      <c r="AE22" s="32">
        <v>3829.94</v>
      </c>
      <c r="AF22" s="32">
        <v>3761.5</v>
      </c>
      <c r="AG22" s="32">
        <v>3687.57</v>
      </c>
      <c r="AH22" s="32">
        <v>3391.36</v>
      </c>
      <c r="AI22" s="32">
        <v>3305.64</v>
      </c>
      <c r="AJ22" s="32">
        <v>4016.22</v>
      </c>
      <c r="AL22" s="16">
        <f t="shared" si="0"/>
        <v>3305.64</v>
      </c>
      <c r="AM22" s="16">
        <f t="shared" si="1"/>
        <v>4415</v>
      </c>
      <c r="AO22" s="10">
        <f t="shared" si="2"/>
        <v>3631.847739495799</v>
      </c>
      <c r="AP22" s="10">
        <f t="shared" si="2"/>
        <v>3565.1341400560232</v>
      </c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</row>
    <row r="23" spans="1:70" x14ac:dyDescent="0.3">
      <c r="A23" s="11" t="s">
        <v>42</v>
      </c>
      <c r="B23" s="32">
        <v>3524.11</v>
      </c>
      <c r="C23" s="32">
        <v>2975.56</v>
      </c>
      <c r="D23" s="32">
        <v>2879.86</v>
      </c>
      <c r="E23" s="32">
        <v>2926.58</v>
      </c>
      <c r="F23" s="32">
        <v>3291.74</v>
      </c>
      <c r="G23" s="32">
        <v>3017.98</v>
      </c>
      <c r="H23" s="32">
        <v>3168.95</v>
      </c>
      <c r="I23" s="32">
        <v>2881.32</v>
      </c>
      <c r="J23" s="32">
        <v>3051.64</v>
      </c>
      <c r="K23" s="32">
        <v>3547.24</v>
      </c>
      <c r="L23" s="32">
        <v>3012.35</v>
      </c>
      <c r="M23" s="32">
        <v>3032.74</v>
      </c>
      <c r="N23" s="32">
        <v>2873.82</v>
      </c>
      <c r="O23" s="32">
        <v>2730.74</v>
      </c>
      <c r="P23" s="32">
        <v>2989.14</v>
      </c>
      <c r="Q23" s="32">
        <v>2784.61</v>
      </c>
      <c r="R23" s="32">
        <v>2893.41</v>
      </c>
      <c r="S23" s="32">
        <v>3081.54</v>
      </c>
      <c r="T23" s="32">
        <v>2958.31</v>
      </c>
      <c r="U23" s="32">
        <v>2833.89</v>
      </c>
      <c r="V23" s="32">
        <v>2643.84</v>
      </c>
      <c r="W23" s="32">
        <v>2912.21</v>
      </c>
      <c r="X23" s="32">
        <v>2869.92</v>
      </c>
      <c r="Y23" s="32">
        <v>3344.46</v>
      </c>
      <c r="Z23" s="32">
        <v>2633.71</v>
      </c>
      <c r="AA23" s="32">
        <v>2921.04</v>
      </c>
      <c r="AB23" s="32">
        <v>3204.69</v>
      </c>
      <c r="AC23" s="32">
        <v>2515.66</v>
      </c>
      <c r="AD23" s="32">
        <v>2850.7</v>
      </c>
      <c r="AE23" s="32">
        <v>2962.58</v>
      </c>
      <c r="AF23" s="32">
        <v>2871.62</v>
      </c>
      <c r="AG23" s="32">
        <v>2666.78</v>
      </c>
      <c r="AH23" s="32">
        <v>2753.6</v>
      </c>
      <c r="AI23" s="32">
        <v>2567.27</v>
      </c>
      <c r="AJ23" s="32">
        <v>3173.52</v>
      </c>
      <c r="AL23" s="16">
        <f t="shared" si="0"/>
        <v>2515.66</v>
      </c>
      <c r="AM23" s="16">
        <f t="shared" si="1"/>
        <v>3344.46</v>
      </c>
      <c r="AO23" s="10">
        <f t="shared" si="2"/>
        <v>2741.6819075630265</v>
      </c>
      <c r="AP23" s="10">
        <f t="shared" si="2"/>
        <v>2691.4216134453782</v>
      </c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</row>
    <row r="24" spans="1:70" x14ac:dyDescent="0.3">
      <c r="A24" s="11" t="s">
        <v>43</v>
      </c>
      <c r="B24" s="32">
        <v>652.62</v>
      </c>
      <c r="C24" s="32">
        <v>562.25</v>
      </c>
      <c r="D24" s="32">
        <v>491.21</v>
      </c>
      <c r="E24" s="32">
        <v>472.5</v>
      </c>
      <c r="F24" s="32">
        <v>624.62</v>
      </c>
      <c r="G24" s="32">
        <v>628.29999999999995</v>
      </c>
      <c r="H24" s="32">
        <v>638.4</v>
      </c>
      <c r="I24" s="32">
        <v>469.26</v>
      </c>
      <c r="J24" s="32">
        <v>497.49</v>
      </c>
      <c r="K24" s="32">
        <v>465.49</v>
      </c>
      <c r="L24" s="32">
        <v>489.38</v>
      </c>
      <c r="M24" s="32">
        <v>571.49</v>
      </c>
      <c r="N24" s="32">
        <v>554.91</v>
      </c>
      <c r="O24" s="32">
        <v>512.79</v>
      </c>
      <c r="P24" s="32">
        <v>419.81</v>
      </c>
      <c r="Q24" s="32">
        <v>449.86</v>
      </c>
      <c r="R24" s="32">
        <v>646.01</v>
      </c>
      <c r="S24" s="32">
        <v>550.67999999999995</v>
      </c>
      <c r="T24" s="32">
        <v>713.46</v>
      </c>
      <c r="U24" s="32">
        <v>506.75</v>
      </c>
      <c r="V24" s="32">
        <v>367.07</v>
      </c>
      <c r="W24" s="32">
        <v>345.03</v>
      </c>
      <c r="X24" s="32">
        <v>534.04999999999995</v>
      </c>
      <c r="Y24" s="32">
        <v>402.95</v>
      </c>
      <c r="Z24" s="32">
        <v>549.19000000000005</v>
      </c>
      <c r="AA24" s="32">
        <v>662.36</v>
      </c>
      <c r="AB24" s="32">
        <v>460.65</v>
      </c>
      <c r="AC24" s="32">
        <v>374.61</v>
      </c>
      <c r="AD24" s="32">
        <v>543.9</v>
      </c>
      <c r="AE24" s="32">
        <v>322.36</v>
      </c>
      <c r="AF24" s="32">
        <v>534.15</v>
      </c>
      <c r="AG24" s="32">
        <v>365.57</v>
      </c>
      <c r="AH24" s="32">
        <v>515.23</v>
      </c>
      <c r="AI24" s="32">
        <v>401.93</v>
      </c>
      <c r="AJ24" s="32">
        <v>465.87</v>
      </c>
      <c r="AL24" s="16">
        <f t="shared" si="0"/>
        <v>322.36</v>
      </c>
      <c r="AM24" s="16">
        <f t="shared" si="1"/>
        <v>662.36</v>
      </c>
      <c r="AO24" s="10">
        <f t="shared" si="2"/>
        <v>426.24742857142792</v>
      </c>
      <c r="AP24" s="10">
        <f t="shared" si="2"/>
        <v>406.90361904761903</v>
      </c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</row>
    <row r="25" spans="1:70" x14ac:dyDescent="0.3">
      <c r="A25" s="11" t="s">
        <v>44</v>
      </c>
      <c r="B25" s="32">
        <v>3381.93</v>
      </c>
      <c r="C25" s="32">
        <v>2772.12</v>
      </c>
      <c r="D25" s="32">
        <v>2620.0500000000002</v>
      </c>
      <c r="E25" s="32">
        <v>2582.06</v>
      </c>
      <c r="F25" s="32">
        <v>3022.8</v>
      </c>
      <c r="G25" s="32">
        <v>2718.02</v>
      </c>
      <c r="H25" s="32">
        <v>2967.41</v>
      </c>
      <c r="I25" s="32">
        <v>2745.25</v>
      </c>
      <c r="J25" s="32">
        <v>2822.84</v>
      </c>
      <c r="K25" s="32">
        <v>3452.64</v>
      </c>
      <c r="L25" s="32">
        <v>2871.12</v>
      </c>
      <c r="M25" s="32">
        <v>2662.92</v>
      </c>
      <c r="N25" s="32">
        <v>2551.85</v>
      </c>
      <c r="O25" s="32">
        <v>2496.48</v>
      </c>
      <c r="P25" s="32">
        <v>2728.84</v>
      </c>
      <c r="Q25" s="32">
        <v>2594.89</v>
      </c>
      <c r="R25" s="32">
        <v>2762.17</v>
      </c>
      <c r="S25" s="32">
        <v>2772.07</v>
      </c>
      <c r="T25" s="32">
        <v>2650.18</v>
      </c>
      <c r="U25" s="32">
        <v>2566.5100000000002</v>
      </c>
      <c r="V25" s="32">
        <v>2424.77</v>
      </c>
      <c r="W25" s="32">
        <v>2697.32</v>
      </c>
      <c r="X25" s="32">
        <v>2727.14</v>
      </c>
      <c r="Y25" s="32">
        <v>3311.71</v>
      </c>
      <c r="Z25" s="32">
        <v>2516.5700000000002</v>
      </c>
      <c r="AA25" s="32">
        <v>2817.13</v>
      </c>
      <c r="AB25" s="32">
        <v>3012.96</v>
      </c>
      <c r="AC25" s="32">
        <v>2282.08</v>
      </c>
      <c r="AD25" s="32">
        <v>2625.49</v>
      </c>
      <c r="AE25" s="32">
        <v>2679.86</v>
      </c>
      <c r="AF25" s="32">
        <v>2538.98</v>
      </c>
      <c r="AG25" s="32">
        <v>2528.64</v>
      </c>
      <c r="AH25" s="32">
        <v>2514.41</v>
      </c>
      <c r="AI25" s="32">
        <v>2386.31</v>
      </c>
      <c r="AJ25" s="32">
        <v>2722.19</v>
      </c>
      <c r="AL25" s="16">
        <f t="shared" si="0"/>
        <v>2282.08</v>
      </c>
      <c r="AM25" s="16">
        <f t="shared" si="1"/>
        <v>3311.71</v>
      </c>
      <c r="AO25" s="10">
        <f t="shared" si="2"/>
        <v>2516.2767899159662</v>
      </c>
      <c r="AP25" s="10">
        <f t="shared" si="2"/>
        <v>2465.5419439775906</v>
      </c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</row>
    <row r="26" spans="1:70" x14ac:dyDescent="0.3">
      <c r="A26" s="11" t="s">
        <v>6</v>
      </c>
      <c r="B26" s="32">
        <v>6144.35</v>
      </c>
      <c r="C26" s="32">
        <v>5721.44</v>
      </c>
      <c r="D26" s="32">
        <v>5292.45</v>
      </c>
      <c r="E26" s="32">
        <v>5196.17</v>
      </c>
      <c r="F26" s="32">
        <v>5504.97</v>
      </c>
      <c r="G26" s="32">
        <v>5485.84</v>
      </c>
      <c r="H26" s="32">
        <v>5795.22</v>
      </c>
      <c r="I26" s="32">
        <v>5807.65</v>
      </c>
      <c r="J26" s="32">
        <v>5763.87</v>
      </c>
      <c r="K26" s="32">
        <v>5956</v>
      </c>
      <c r="L26" s="32">
        <v>5534.67</v>
      </c>
      <c r="M26" s="32">
        <v>5783.77</v>
      </c>
      <c r="N26" s="32">
        <v>5563.16</v>
      </c>
      <c r="O26" s="32">
        <v>5334.5</v>
      </c>
      <c r="P26" s="32">
        <v>5760.83</v>
      </c>
      <c r="Q26" s="32">
        <v>5474.51</v>
      </c>
      <c r="R26" s="32">
        <v>5387.57</v>
      </c>
      <c r="S26" s="32">
        <v>5431.36</v>
      </c>
      <c r="T26" s="32">
        <v>5365.38</v>
      </c>
      <c r="U26" s="32">
        <v>5228.96</v>
      </c>
      <c r="V26" s="32">
        <v>5404.05</v>
      </c>
      <c r="W26" s="32">
        <v>5450.1</v>
      </c>
      <c r="X26" s="32">
        <v>5527.4</v>
      </c>
      <c r="Y26" s="32">
        <v>6205.66</v>
      </c>
      <c r="Z26" s="32">
        <v>5198.76</v>
      </c>
      <c r="AA26" s="32">
        <v>5783.7</v>
      </c>
      <c r="AB26" s="32">
        <v>5492.84</v>
      </c>
      <c r="AC26" s="32">
        <v>5136.42</v>
      </c>
      <c r="AD26" s="32">
        <v>5264.25</v>
      </c>
      <c r="AE26" s="32">
        <v>5371.01</v>
      </c>
      <c r="AF26" s="32">
        <v>5513.51</v>
      </c>
      <c r="AG26" s="32">
        <v>5420.27</v>
      </c>
      <c r="AH26" s="32">
        <v>5509.44</v>
      </c>
      <c r="AI26" s="32">
        <v>5098.68</v>
      </c>
      <c r="AJ26" s="32">
        <v>5539.23</v>
      </c>
      <c r="AL26" s="16">
        <f t="shared" si="0"/>
        <v>5098.68</v>
      </c>
      <c r="AM26" s="16">
        <f t="shared" si="1"/>
        <v>6205.66</v>
      </c>
      <c r="AO26" s="10">
        <f t="shared" si="2"/>
        <v>5335.2231344537831</v>
      </c>
      <c r="AP26" s="10">
        <f t="shared" si="2"/>
        <v>5289.5416358543407</v>
      </c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</row>
    <row r="27" spans="1:70" x14ac:dyDescent="0.3">
      <c r="A27" s="11" t="s">
        <v>14</v>
      </c>
      <c r="B27" s="32">
        <v>4177.09</v>
      </c>
      <c r="C27" s="32">
        <v>3572.6</v>
      </c>
      <c r="D27" s="32">
        <v>3206.73</v>
      </c>
      <c r="E27" s="32">
        <v>3192.33</v>
      </c>
      <c r="F27" s="32">
        <v>3697.57</v>
      </c>
      <c r="G27" s="32">
        <v>3518.67</v>
      </c>
      <c r="H27" s="32">
        <v>3702.4</v>
      </c>
      <c r="I27" s="32">
        <v>3458.68</v>
      </c>
      <c r="J27" s="32">
        <v>3626.12</v>
      </c>
      <c r="K27" s="32">
        <v>4151.88</v>
      </c>
      <c r="L27" s="32">
        <v>3693.19</v>
      </c>
      <c r="M27" s="32">
        <v>3563.27</v>
      </c>
      <c r="N27" s="32">
        <v>3330.74</v>
      </c>
      <c r="O27" s="32">
        <v>3104.32</v>
      </c>
      <c r="P27" s="32">
        <v>3588.96</v>
      </c>
      <c r="Q27" s="32">
        <v>3344.88</v>
      </c>
      <c r="R27" s="32">
        <v>3597.66</v>
      </c>
      <c r="S27" s="32">
        <v>3515.39</v>
      </c>
      <c r="T27" s="32">
        <v>3544.15</v>
      </c>
      <c r="U27" s="32">
        <v>3462.59</v>
      </c>
      <c r="V27" s="32">
        <v>3232.13</v>
      </c>
      <c r="W27" s="32">
        <v>3174.47</v>
      </c>
      <c r="X27" s="32">
        <v>3448.86</v>
      </c>
      <c r="Y27" s="32">
        <v>3923.03</v>
      </c>
      <c r="Z27" s="32">
        <v>3315.94</v>
      </c>
      <c r="AA27" s="32">
        <v>3551.16</v>
      </c>
      <c r="AB27" s="32">
        <v>3502.91</v>
      </c>
      <c r="AC27" s="32">
        <v>3094.64</v>
      </c>
      <c r="AD27" s="32">
        <v>3112.56</v>
      </c>
      <c r="AE27" s="32">
        <v>3286.01</v>
      </c>
      <c r="AF27" s="32">
        <v>3288.37</v>
      </c>
      <c r="AG27" s="32">
        <v>3123.43</v>
      </c>
      <c r="AH27" s="32">
        <v>2951.82</v>
      </c>
      <c r="AI27" s="32">
        <v>3006.1</v>
      </c>
      <c r="AJ27" s="32">
        <v>3491.49</v>
      </c>
      <c r="AL27" s="16">
        <f t="shared" si="0"/>
        <v>2951.82</v>
      </c>
      <c r="AM27" s="16">
        <f t="shared" si="1"/>
        <v>3923.03</v>
      </c>
      <c r="AO27" s="10">
        <f t="shared" si="2"/>
        <v>3149.2772689075646</v>
      </c>
      <c r="AP27" s="10">
        <f t="shared" si="2"/>
        <v>3079.0226050420169</v>
      </c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</row>
    <row r="28" spans="1:70" x14ac:dyDescent="0.3">
      <c r="A28" s="11" t="s">
        <v>45</v>
      </c>
      <c r="B28" s="32">
        <v>1236.8599999999999</v>
      </c>
      <c r="C28" s="32">
        <v>1296.8399999999999</v>
      </c>
      <c r="D28" s="32">
        <v>1145.07</v>
      </c>
      <c r="E28" s="32">
        <v>1236.54</v>
      </c>
      <c r="F28" s="32">
        <v>1464.02</v>
      </c>
      <c r="G28" s="32">
        <v>1257.57</v>
      </c>
      <c r="H28" s="32">
        <v>1399.62</v>
      </c>
      <c r="I28" s="32">
        <v>1130.96</v>
      </c>
      <c r="J28" s="32">
        <v>925.05</v>
      </c>
      <c r="K28" s="32">
        <v>1231.3599999999999</v>
      </c>
      <c r="L28" s="32">
        <v>903.76</v>
      </c>
      <c r="M28" s="32">
        <v>1139.31</v>
      </c>
      <c r="N28" s="32">
        <v>1261.1600000000001</v>
      </c>
      <c r="O28" s="32">
        <v>1263.95</v>
      </c>
      <c r="P28" s="32">
        <v>1246.56</v>
      </c>
      <c r="Q28" s="32">
        <v>1137.33</v>
      </c>
      <c r="R28" s="32">
        <v>1220.4000000000001</v>
      </c>
      <c r="S28" s="32">
        <v>1344.48</v>
      </c>
      <c r="T28" s="32">
        <v>1338.02</v>
      </c>
      <c r="U28" s="32">
        <v>1189.3</v>
      </c>
      <c r="V28" s="32">
        <v>1236.5999999999999</v>
      </c>
      <c r="W28" s="32">
        <v>1267.83</v>
      </c>
      <c r="X28" s="32">
        <v>1153.8499999999999</v>
      </c>
      <c r="Y28" s="32">
        <v>1298.28</v>
      </c>
      <c r="Z28" s="32">
        <v>1089.29</v>
      </c>
      <c r="AA28" s="32">
        <v>1347.73</v>
      </c>
      <c r="AB28" s="32">
        <v>1336.17</v>
      </c>
      <c r="AC28" s="32">
        <v>1138.56</v>
      </c>
      <c r="AD28" s="32">
        <v>1080.28</v>
      </c>
      <c r="AE28" s="32">
        <v>1233.04</v>
      </c>
      <c r="AF28" s="32">
        <v>1054.83</v>
      </c>
      <c r="AG28" s="32">
        <v>1307.33</v>
      </c>
      <c r="AH28" s="32">
        <v>1109.07</v>
      </c>
      <c r="AI28" s="32">
        <v>1007.58</v>
      </c>
      <c r="AJ28" s="32">
        <v>1064.78</v>
      </c>
      <c r="AL28" s="16">
        <f t="shared" si="0"/>
        <v>1007.58</v>
      </c>
      <c r="AM28" s="16">
        <f t="shared" si="1"/>
        <v>1347.73</v>
      </c>
      <c r="AO28" s="10">
        <f t="shared" si="2"/>
        <v>1146.2044117647056</v>
      </c>
      <c r="AP28" s="10">
        <f t="shared" si="2"/>
        <v>1132.7607002801115</v>
      </c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</row>
    <row r="29" spans="1:70" x14ac:dyDescent="0.3">
      <c r="A29" s="11" t="s">
        <v>46</v>
      </c>
      <c r="B29" s="32">
        <v>3535.44</v>
      </c>
      <c r="C29" s="32">
        <v>3308.43</v>
      </c>
      <c r="D29" s="32">
        <v>2916.96</v>
      </c>
      <c r="E29" s="32">
        <v>2876.32</v>
      </c>
      <c r="F29" s="32">
        <v>3343.45</v>
      </c>
      <c r="G29" s="32">
        <v>3190.37</v>
      </c>
      <c r="H29" s="32">
        <v>3362.06</v>
      </c>
      <c r="I29" s="32">
        <v>2842.33</v>
      </c>
      <c r="J29" s="32">
        <v>3225.86</v>
      </c>
      <c r="K29" s="32">
        <v>3471.01</v>
      </c>
      <c r="L29" s="32">
        <v>3374.12</v>
      </c>
      <c r="M29" s="32">
        <v>3218.44</v>
      </c>
      <c r="N29" s="32">
        <v>3000.93</v>
      </c>
      <c r="O29" s="32">
        <v>2931.43</v>
      </c>
      <c r="P29" s="32">
        <v>3028.97</v>
      </c>
      <c r="Q29" s="32">
        <v>2932</v>
      </c>
      <c r="R29" s="32">
        <v>3393.84</v>
      </c>
      <c r="S29" s="32">
        <v>3107.75</v>
      </c>
      <c r="T29" s="32">
        <v>3248.31</v>
      </c>
      <c r="U29" s="32">
        <v>3164.93</v>
      </c>
      <c r="V29" s="32">
        <v>2837.51</v>
      </c>
      <c r="W29" s="32">
        <v>2871.73</v>
      </c>
      <c r="X29" s="32">
        <v>2850.3</v>
      </c>
      <c r="Y29" s="32">
        <v>3056.91</v>
      </c>
      <c r="Z29" s="32">
        <v>3174.1</v>
      </c>
      <c r="AA29" s="32">
        <v>3089.55</v>
      </c>
      <c r="AB29" s="32">
        <v>2865.71</v>
      </c>
      <c r="AC29" s="32">
        <v>2730.97</v>
      </c>
      <c r="AD29" s="32">
        <v>2787.05</v>
      </c>
      <c r="AE29" s="32">
        <v>2920.43</v>
      </c>
      <c r="AF29" s="32">
        <v>2918.88</v>
      </c>
      <c r="AG29" s="32">
        <v>2748.49</v>
      </c>
      <c r="AH29" s="32">
        <v>2568.23</v>
      </c>
      <c r="AI29" s="32">
        <v>2665.91</v>
      </c>
      <c r="AJ29" s="32">
        <v>2993.6</v>
      </c>
      <c r="AL29" s="16">
        <f t="shared" si="0"/>
        <v>2568.23</v>
      </c>
      <c r="AM29" s="16">
        <f t="shared" si="1"/>
        <v>3174.1</v>
      </c>
      <c r="AO29" s="10">
        <f t="shared" si="2"/>
        <v>2734.8348235294143</v>
      </c>
      <c r="AP29" s="10">
        <f t="shared" si="2"/>
        <v>2661.1402577030858</v>
      </c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</row>
    <row r="30" spans="1:70" x14ac:dyDescent="0.3">
      <c r="A30" s="11" t="s">
        <v>47</v>
      </c>
      <c r="B30" s="32">
        <v>3780.36</v>
      </c>
      <c r="C30" s="32">
        <v>3477.1</v>
      </c>
      <c r="D30" s="32">
        <v>3248.53</v>
      </c>
      <c r="E30" s="32">
        <v>3260.97</v>
      </c>
      <c r="F30" s="32">
        <v>3656.04</v>
      </c>
      <c r="G30" s="32">
        <v>3418.1</v>
      </c>
      <c r="H30" s="32">
        <v>3503.01</v>
      </c>
      <c r="I30" s="32">
        <v>3164.14</v>
      </c>
      <c r="J30" s="32">
        <v>3476.43</v>
      </c>
      <c r="K30" s="32">
        <v>3768.25</v>
      </c>
      <c r="L30" s="32">
        <v>3591.63</v>
      </c>
      <c r="M30" s="32">
        <v>3438.43</v>
      </c>
      <c r="N30" s="32">
        <v>3302.84</v>
      </c>
      <c r="O30" s="32">
        <v>3057.85</v>
      </c>
      <c r="P30" s="32">
        <v>3419.03</v>
      </c>
      <c r="Q30" s="32">
        <v>3231.5</v>
      </c>
      <c r="R30" s="32">
        <v>3473.71</v>
      </c>
      <c r="S30" s="32">
        <v>3436.66</v>
      </c>
      <c r="T30" s="32">
        <v>3542.9</v>
      </c>
      <c r="U30" s="32">
        <v>3383.84</v>
      </c>
      <c r="V30" s="32">
        <v>3098</v>
      </c>
      <c r="W30" s="32">
        <v>3044.68</v>
      </c>
      <c r="X30" s="32">
        <v>3182.56</v>
      </c>
      <c r="Y30" s="32">
        <v>3491.35</v>
      </c>
      <c r="Z30" s="32">
        <v>3244.11</v>
      </c>
      <c r="AA30" s="32">
        <v>3296.36</v>
      </c>
      <c r="AB30" s="32">
        <v>3237.52</v>
      </c>
      <c r="AC30" s="32">
        <v>2713.17</v>
      </c>
      <c r="AD30" s="32">
        <v>3058.95</v>
      </c>
      <c r="AE30" s="32">
        <v>3176.37</v>
      </c>
      <c r="AF30" s="32">
        <v>3289.94</v>
      </c>
      <c r="AG30" s="32">
        <v>2923.83</v>
      </c>
      <c r="AH30" s="32">
        <v>2899.05</v>
      </c>
      <c r="AI30" s="32">
        <v>3046.66</v>
      </c>
      <c r="AJ30" s="32">
        <v>3382.63</v>
      </c>
      <c r="AL30" s="16">
        <f t="shared" si="0"/>
        <v>2713.17</v>
      </c>
      <c r="AM30" s="16">
        <f t="shared" si="1"/>
        <v>3491.35</v>
      </c>
      <c r="AO30" s="10">
        <f t="shared" si="2"/>
        <v>3012.3694789915971</v>
      </c>
      <c r="AP30" s="10">
        <f t="shared" si="2"/>
        <v>2942.4132324929997</v>
      </c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</row>
    <row r="31" spans="1:70" x14ac:dyDescent="0.3">
      <c r="A31" s="11" t="s">
        <v>48</v>
      </c>
      <c r="B31" s="32">
        <v>3369.15</v>
      </c>
      <c r="C31" s="32">
        <v>3053.55</v>
      </c>
      <c r="D31" s="32">
        <v>2939.76</v>
      </c>
      <c r="E31" s="32">
        <v>2892.68</v>
      </c>
      <c r="F31" s="32">
        <v>3349.87</v>
      </c>
      <c r="G31" s="32">
        <v>2932.42</v>
      </c>
      <c r="H31" s="32">
        <v>3085.84</v>
      </c>
      <c r="I31" s="32">
        <v>2771.52</v>
      </c>
      <c r="J31" s="32">
        <v>3118.92</v>
      </c>
      <c r="K31" s="32">
        <v>3429.66</v>
      </c>
      <c r="L31" s="32">
        <v>3065.76</v>
      </c>
      <c r="M31" s="32">
        <v>3029.43</v>
      </c>
      <c r="N31" s="32">
        <v>2933.6</v>
      </c>
      <c r="O31" s="32">
        <v>2594.38</v>
      </c>
      <c r="P31" s="32">
        <v>2877.1</v>
      </c>
      <c r="Q31" s="32">
        <v>2674.53</v>
      </c>
      <c r="R31" s="32">
        <v>3063.34</v>
      </c>
      <c r="S31" s="32">
        <v>3072.24</v>
      </c>
      <c r="T31" s="32">
        <v>3192.52</v>
      </c>
      <c r="U31" s="32">
        <v>2978.51</v>
      </c>
      <c r="V31" s="32">
        <v>2685.84</v>
      </c>
      <c r="W31" s="32">
        <v>2793.77</v>
      </c>
      <c r="X31" s="32">
        <v>2795.7</v>
      </c>
      <c r="Y31" s="32">
        <v>3136.59</v>
      </c>
      <c r="Z31" s="32">
        <v>2826.88</v>
      </c>
      <c r="AA31" s="32">
        <v>2836.51</v>
      </c>
      <c r="AB31" s="32">
        <v>2870.67</v>
      </c>
      <c r="AC31" s="32">
        <v>2345.7199999999998</v>
      </c>
      <c r="AD31" s="32">
        <v>2703.06</v>
      </c>
      <c r="AE31" s="32">
        <v>2759.75</v>
      </c>
      <c r="AF31" s="32">
        <v>2834.88</v>
      </c>
      <c r="AG31" s="32">
        <v>2579.61</v>
      </c>
      <c r="AH31" s="32">
        <v>2600.7199999999998</v>
      </c>
      <c r="AI31" s="32">
        <v>2690.84</v>
      </c>
      <c r="AJ31" s="32">
        <v>2985.84</v>
      </c>
      <c r="AL31" s="16">
        <f t="shared" si="0"/>
        <v>2345.7199999999998</v>
      </c>
      <c r="AM31" s="16">
        <f t="shared" si="1"/>
        <v>3136.59</v>
      </c>
      <c r="AO31" s="10">
        <f t="shared" si="2"/>
        <v>2635.5402773109272</v>
      </c>
      <c r="AP31" s="10">
        <f t="shared" si="2"/>
        <v>2570.0487787114871</v>
      </c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</row>
    <row r="32" spans="1:70" x14ac:dyDescent="0.3">
      <c r="A32" s="11" t="s">
        <v>49</v>
      </c>
      <c r="B32" s="32">
        <v>1854.14</v>
      </c>
      <c r="C32" s="32">
        <v>1873.69</v>
      </c>
      <c r="D32" s="32">
        <v>1674.17</v>
      </c>
      <c r="E32" s="32">
        <v>1797.76</v>
      </c>
      <c r="F32" s="32">
        <v>2103.4299999999998</v>
      </c>
      <c r="G32" s="32">
        <v>1977.46</v>
      </c>
      <c r="H32" s="32">
        <v>2076.0100000000002</v>
      </c>
      <c r="I32" s="32">
        <v>1751.11</v>
      </c>
      <c r="J32" s="32">
        <v>1552.85</v>
      </c>
      <c r="K32" s="32">
        <v>1833.66</v>
      </c>
      <c r="L32" s="32">
        <v>1511.54</v>
      </c>
      <c r="M32" s="32">
        <v>1777.5</v>
      </c>
      <c r="N32" s="32">
        <v>1858.04</v>
      </c>
      <c r="O32" s="32">
        <v>1814.6</v>
      </c>
      <c r="P32" s="32">
        <v>1787.38</v>
      </c>
      <c r="Q32" s="32">
        <v>1680.7</v>
      </c>
      <c r="R32" s="32">
        <v>1776.37</v>
      </c>
      <c r="S32" s="32">
        <v>1935.16</v>
      </c>
      <c r="T32" s="32">
        <v>1962.13</v>
      </c>
      <c r="U32" s="32">
        <v>1684.49</v>
      </c>
      <c r="V32" s="32">
        <v>1829.89</v>
      </c>
      <c r="W32" s="32">
        <v>1864.97</v>
      </c>
      <c r="X32" s="32">
        <v>1720.56</v>
      </c>
      <c r="Y32" s="32">
        <v>1953.46</v>
      </c>
      <c r="Z32" s="32">
        <v>1572.46</v>
      </c>
      <c r="AA32" s="32">
        <v>1873.15</v>
      </c>
      <c r="AB32" s="32">
        <v>1921.25</v>
      </c>
      <c r="AC32" s="32">
        <v>1554.36</v>
      </c>
      <c r="AD32" s="32">
        <v>1610.6</v>
      </c>
      <c r="AE32" s="32">
        <v>1724.77</v>
      </c>
      <c r="AF32" s="32">
        <v>1606.48</v>
      </c>
      <c r="AG32" s="32">
        <v>1796.63</v>
      </c>
      <c r="AH32" s="32">
        <v>1670.72</v>
      </c>
      <c r="AI32" s="32">
        <v>1553.94</v>
      </c>
      <c r="AJ32" s="32">
        <v>1663.07</v>
      </c>
      <c r="AL32" s="16">
        <f t="shared" si="0"/>
        <v>1553.94</v>
      </c>
      <c r="AM32" s="16">
        <f t="shared" si="1"/>
        <v>1953.46</v>
      </c>
      <c r="AO32" s="10">
        <f t="shared" si="2"/>
        <v>1659.0839411764719</v>
      </c>
      <c r="AP32" s="10">
        <f t="shared" si="2"/>
        <v>1630.984879551821</v>
      </c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</row>
    <row r="33" spans="1:70" x14ac:dyDescent="0.3">
      <c r="A33" s="11" t="s">
        <v>1</v>
      </c>
      <c r="B33" s="32">
        <v>6067.09</v>
      </c>
      <c r="C33" s="32">
        <v>5452.93</v>
      </c>
      <c r="D33" s="32">
        <v>4945.6899999999996</v>
      </c>
      <c r="E33" s="32">
        <v>4893.2299999999996</v>
      </c>
      <c r="F33" s="32">
        <v>5276.25</v>
      </c>
      <c r="G33" s="32">
        <v>5136.6000000000004</v>
      </c>
      <c r="H33" s="32">
        <v>5452.62</v>
      </c>
      <c r="I33" s="32">
        <v>5495.59</v>
      </c>
      <c r="J33" s="32">
        <v>5464.56</v>
      </c>
      <c r="K33" s="32">
        <v>5699.17</v>
      </c>
      <c r="L33" s="32">
        <v>5213.0600000000004</v>
      </c>
      <c r="M33" s="32">
        <v>5493.29</v>
      </c>
      <c r="N33" s="32">
        <v>5262.84</v>
      </c>
      <c r="O33" s="32">
        <v>4925.62</v>
      </c>
      <c r="P33" s="32">
        <v>5422.89</v>
      </c>
      <c r="Q33" s="32">
        <v>5210.8999999999996</v>
      </c>
      <c r="R33" s="32">
        <v>5224.63</v>
      </c>
      <c r="S33" s="32">
        <v>5281.26</v>
      </c>
      <c r="T33" s="32">
        <v>5085.0600000000004</v>
      </c>
      <c r="U33" s="32">
        <v>4985.68</v>
      </c>
      <c r="V33" s="32">
        <v>5069.6000000000004</v>
      </c>
      <c r="W33" s="32">
        <v>5074.88</v>
      </c>
      <c r="X33" s="32">
        <v>5294.04</v>
      </c>
      <c r="Y33" s="32">
        <v>5986.18</v>
      </c>
      <c r="Z33" s="32">
        <v>4895.71</v>
      </c>
      <c r="AA33" s="32">
        <v>5471.41</v>
      </c>
      <c r="AB33" s="32">
        <v>5155.24</v>
      </c>
      <c r="AC33" s="32">
        <v>4850.03</v>
      </c>
      <c r="AD33" s="32">
        <v>4875.4799999999996</v>
      </c>
      <c r="AE33" s="32">
        <v>5092.4799999999996</v>
      </c>
      <c r="AF33" s="32">
        <v>5181.13</v>
      </c>
      <c r="AG33" s="32">
        <v>5122.22</v>
      </c>
      <c r="AH33" s="32">
        <v>5119.6099999999997</v>
      </c>
      <c r="AI33" s="32">
        <v>4592.9399999999996</v>
      </c>
      <c r="AJ33" s="32">
        <v>5201.47</v>
      </c>
      <c r="AL33" s="16">
        <f t="shared" si="0"/>
        <v>4592.9399999999996</v>
      </c>
      <c r="AM33" s="16">
        <f t="shared" si="1"/>
        <v>5986.18</v>
      </c>
      <c r="AO33" s="10">
        <f>TREND($B33:$AJ33,$B$4:$AJ$4,AO$4)</f>
        <v>4980.7080084033623</v>
      </c>
      <c r="AP33" s="10">
        <f t="shared" si="2"/>
        <v>4921.8876022408986</v>
      </c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</row>
    <row r="34" spans="1:70" x14ac:dyDescent="0.3">
      <c r="A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70" x14ac:dyDescent="0.3">
      <c r="A35" s="13" t="s">
        <v>50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1:70" x14ac:dyDescent="0.3">
      <c r="A36" s="13" t="s">
        <v>51</v>
      </c>
      <c r="B36" s="14"/>
      <c r="C36" s="13" t="s">
        <v>52</v>
      </c>
      <c r="D36" s="14"/>
      <c r="E36" s="13" t="s">
        <v>52</v>
      </c>
      <c r="F36" s="14"/>
      <c r="G36" s="13" t="s">
        <v>52</v>
      </c>
      <c r="H36" s="14"/>
      <c r="I36" s="13" t="s">
        <v>52</v>
      </c>
      <c r="J36" s="14"/>
      <c r="K36" s="13" t="s">
        <v>52</v>
      </c>
      <c r="L36" s="14"/>
      <c r="M36" s="13" t="s">
        <v>52</v>
      </c>
      <c r="N36" s="14"/>
      <c r="O36" s="13" t="s">
        <v>52</v>
      </c>
      <c r="P36" s="14"/>
      <c r="Q36" s="13" t="s">
        <v>52</v>
      </c>
      <c r="R36" s="14"/>
      <c r="S36" s="13" t="s">
        <v>52</v>
      </c>
      <c r="T36" s="14"/>
      <c r="U36" s="13" t="s">
        <v>52</v>
      </c>
      <c r="V36" s="14"/>
      <c r="W36" s="13" t="s">
        <v>52</v>
      </c>
      <c r="X36" s="14"/>
      <c r="Y36" s="13" t="s">
        <v>52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70" x14ac:dyDescent="0.3">
      <c r="A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70" x14ac:dyDescent="0.3">
      <c r="A38" s="13" t="s">
        <v>53</v>
      </c>
      <c r="B38" s="14"/>
      <c r="C38" s="13" t="s">
        <v>54</v>
      </c>
      <c r="D38" s="14"/>
      <c r="E38" s="13" t="s">
        <v>54</v>
      </c>
      <c r="F38" s="14"/>
      <c r="G38" s="13" t="s">
        <v>54</v>
      </c>
      <c r="H38" s="14"/>
      <c r="I38" s="13" t="s">
        <v>54</v>
      </c>
      <c r="J38" s="14"/>
      <c r="K38" s="13" t="s">
        <v>54</v>
      </c>
      <c r="L38" s="14"/>
      <c r="M38" s="13" t="s">
        <v>54</v>
      </c>
      <c r="N38" s="14"/>
      <c r="O38" s="13" t="s">
        <v>54</v>
      </c>
      <c r="P38" s="14"/>
      <c r="Q38" s="13" t="s">
        <v>54</v>
      </c>
      <c r="R38" s="14"/>
      <c r="S38" s="13" t="s">
        <v>54</v>
      </c>
      <c r="T38" s="14"/>
      <c r="U38" s="13" t="s">
        <v>54</v>
      </c>
      <c r="V38" s="14"/>
      <c r="W38" s="13" t="s">
        <v>54</v>
      </c>
      <c r="X38" s="14"/>
      <c r="Y38" s="13" t="s">
        <v>54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 spans="1:70" x14ac:dyDescent="0.3">
      <c r="A39" s="13" t="s">
        <v>55</v>
      </c>
      <c r="B39" s="14"/>
      <c r="C39" s="13" t="s">
        <v>56</v>
      </c>
      <c r="D39" s="14"/>
      <c r="E39" s="13" t="s">
        <v>56</v>
      </c>
      <c r="F39" s="14"/>
      <c r="G39" s="13" t="s">
        <v>56</v>
      </c>
      <c r="H39" s="14"/>
      <c r="I39" s="13" t="s">
        <v>56</v>
      </c>
      <c r="J39" s="14"/>
      <c r="K39" s="13" t="s">
        <v>56</v>
      </c>
      <c r="L39" s="14"/>
      <c r="M39" s="13" t="s">
        <v>56</v>
      </c>
      <c r="N39" s="14"/>
      <c r="O39" s="13" t="s">
        <v>56</v>
      </c>
      <c r="P39" s="14"/>
      <c r="Q39" s="13" t="s">
        <v>56</v>
      </c>
      <c r="R39" s="14"/>
      <c r="S39" s="13" t="s">
        <v>56</v>
      </c>
      <c r="T39" s="14"/>
      <c r="U39" s="13" t="s">
        <v>56</v>
      </c>
      <c r="V39" s="14"/>
      <c r="W39" s="13" t="s">
        <v>56</v>
      </c>
      <c r="X39" s="14"/>
      <c r="Y39" s="13" t="s">
        <v>56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 spans="1:70" x14ac:dyDescent="0.3">
      <c r="A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70" x14ac:dyDescent="0.3">
      <c r="A41" s="11" t="s">
        <v>15</v>
      </c>
      <c r="B41" s="11" t="s">
        <v>86</v>
      </c>
      <c r="C41" s="11" t="s">
        <v>87</v>
      </c>
      <c r="D41" s="11" t="s">
        <v>88</v>
      </c>
      <c r="E41" s="11" t="s">
        <v>89</v>
      </c>
      <c r="F41" s="11" t="s">
        <v>90</v>
      </c>
      <c r="G41" s="11" t="s">
        <v>91</v>
      </c>
      <c r="H41" s="11" t="s">
        <v>92</v>
      </c>
      <c r="I41" s="11" t="s">
        <v>93</v>
      </c>
      <c r="J41" s="11" t="s">
        <v>94</v>
      </c>
      <c r="K41" s="11" t="s">
        <v>95</v>
      </c>
      <c r="L41" s="11" t="s">
        <v>96</v>
      </c>
      <c r="M41" s="11" t="s">
        <v>97</v>
      </c>
      <c r="N41" s="11" t="s">
        <v>98</v>
      </c>
      <c r="O41" s="11" t="s">
        <v>99</v>
      </c>
      <c r="P41" s="11" t="s">
        <v>100</v>
      </c>
      <c r="Q41" s="11" t="s">
        <v>101</v>
      </c>
      <c r="R41" s="11" t="s">
        <v>102</v>
      </c>
      <c r="S41" s="11" t="s">
        <v>103</v>
      </c>
      <c r="T41" s="11" t="s">
        <v>104</v>
      </c>
      <c r="U41" s="11" t="s">
        <v>105</v>
      </c>
      <c r="V41" s="11" t="s">
        <v>106</v>
      </c>
      <c r="W41" s="11" t="s">
        <v>107</v>
      </c>
      <c r="X41" s="11" t="s">
        <v>108</v>
      </c>
      <c r="Y41" s="11" t="s">
        <v>16</v>
      </c>
      <c r="Z41" s="11" t="s">
        <v>17</v>
      </c>
      <c r="AA41" s="11" t="s">
        <v>18</v>
      </c>
      <c r="AB41" s="11" t="s">
        <v>19</v>
      </c>
      <c r="AC41" s="11" t="s">
        <v>20</v>
      </c>
      <c r="AD41" s="11" t="s">
        <v>21</v>
      </c>
      <c r="AE41" s="11" t="s">
        <v>22</v>
      </c>
      <c r="AF41" s="11" t="s">
        <v>23</v>
      </c>
      <c r="AG41" s="11" t="s">
        <v>24</v>
      </c>
      <c r="AH41" s="11" t="s">
        <v>25</v>
      </c>
      <c r="AI41" s="29"/>
      <c r="AJ41" s="29"/>
    </row>
    <row r="42" spans="1:70" x14ac:dyDescent="0.3">
      <c r="A42" s="11" t="s">
        <v>34</v>
      </c>
      <c r="B42" s="12">
        <v>553.04999999999995</v>
      </c>
      <c r="C42" s="12">
        <v>533.21</v>
      </c>
      <c r="D42" s="12">
        <v>513.37</v>
      </c>
      <c r="E42" s="12">
        <v>493.53</v>
      </c>
      <c r="F42" s="12">
        <v>473.69</v>
      </c>
      <c r="G42" s="12">
        <v>453.85</v>
      </c>
      <c r="H42" s="12">
        <v>434.01</v>
      </c>
      <c r="I42" s="12">
        <v>414.17</v>
      </c>
      <c r="J42" s="12">
        <v>394.33</v>
      </c>
      <c r="K42" s="12">
        <v>374.49</v>
      </c>
      <c r="L42" s="12">
        <v>354.65</v>
      </c>
      <c r="M42" s="12">
        <v>334.81</v>
      </c>
      <c r="N42" s="12">
        <v>314.97000000000003</v>
      </c>
      <c r="O42" s="12">
        <v>295.13</v>
      </c>
      <c r="P42" s="12">
        <v>275.29000000000002</v>
      </c>
      <c r="Q42" s="12">
        <v>255.45</v>
      </c>
      <c r="R42" s="12">
        <v>235.61</v>
      </c>
      <c r="S42" s="12">
        <v>215.77</v>
      </c>
      <c r="T42" s="12">
        <v>195.93</v>
      </c>
      <c r="U42" s="12">
        <v>176.09</v>
      </c>
      <c r="V42" s="12">
        <v>156.25</v>
      </c>
      <c r="W42" s="12">
        <v>136.41</v>
      </c>
      <c r="X42" s="12">
        <v>116.57</v>
      </c>
      <c r="Y42" s="12">
        <v>96.73</v>
      </c>
      <c r="Z42" s="12">
        <v>76.89</v>
      </c>
      <c r="AA42" s="12">
        <v>114.81</v>
      </c>
      <c r="AB42" s="12">
        <v>85.09</v>
      </c>
      <c r="AC42" s="12">
        <v>58.96</v>
      </c>
      <c r="AD42" s="12">
        <v>121.61</v>
      </c>
      <c r="AE42" s="12">
        <v>93.49</v>
      </c>
      <c r="AF42" s="12">
        <v>111.79</v>
      </c>
      <c r="AG42" s="12">
        <v>97.85</v>
      </c>
      <c r="AH42" s="12">
        <v>110.54</v>
      </c>
      <c r="AI42" s="30"/>
      <c r="AJ42" s="30"/>
    </row>
    <row r="43" spans="1:70" x14ac:dyDescent="0.3">
      <c r="A43" s="11" t="s">
        <v>27</v>
      </c>
      <c r="B43" s="12">
        <v>333.95</v>
      </c>
      <c r="C43" s="12">
        <v>320.39</v>
      </c>
      <c r="D43" s="12">
        <v>306.83</v>
      </c>
      <c r="E43" s="12">
        <v>293.27</v>
      </c>
      <c r="F43" s="12">
        <v>279.70999999999998</v>
      </c>
      <c r="G43" s="12">
        <v>266.14999999999998</v>
      </c>
      <c r="H43" s="12">
        <v>252.59</v>
      </c>
      <c r="I43" s="12">
        <v>239.03</v>
      </c>
      <c r="J43" s="12">
        <v>225.47</v>
      </c>
      <c r="K43" s="12">
        <v>211.91</v>
      </c>
      <c r="L43" s="12">
        <v>198.35</v>
      </c>
      <c r="M43" s="12">
        <v>184.79</v>
      </c>
      <c r="N43" s="12">
        <v>171.23</v>
      </c>
      <c r="O43" s="12">
        <v>157.66999999999999</v>
      </c>
      <c r="P43" s="12">
        <v>144.11000000000001</v>
      </c>
      <c r="Q43" s="12">
        <v>130.55000000000001</v>
      </c>
      <c r="R43" s="12">
        <v>116.99</v>
      </c>
      <c r="S43" s="12">
        <v>103.43</v>
      </c>
      <c r="T43" s="12">
        <v>89.87</v>
      </c>
      <c r="U43" s="12">
        <v>76.31</v>
      </c>
      <c r="V43" s="12">
        <v>62.75</v>
      </c>
      <c r="W43" s="12">
        <v>49.19</v>
      </c>
      <c r="X43" s="12">
        <v>35.630000000000003</v>
      </c>
      <c r="Y43" s="12">
        <v>22.07</v>
      </c>
      <c r="Z43" s="12">
        <v>8.51</v>
      </c>
      <c r="AA43" s="12">
        <v>13.3</v>
      </c>
      <c r="AB43" s="12">
        <v>16.75</v>
      </c>
      <c r="AC43" s="12">
        <v>8.1999999999999993</v>
      </c>
      <c r="AD43" s="12">
        <v>30.08</v>
      </c>
      <c r="AE43" s="12">
        <v>25.37</v>
      </c>
      <c r="AF43" s="12">
        <v>16.760000000000002</v>
      </c>
      <c r="AG43" s="12">
        <v>35.770000000000003</v>
      </c>
      <c r="AH43" s="12">
        <v>39.72</v>
      </c>
      <c r="AI43" s="30"/>
      <c r="AJ43" s="30"/>
    </row>
    <row r="44" spans="1:70" x14ac:dyDescent="0.3">
      <c r="A44" s="11" t="s">
        <v>28</v>
      </c>
      <c r="B44" s="12">
        <v>1370.32</v>
      </c>
      <c r="C44" s="12">
        <v>1318.58</v>
      </c>
      <c r="D44" s="12">
        <v>1266.8399999999999</v>
      </c>
      <c r="E44" s="12">
        <v>1215.0999999999999</v>
      </c>
      <c r="F44" s="12">
        <v>1163.3599999999999</v>
      </c>
      <c r="G44" s="12">
        <v>1111.6199999999999</v>
      </c>
      <c r="H44" s="12">
        <v>1059.8800000000001</v>
      </c>
      <c r="I44" s="12">
        <v>1008.14</v>
      </c>
      <c r="J44" s="12">
        <v>956.4</v>
      </c>
      <c r="K44" s="12">
        <v>904.66</v>
      </c>
      <c r="L44" s="12">
        <v>852.92</v>
      </c>
      <c r="M44" s="12">
        <v>801.18</v>
      </c>
      <c r="N44" s="12">
        <v>749.44</v>
      </c>
      <c r="O44" s="12">
        <v>697.7</v>
      </c>
      <c r="P44" s="12">
        <v>645.96</v>
      </c>
      <c r="Q44" s="12">
        <v>594.22</v>
      </c>
      <c r="R44" s="12">
        <v>542.48</v>
      </c>
      <c r="S44" s="12">
        <v>490.74</v>
      </c>
      <c r="T44" s="12">
        <v>439</v>
      </c>
      <c r="U44" s="12">
        <v>387.26</v>
      </c>
      <c r="V44" s="12">
        <v>335.52</v>
      </c>
      <c r="W44" s="12">
        <v>283.77999999999997</v>
      </c>
      <c r="X44" s="12">
        <v>232.04</v>
      </c>
      <c r="Y44" s="12">
        <v>180.3</v>
      </c>
      <c r="Z44" s="12">
        <v>128.56</v>
      </c>
      <c r="AA44" s="12">
        <v>274.81</v>
      </c>
      <c r="AB44" s="12">
        <v>134.49</v>
      </c>
      <c r="AC44" s="12">
        <v>102.89</v>
      </c>
      <c r="AD44" s="12">
        <v>198</v>
      </c>
      <c r="AE44" s="12">
        <v>185.14</v>
      </c>
      <c r="AF44" s="12">
        <v>208.93</v>
      </c>
      <c r="AG44" s="12">
        <v>127.77</v>
      </c>
      <c r="AH44" s="12">
        <v>163.85</v>
      </c>
      <c r="AI44" s="30"/>
      <c r="AJ44" s="30"/>
    </row>
    <row r="45" spans="1:70" x14ac:dyDescent="0.3">
      <c r="A45" s="11" t="s">
        <v>31</v>
      </c>
      <c r="B45" s="12">
        <v>338.54</v>
      </c>
      <c r="C45" s="12">
        <v>324.99</v>
      </c>
      <c r="D45" s="12">
        <v>311.44</v>
      </c>
      <c r="E45" s="12">
        <v>297.89</v>
      </c>
      <c r="F45" s="12">
        <v>284.33999999999997</v>
      </c>
      <c r="G45" s="12">
        <v>270.79000000000002</v>
      </c>
      <c r="H45" s="12">
        <v>257.24</v>
      </c>
      <c r="I45" s="12">
        <v>243.69</v>
      </c>
      <c r="J45" s="12">
        <v>230.14</v>
      </c>
      <c r="K45" s="12">
        <v>216.59</v>
      </c>
      <c r="L45" s="12">
        <v>203.04</v>
      </c>
      <c r="M45" s="12">
        <v>189.49</v>
      </c>
      <c r="N45" s="12">
        <v>175.94</v>
      </c>
      <c r="O45" s="12">
        <v>162.38999999999999</v>
      </c>
      <c r="P45" s="12">
        <v>148.84</v>
      </c>
      <c r="Q45" s="12">
        <v>135.29</v>
      </c>
      <c r="R45" s="12">
        <v>121.74</v>
      </c>
      <c r="S45" s="12">
        <v>108.19</v>
      </c>
      <c r="T45" s="12">
        <v>94.64</v>
      </c>
      <c r="U45" s="12">
        <v>81.09</v>
      </c>
      <c r="V45" s="12">
        <v>67.540000000000006</v>
      </c>
      <c r="W45" s="12">
        <v>53.99</v>
      </c>
      <c r="X45" s="12">
        <v>40.44</v>
      </c>
      <c r="Y45" s="12">
        <v>26.89</v>
      </c>
      <c r="Z45" s="12">
        <v>13.34</v>
      </c>
      <c r="AA45" s="12">
        <v>23.96</v>
      </c>
      <c r="AB45" s="12">
        <v>44.85</v>
      </c>
      <c r="AC45" s="12">
        <v>9.52</v>
      </c>
      <c r="AD45" s="12">
        <v>97.23</v>
      </c>
      <c r="AE45" s="12">
        <v>10.52</v>
      </c>
      <c r="AF45" s="12">
        <v>22.51</v>
      </c>
      <c r="AG45" s="12">
        <v>45.88</v>
      </c>
      <c r="AH45" s="12">
        <v>40.21</v>
      </c>
      <c r="AI45" s="30"/>
      <c r="AJ45" s="30"/>
    </row>
    <row r="46" spans="1:70" x14ac:dyDescent="0.3">
      <c r="A46" s="11" t="s">
        <v>32</v>
      </c>
      <c r="B46" s="12">
        <v>54</v>
      </c>
      <c r="C46" s="12">
        <v>51.75</v>
      </c>
      <c r="D46" s="12">
        <v>49.5</v>
      </c>
      <c r="E46" s="12">
        <v>47.25</v>
      </c>
      <c r="F46" s="12">
        <v>45</v>
      </c>
      <c r="G46" s="12">
        <v>42.75</v>
      </c>
      <c r="H46" s="12">
        <v>40.5</v>
      </c>
      <c r="I46" s="12">
        <v>38.25</v>
      </c>
      <c r="J46" s="12">
        <v>36</v>
      </c>
      <c r="K46" s="12">
        <v>33.75</v>
      </c>
      <c r="L46" s="12">
        <v>31.5</v>
      </c>
      <c r="M46" s="12">
        <v>29.25</v>
      </c>
      <c r="N46" s="12">
        <v>27</v>
      </c>
      <c r="O46" s="12">
        <v>24.75</v>
      </c>
      <c r="P46" s="12">
        <v>22.5</v>
      </c>
      <c r="Q46" s="12">
        <v>20.25</v>
      </c>
      <c r="R46" s="12">
        <v>18</v>
      </c>
      <c r="S46" s="12">
        <v>15.75</v>
      </c>
      <c r="T46" s="12">
        <v>13.5</v>
      </c>
      <c r="U46" s="12">
        <v>11.25</v>
      </c>
      <c r="V46" s="12">
        <v>9</v>
      </c>
      <c r="W46" s="12">
        <v>6.75</v>
      </c>
      <c r="X46" s="12">
        <v>4.5</v>
      </c>
      <c r="Y46" s="12">
        <v>2.25</v>
      </c>
      <c r="Z46" s="12">
        <v>0</v>
      </c>
      <c r="AA46" s="12">
        <v>0.31</v>
      </c>
      <c r="AB46" s="12">
        <v>0.55000000000000004</v>
      </c>
      <c r="AC46" s="12">
        <v>1.52</v>
      </c>
      <c r="AD46" s="12">
        <v>0.1</v>
      </c>
      <c r="AE46" s="12">
        <v>0.47</v>
      </c>
      <c r="AF46" s="12">
        <v>0</v>
      </c>
      <c r="AG46" s="12">
        <v>14.32</v>
      </c>
      <c r="AH46" s="12">
        <v>2.19</v>
      </c>
      <c r="AI46" s="30"/>
      <c r="AJ46" s="30"/>
    </row>
    <row r="47" spans="1:70" x14ac:dyDescent="0.3">
      <c r="A47" s="11" t="s">
        <v>36</v>
      </c>
      <c r="B47" s="12">
        <v>575.55999999999995</v>
      </c>
      <c r="C47" s="12">
        <v>551.94000000000005</v>
      </c>
      <c r="D47" s="12">
        <v>528.32000000000005</v>
      </c>
      <c r="E47" s="12">
        <v>504.7</v>
      </c>
      <c r="F47" s="12">
        <v>481.08</v>
      </c>
      <c r="G47" s="12">
        <v>457.46</v>
      </c>
      <c r="H47" s="12">
        <v>433.84</v>
      </c>
      <c r="I47" s="12">
        <v>410.22</v>
      </c>
      <c r="J47" s="12">
        <v>386.6</v>
      </c>
      <c r="K47" s="12">
        <v>362.98</v>
      </c>
      <c r="L47" s="12">
        <v>339.36</v>
      </c>
      <c r="M47" s="12">
        <v>315.74</v>
      </c>
      <c r="N47" s="12">
        <v>292.12</v>
      </c>
      <c r="O47" s="12">
        <v>268.5</v>
      </c>
      <c r="P47" s="12">
        <v>244.88</v>
      </c>
      <c r="Q47" s="12">
        <v>221.26</v>
      </c>
      <c r="R47" s="12">
        <v>197.64</v>
      </c>
      <c r="S47" s="12">
        <v>174.02</v>
      </c>
      <c r="T47" s="12">
        <v>150.4</v>
      </c>
      <c r="U47" s="12">
        <v>126.78</v>
      </c>
      <c r="V47" s="12">
        <v>103.16</v>
      </c>
      <c r="W47" s="12">
        <v>79.540000000000006</v>
      </c>
      <c r="X47" s="12">
        <v>55.92</v>
      </c>
      <c r="Y47" s="12">
        <v>32.299999999999997</v>
      </c>
      <c r="Z47" s="12">
        <v>8.68</v>
      </c>
      <c r="AA47" s="12">
        <v>15.95</v>
      </c>
      <c r="AB47" s="12">
        <v>28.34</v>
      </c>
      <c r="AC47" s="12">
        <v>10.6</v>
      </c>
      <c r="AD47" s="12">
        <v>55.6</v>
      </c>
      <c r="AE47" s="12">
        <v>16</v>
      </c>
      <c r="AF47" s="12">
        <v>9.19</v>
      </c>
      <c r="AG47" s="12">
        <v>52.35</v>
      </c>
      <c r="AH47" s="12">
        <v>46.05</v>
      </c>
      <c r="AI47" s="30"/>
      <c r="AJ47" s="30"/>
    </row>
    <row r="48" spans="1:70" x14ac:dyDescent="0.3">
      <c r="A48" s="11" t="s">
        <v>33</v>
      </c>
      <c r="B48" s="12">
        <v>700.56</v>
      </c>
      <c r="C48" s="12">
        <v>671.97</v>
      </c>
      <c r="D48" s="12">
        <v>643.38</v>
      </c>
      <c r="E48" s="12">
        <v>614.79</v>
      </c>
      <c r="F48" s="12">
        <v>586.20000000000005</v>
      </c>
      <c r="G48" s="12">
        <v>557.61</v>
      </c>
      <c r="H48" s="12">
        <v>529.02</v>
      </c>
      <c r="I48" s="12">
        <v>500.43</v>
      </c>
      <c r="J48" s="12">
        <v>471.84</v>
      </c>
      <c r="K48" s="12">
        <v>443.25</v>
      </c>
      <c r="L48" s="12">
        <v>414.66</v>
      </c>
      <c r="M48" s="12">
        <v>386.07</v>
      </c>
      <c r="N48" s="12">
        <v>357.48</v>
      </c>
      <c r="O48" s="12">
        <v>328.89</v>
      </c>
      <c r="P48" s="12">
        <v>300.3</v>
      </c>
      <c r="Q48" s="12">
        <v>271.70999999999998</v>
      </c>
      <c r="R48" s="12">
        <v>243.12</v>
      </c>
      <c r="S48" s="12">
        <v>214.53</v>
      </c>
      <c r="T48" s="12">
        <v>185.94</v>
      </c>
      <c r="U48" s="12">
        <v>157.35</v>
      </c>
      <c r="V48" s="12">
        <v>128.76</v>
      </c>
      <c r="W48" s="12">
        <v>100.17</v>
      </c>
      <c r="X48" s="12">
        <v>71.58</v>
      </c>
      <c r="Y48" s="12">
        <v>42.99</v>
      </c>
      <c r="Z48" s="12">
        <v>14.4</v>
      </c>
      <c r="AA48" s="12">
        <v>6.45</v>
      </c>
      <c r="AB48" s="12">
        <v>3.38</v>
      </c>
      <c r="AC48" s="12">
        <v>9.23</v>
      </c>
      <c r="AD48" s="12">
        <v>0</v>
      </c>
      <c r="AE48" s="12">
        <v>1.52</v>
      </c>
      <c r="AF48" s="12">
        <v>0</v>
      </c>
      <c r="AG48" s="12">
        <v>25.65</v>
      </c>
      <c r="AH48" s="12">
        <v>1.33</v>
      </c>
      <c r="AI48" s="30"/>
      <c r="AJ48" s="30"/>
    </row>
    <row r="49" spans="1:36" x14ac:dyDescent="0.3">
      <c r="A49" s="11" t="s">
        <v>39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30"/>
      <c r="AJ49" s="30"/>
    </row>
    <row r="50" spans="1:36" x14ac:dyDescent="0.3">
      <c r="A50" s="11" t="s">
        <v>37</v>
      </c>
      <c r="B50" s="12">
        <v>1049.22</v>
      </c>
      <c r="C50" s="12">
        <v>1018.88</v>
      </c>
      <c r="D50" s="12">
        <v>988.53999999999905</v>
      </c>
      <c r="E50" s="12">
        <v>958.19999999999902</v>
      </c>
      <c r="F50" s="12">
        <v>927.86</v>
      </c>
      <c r="G50" s="12">
        <v>897.52</v>
      </c>
      <c r="H50" s="12">
        <v>867.18</v>
      </c>
      <c r="I50" s="12">
        <v>836.84</v>
      </c>
      <c r="J50" s="12">
        <v>806.5</v>
      </c>
      <c r="K50" s="12">
        <v>776.16</v>
      </c>
      <c r="L50" s="12">
        <v>745.82</v>
      </c>
      <c r="M50" s="12">
        <v>715.48</v>
      </c>
      <c r="N50" s="12">
        <v>685.14</v>
      </c>
      <c r="O50" s="12">
        <v>654.79999999999995</v>
      </c>
      <c r="P50" s="12">
        <v>624.46</v>
      </c>
      <c r="Q50" s="12">
        <v>594.12</v>
      </c>
      <c r="R50" s="12">
        <v>563.78</v>
      </c>
      <c r="S50" s="12">
        <v>533.44000000000005</v>
      </c>
      <c r="T50" s="12">
        <v>503.1</v>
      </c>
      <c r="U50" s="12">
        <v>472.76</v>
      </c>
      <c r="V50" s="12">
        <v>442.42</v>
      </c>
      <c r="W50" s="12">
        <v>412.08</v>
      </c>
      <c r="X50" s="12">
        <v>381.74</v>
      </c>
      <c r="Y50" s="12">
        <v>351.4</v>
      </c>
      <c r="Z50" s="12">
        <v>321.06</v>
      </c>
      <c r="AA50" s="12">
        <v>448.68</v>
      </c>
      <c r="AB50" s="12">
        <v>324.20999999999998</v>
      </c>
      <c r="AC50" s="12">
        <v>272.79000000000002</v>
      </c>
      <c r="AD50" s="12">
        <v>331.25</v>
      </c>
      <c r="AE50" s="12">
        <v>353.94</v>
      </c>
      <c r="AF50" s="12">
        <v>353.74</v>
      </c>
      <c r="AG50" s="12">
        <v>312.45999999999998</v>
      </c>
      <c r="AH50" s="12">
        <v>373.09</v>
      </c>
      <c r="AI50" s="30"/>
      <c r="AJ50" s="30"/>
    </row>
    <row r="51" spans="1:36" x14ac:dyDescent="0.3">
      <c r="A51" s="11" t="s">
        <v>49</v>
      </c>
      <c r="B51" s="12">
        <v>907.14</v>
      </c>
      <c r="C51" s="12">
        <v>878.41</v>
      </c>
      <c r="D51" s="12">
        <v>849.68</v>
      </c>
      <c r="E51" s="12">
        <v>820.95</v>
      </c>
      <c r="F51" s="12">
        <v>792.22</v>
      </c>
      <c r="G51" s="12">
        <v>763.49</v>
      </c>
      <c r="H51" s="12">
        <v>734.76</v>
      </c>
      <c r="I51" s="12">
        <v>706.03</v>
      </c>
      <c r="J51" s="12">
        <v>677.3</v>
      </c>
      <c r="K51" s="12">
        <v>648.57000000000005</v>
      </c>
      <c r="L51" s="12">
        <v>619.84</v>
      </c>
      <c r="M51" s="12">
        <v>591.11</v>
      </c>
      <c r="N51" s="12">
        <v>562.38</v>
      </c>
      <c r="O51" s="12">
        <v>533.65</v>
      </c>
      <c r="P51" s="12">
        <v>504.92</v>
      </c>
      <c r="Q51" s="12">
        <v>476.19</v>
      </c>
      <c r="R51" s="12">
        <v>447.46</v>
      </c>
      <c r="S51" s="12">
        <v>418.73</v>
      </c>
      <c r="T51" s="12">
        <v>390</v>
      </c>
      <c r="U51" s="12">
        <v>361.27</v>
      </c>
      <c r="V51" s="12">
        <v>332.54</v>
      </c>
      <c r="W51" s="12">
        <v>303.81</v>
      </c>
      <c r="X51" s="12">
        <v>275.08</v>
      </c>
      <c r="Y51" s="12">
        <v>246.35</v>
      </c>
      <c r="Z51" s="12">
        <v>217.62</v>
      </c>
      <c r="AA51" s="12">
        <v>263.33</v>
      </c>
      <c r="AB51" s="12">
        <v>210.52</v>
      </c>
      <c r="AC51" s="12">
        <v>178.24</v>
      </c>
      <c r="AD51" s="12">
        <v>286.97000000000003</v>
      </c>
      <c r="AE51" s="12">
        <v>281.51</v>
      </c>
      <c r="AF51" s="12">
        <v>310.38</v>
      </c>
      <c r="AG51" s="12">
        <v>239.51</v>
      </c>
      <c r="AH51" s="12">
        <v>247.65</v>
      </c>
      <c r="AI51" s="30"/>
      <c r="AJ51" s="30"/>
    </row>
    <row r="52" spans="1:36" x14ac:dyDescent="0.3">
      <c r="A52" s="11" t="s">
        <v>35</v>
      </c>
      <c r="B52" s="12">
        <v>183.15</v>
      </c>
      <c r="C52" s="12">
        <v>176.84</v>
      </c>
      <c r="D52" s="12">
        <v>170.53</v>
      </c>
      <c r="E52" s="12">
        <v>164.22</v>
      </c>
      <c r="F52" s="12">
        <v>157.91</v>
      </c>
      <c r="G52" s="12">
        <v>151.6</v>
      </c>
      <c r="H52" s="12">
        <v>145.29</v>
      </c>
      <c r="I52" s="12">
        <v>138.97999999999999</v>
      </c>
      <c r="J52" s="12">
        <v>132.66999999999999</v>
      </c>
      <c r="K52" s="12">
        <v>126.36</v>
      </c>
      <c r="L52" s="12">
        <v>120.05</v>
      </c>
      <c r="M52" s="12">
        <v>113.74</v>
      </c>
      <c r="N52" s="12">
        <v>107.43</v>
      </c>
      <c r="O52" s="12">
        <v>101.12</v>
      </c>
      <c r="P52" s="12">
        <v>94.81</v>
      </c>
      <c r="Q52" s="12">
        <v>88.5</v>
      </c>
      <c r="R52" s="12">
        <v>82.19</v>
      </c>
      <c r="S52" s="12">
        <v>75.88</v>
      </c>
      <c r="T52" s="12">
        <v>69.569999999999993</v>
      </c>
      <c r="U52" s="12">
        <v>63.26</v>
      </c>
      <c r="V52" s="12">
        <v>56.95</v>
      </c>
      <c r="W52" s="12">
        <v>50.64</v>
      </c>
      <c r="X52" s="12">
        <v>44.33</v>
      </c>
      <c r="Y52" s="12">
        <v>38.020000000000003</v>
      </c>
      <c r="Z52" s="12">
        <v>31.71</v>
      </c>
      <c r="AA52" s="12">
        <v>45.38</v>
      </c>
      <c r="AB52" s="12">
        <v>42.27</v>
      </c>
      <c r="AC52" s="12">
        <v>17.329999999999998</v>
      </c>
      <c r="AD52" s="12">
        <v>77.11</v>
      </c>
      <c r="AE52" s="12">
        <v>49.18</v>
      </c>
      <c r="AF52" s="12">
        <v>67.92</v>
      </c>
      <c r="AG52" s="12">
        <v>65.98</v>
      </c>
      <c r="AH52" s="12">
        <v>87.94</v>
      </c>
      <c r="AI52" s="30"/>
      <c r="AJ52" s="30"/>
    </row>
    <row r="53" spans="1:36" x14ac:dyDescent="0.3">
      <c r="A53" s="11" t="s">
        <v>29</v>
      </c>
      <c r="B53" s="12">
        <v>-550.26</v>
      </c>
      <c r="C53" s="12">
        <v>-520.79999999999995</v>
      </c>
      <c r="D53" s="12">
        <v>-491.34</v>
      </c>
      <c r="E53" s="12">
        <v>-461.88</v>
      </c>
      <c r="F53" s="12">
        <v>-432.42</v>
      </c>
      <c r="G53" s="12">
        <v>-402.96</v>
      </c>
      <c r="H53" s="12">
        <v>-373.5</v>
      </c>
      <c r="I53" s="12">
        <v>-344.04</v>
      </c>
      <c r="J53" s="12">
        <v>-314.58</v>
      </c>
      <c r="K53" s="12">
        <v>-285.12</v>
      </c>
      <c r="L53" s="12">
        <v>-255.66</v>
      </c>
      <c r="M53" s="12">
        <v>-226.2</v>
      </c>
      <c r="N53" s="12">
        <v>-196.74</v>
      </c>
      <c r="O53" s="12">
        <v>-167.28</v>
      </c>
      <c r="P53" s="12">
        <v>-137.82</v>
      </c>
      <c r="Q53" s="12">
        <v>-108.36</v>
      </c>
      <c r="R53" s="12">
        <v>-78.900000000000006</v>
      </c>
      <c r="S53" s="12">
        <v>-49.44</v>
      </c>
      <c r="T53" s="12">
        <v>-19.98</v>
      </c>
      <c r="U53" s="12">
        <v>9.4799999999999898</v>
      </c>
      <c r="V53" s="12">
        <v>38.94</v>
      </c>
      <c r="W53" s="12">
        <v>68.400000000000006</v>
      </c>
      <c r="X53" s="12">
        <v>97.86</v>
      </c>
      <c r="Y53" s="12">
        <v>127.32</v>
      </c>
      <c r="Z53" s="12">
        <v>156.78</v>
      </c>
      <c r="AA53" s="12">
        <v>233.58</v>
      </c>
      <c r="AB53" s="12">
        <v>154.84</v>
      </c>
      <c r="AC53" s="12">
        <v>60.56</v>
      </c>
      <c r="AD53" s="12">
        <v>225.25</v>
      </c>
      <c r="AE53" s="12">
        <v>116.42</v>
      </c>
      <c r="AF53" s="12">
        <v>208.6</v>
      </c>
      <c r="AG53" s="12">
        <v>151.30000000000001</v>
      </c>
      <c r="AH53" s="12">
        <v>191.6</v>
      </c>
      <c r="AI53" s="30"/>
      <c r="AJ53" s="30"/>
    </row>
    <row r="54" spans="1:36" x14ac:dyDescent="0.3">
      <c r="A54" s="11" t="s">
        <v>40</v>
      </c>
      <c r="B54" s="12">
        <v>-262.45999999999998</v>
      </c>
      <c r="C54" s="12">
        <v>-242.47</v>
      </c>
      <c r="D54" s="12">
        <v>-222.48</v>
      </c>
      <c r="E54" s="12">
        <v>-202.49</v>
      </c>
      <c r="F54" s="12">
        <v>-182.5</v>
      </c>
      <c r="G54" s="12">
        <v>-162.51</v>
      </c>
      <c r="H54" s="12">
        <v>-142.52000000000001</v>
      </c>
      <c r="I54" s="12">
        <v>-122.53</v>
      </c>
      <c r="J54" s="12">
        <v>-102.54</v>
      </c>
      <c r="K54" s="12">
        <v>-82.55</v>
      </c>
      <c r="L54" s="12">
        <v>-62.56</v>
      </c>
      <c r="M54" s="12">
        <v>-42.57</v>
      </c>
      <c r="N54" s="12">
        <v>-22.58</v>
      </c>
      <c r="O54" s="12">
        <v>-2.59</v>
      </c>
      <c r="P54" s="12">
        <v>17.399999999999999</v>
      </c>
      <c r="Q54" s="12">
        <v>37.39</v>
      </c>
      <c r="R54" s="12">
        <v>57.38</v>
      </c>
      <c r="S54" s="12">
        <v>77.37</v>
      </c>
      <c r="T54" s="12">
        <v>97.36</v>
      </c>
      <c r="U54" s="12">
        <v>117.35</v>
      </c>
      <c r="V54" s="12">
        <v>137.34</v>
      </c>
      <c r="W54" s="12">
        <v>157.33000000000001</v>
      </c>
      <c r="X54" s="12">
        <v>177.32</v>
      </c>
      <c r="Y54" s="12">
        <v>197.31</v>
      </c>
      <c r="Z54" s="12">
        <v>217.3</v>
      </c>
      <c r="AA54" s="12">
        <v>320.38</v>
      </c>
      <c r="AB54" s="12">
        <v>204.43</v>
      </c>
      <c r="AC54" s="12">
        <v>134.1</v>
      </c>
      <c r="AD54" s="12">
        <v>305.95999999999998</v>
      </c>
      <c r="AE54" s="12">
        <v>208</v>
      </c>
      <c r="AF54" s="12">
        <v>302.35000000000002</v>
      </c>
      <c r="AG54" s="12">
        <v>239.6</v>
      </c>
      <c r="AH54" s="12">
        <v>305.83</v>
      </c>
      <c r="AI54" s="30"/>
      <c r="AJ54" s="30"/>
    </row>
    <row r="55" spans="1:36" x14ac:dyDescent="0.3">
      <c r="A55" s="11" t="s">
        <v>30</v>
      </c>
      <c r="B55" s="12">
        <v>2432.58</v>
      </c>
      <c r="C55" s="12">
        <v>2359.23</v>
      </c>
      <c r="D55" s="12">
        <v>2285.88</v>
      </c>
      <c r="E55" s="12">
        <v>2212.5300000000002</v>
      </c>
      <c r="F55" s="12">
        <v>2139.1799999999998</v>
      </c>
      <c r="G55" s="12">
        <v>2065.83</v>
      </c>
      <c r="H55" s="12">
        <v>1992.48</v>
      </c>
      <c r="I55" s="12">
        <v>1919.13</v>
      </c>
      <c r="J55" s="12">
        <v>1845.78</v>
      </c>
      <c r="K55" s="12">
        <v>1772.43</v>
      </c>
      <c r="L55" s="12">
        <v>1699.08</v>
      </c>
      <c r="M55" s="12">
        <v>1625.73</v>
      </c>
      <c r="N55" s="12">
        <v>1552.38</v>
      </c>
      <c r="O55" s="12">
        <v>1479.03</v>
      </c>
      <c r="P55" s="12">
        <v>1405.68</v>
      </c>
      <c r="Q55" s="12">
        <v>1332.33</v>
      </c>
      <c r="R55" s="12">
        <v>1258.98</v>
      </c>
      <c r="S55" s="12">
        <v>1185.6300000000001</v>
      </c>
      <c r="T55" s="12">
        <v>1112.28</v>
      </c>
      <c r="U55" s="12">
        <v>1038.93</v>
      </c>
      <c r="V55" s="12">
        <v>965.58</v>
      </c>
      <c r="W55" s="12">
        <v>892.23</v>
      </c>
      <c r="X55" s="12">
        <v>818.88</v>
      </c>
      <c r="Y55" s="12">
        <v>745.53</v>
      </c>
      <c r="Z55" s="12">
        <v>672.18</v>
      </c>
      <c r="AA55" s="12">
        <v>774.72</v>
      </c>
      <c r="AB55" s="12">
        <v>687.32</v>
      </c>
      <c r="AC55" s="12">
        <v>634.15</v>
      </c>
      <c r="AD55" s="12">
        <v>678.65</v>
      </c>
      <c r="AE55" s="12">
        <v>743.13</v>
      </c>
      <c r="AF55" s="12">
        <v>711.38</v>
      </c>
      <c r="AG55" s="12">
        <v>812.18</v>
      </c>
      <c r="AH55" s="12">
        <v>754</v>
      </c>
      <c r="AI55" s="30"/>
      <c r="AJ55" s="30"/>
    </row>
    <row r="56" spans="1:36" x14ac:dyDescent="0.3">
      <c r="A56" s="11" t="s">
        <v>0</v>
      </c>
      <c r="B56" s="12">
        <v>988.78</v>
      </c>
      <c r="C56" s="12">
        <v>947.92</v>
      </c>
      <c r="D56" s="12">
        <v>907.06</v>
      </c>
      <c r="E56" s="12">
        <v>866.2</v>
      </c>
      <c r="F56" s="12">
        <v>825.34</v>
      </c>
      <c r="G56" s="12">
        <v>784.48</v>
      </c>
      <c r="H56" s="12">
        <v>743.62</v>
      </c>
      <c r="I56" s="12">
        <v>702.76</v>
      </c>
      <c r="J56" s="12">
        <v>661.9</v>
      </c>
      <c r="K56" s="12">
        <v>621.04</v>
      </c>
      <c r="L56" s="12">
        <v>580.17999999999995</v>
      </c>
      <c r="M56" s="12">
        <v>539.32000000000005</v>
      </c>
      <c r="N56" s="12">
        <v>498.46</v>
      </c>
      <c r="O56" s="12">
        <v>457.6</v>
      </c>
      <c r="P56" s="12">
        <v>416.74</v>
      </c>
      <c r="Q56" s="12">
        <v>375.88</v>
      </c>
      <c r="R56" s="12">
        <v>335.02</v>
      </c>
      <c r="S56" s="12">
        <v>294.16000000000003</v>
      </c>
      <c r="T56" s="12">
        <v>253.3</v>
      </c>
      <c r="U56" s="12">
        <v>212.44</v>
      </c>
      <c r="V56" s="12">
        <v>171.58</v>
      </c>
      <c r="W56" s="12">
        <v>130.72</v>
      </c>
      <c r="X56" s="12">
        <v>89.86</v>
      </c>
      <c r="Y56" s="12">
        <v>49</v>
      </c>
      <c r="Z56" s="12">
        <v>8.14</v>
      </c>
      <c r="AA56" s="12">
        <v>9.4700000000000006</v>
      </c>
      <c r="AB56" s="12">
        <v>5.04</v>
      </c>
      <c r="AC56" s="12">
        <v>14.85</v>
      </c>
      <c r="AD56" s="12">
        <v>4.0999999999999996</v>
      </c>
      <c r="AE56" s="12">
        <v>5.09</v>
      </c>
      <c r="AF56" s="12">
        <v>0.91</v>
      </c>
      <c r="AG56" s="12">
        <v>24.09</v>
      </c>
      <c r="AH56" s="12">
        <v>3.23</v>
      </c>
      <c r="AI56" s="30"/>
      <c r="AJ56" s="30"/>
    </row>
    <row r="57" spans="1:36" x14ac:dyDescent="0.3">
      <c r="A57" s="11" t="s">
        <v>41</v>
      </c>
      <c r="B57" s="12">
        <v>1256.31</v>
      </c>
      <c r="C57" s="12">
        <v>1204.18</v>
      </c>
      <c r="D57" s="12">
        <v>1152.05</v>
      </c>
      <c r="E57" s="12">
        <v>1099.92</v>
      </c>
      <c r="F57" s="12">
        <v>1047.79</v>
      </c>
      <c r="G57" s="12">
        <v>995.66</v>
      </c>
      <c r="H57" s="12">
        <v>943.53</v>
      </c>
      <c r="I57" s="12">
        <v>891.4</v>
      </c>
      <c r="J57" s="12">
        <v>839.27</v>
      </c>
      <c r="K57" s="12">
        <v>787.14</v>
      </c>
      <c r="L57" s="12">
        <v>735.01</v>
      </c>
      <c r="M57" s="12">
        <v>682.88</v>
      </c>
      <c r="N57" s="12">
        <v>630.75</v>
      </c>
      <c r="O57" s="12">
        <v>578.62</v>
      </c>
      <c r="P57" s="12">
        <v>526.49</v>
      </c>
      <c r="Q57" s="12">
        <v>474.36</v>
      </c>
      <c r="R57" s="12">
        <v>422.23</v>
      </c>
      <c r="S57" s="12">
        <v>370.1</v>
      </c>
      <c r="T57" s="12">
        <v>317.97000000000003</v>
      </c>
      <c r="U57" s="12">
        <v>265.83999999999997</v>
      </c>
      <c r="V57" s="12">
        <v>213.71</v>
      </c>
      <c r="W57" s="12">
        <v>161.58000000000001</v>
      </c>
      <c r="X57" s="12">
        <v>109.45</v>
      </c>
      <c r="Y57" s="12">
        <v>57.32</v>
      </c>
      <c r="Z57" s="12">
        <v>5.19</v>
      </c>
      <c r="AA57" s="12">
        <v>18.920000000000002</v>
      </c>
      <c r="AB57" s="12">
        <v>9.1</v>
      </c>
      <c r="AC57" s="12">
        <v>25.24</v>
      </c>
      <c r="AD57" s="12">
        <v>15.51</v>
      </c>
      <c r="AE57" s="12">
        <v>7.57</v>
      </c>
      <c r="AF57" s="12">
        <v>4.6500000000000004</v>
      </c>
      <c r="AG57" s="12">
        <v>25.07</v>
      </c>
      <c r="AH57" s="12">
        <v>11.54</v>
      </c>
      <c r="AI57" s="30"/>
      <c r="AJ57" s="30"/>
    </row>
    <row r="58" spans="1:36" x14ac:dyDescent="0.3">
      <c r="A58" s="11" t="s">
        <v>42</v>
      </c>
      <c r="B58" s="12">
        <v>623.9</v>
      </c>
      <c r="C58" s="12">
        <v>598.30999999999995</v>
      </c>
      <c r="D58" s="12">
        <v>572.72</v>
      </c>
      <c r="E58" s="12">
        <v>547.13</v>
      </c>
      <c r="F58" s="12">
        <v>521.54</v>
      </c>
      <c r="G58" s="12">
        <v>495.95</v>
      </c>
      <c r="H58" s="12">
        <v>470.36</v>
      </c>
      <c r="I58" s="12">
        <v>444.77</v>
      </c>
      <c r="J58" s="12">
        <v>419.18</v>
      </c>
      <c r="K58" s="12">
        <v>393.59</v>
      </c>
      <c r="L58" s="12">
        <v>368</v>
      </c>
      <c r="M58" s="12">
        <v>342.41</v>
      </c>
      <c r="N58" s="12">
        <v>316.82</v>
      </c>
      <c r="O58" s="12">
        <v>291.23</v>
      </c>
      <c r="P58" s="12">
        <v>265.64</v>
      </c>
      <c r="Q58" s="12">
        <v>240.05</v>
      </c>
      <c r="R58" s="12">
        <v>214.46</v>
      </c>
      <c r="S58" s="12">
        <v>188.87</v>
      </c>
      <c r="T58" s="12">
        <v>163.28</v>
      </c>
      <c r="U58" s="12">
        <v>137.69</v>
      </c>
      <c r="V58" s="12">
        <v>112.1</v>
      </c>
      <c r="W58" s="12">
        <v>86.51</v>
      </c>
      <c r="X58" s="12">
        <v>60.92</v>
      </c>
      <c r="Y58" s="12">
        <v>35.33</v>
      </c>
      <c r="Z58" s="12">
        <v>9.74</v>
      </c>
      <c r="AA58" s="12">
        <v>23.5</v>
      </c>
      <c r="AB58" s="12">
        <v>29.17</v>
      </c>
      <c r="AC58" s="12">
        <v>13.43</v>
      </c>
      <c r="AD58" s="12">
        <v>68.27</v>
      </c>
      <c r="AE58" s="12">
        <v>25.03</v>
      </c>
      <c r="AF58" s="12">
        <v>23.52</v>
      </c>
      <c r="AG58" s="12">
        <v>51.87</v>
      </c>
      <c r="AH58" s="12">
        <v>59.42</v>
      </c>
      <c r="AI58" s="30"/>
      <c r="AJ58" s="30"/>
    </row>
    <row r="59" spans="1:36" x14ac:dyDescent="0.3">
      <c r="A59" s="11" t="s">
        <v>38</v>
      </c>
      <c r="B59" s="12">
        <v>256.31</v>
      </c>
      <c r="C59" s="12">
        <v>249.46</v>
      </c>
      <c r="D59" s="12">
        <v>242.61</v>
      </c>
      <c r="E59" s="12">
        <v>235.76</v>
      </c>
      <c r="F59" s="12">
        <v>228.91</v>
      </c>
      <c r="G59" s="12">
        <v>222.06</v>
      </c>
      <c r="H59" s="12">
        <v>215.21</v>
      </c>
      <c r="I59" s="12">
        <v>208.36</v>
      </c>
      <c r="J59" s="12">
        <v>201.51</v>
      </c>
      <c r="K59" s="12">
        <v>194.66</v>
      </c>
      <c r="L59" s="12">
        <v>187.81</v>
      </c>
      <c r="M59" s="12">
        <v>180.96</v>
      </c>
      <c r="N59" s="12">
        <v>174.11</v>
      </c>
      <c r="O59" s="12">
        <v>167.26</v>
      </c>
      <c r="P59" s="12">
        <v>160.41</v>
      </c>
      <c r="Q59" s="12">
        <v>153.56</v>
      </c>
      <c r="R59" s="12">
        <v>146.71</v>
      </c>
      <c r="S59" s="12">
        <v>139.86000000000001</v>
      </c>
      <c r="T59" s="12">
        <v>133.01</v>
      </c>
      <c r="U59" s="12">
        <v>126.16</v>
      </c>
      <c r="V59" s="12">
        <v>119.31</v>
      </c>
      <c r="W59" s="12">
        <v>112.46</v>
      </c>
      <c r="X59" s="12">
        <v>105.61</v>
      </c>
      <c r="Y59" s="12">
        <v>98.76</v>
      </c>
      <c r="Z59" s="12">
        <v>91.91</v>
      </c>
      <c r="AA59" s="12">
        <v>180.49</v>
      </c>
      <c r="AB59" s="12">
        <v>115.08</v>
      </c>
      <c r="AC59" s="12">
        <v>49.78</v>
      </c>
      <c r="AD59" s="12">
        <v>199.47</v>
      </c>
      <c r="AE59" s="12">
        <v>63.55</v>
      </c>
      <c r="AF59" s="12">
        <v>143.47</v>
      </c>
      <c r="AG59" s="12">
        <v>125.31</v>
      </c>
      <c r="AH59" s="12">
        <v>149.79</v>
      </c>
      <c r="AI59" s="30"/>
      <c r="AJ59" s="30"/>
    </row>
    <row r="60" spans="1:36" x14ac:dyDescent="0.3">
      <c r="A60" s="11" t="s">
        <v>43</v>
      </c>
      <c r="B60" s="12">
        <v>-315.75999999999902</v>
      </c>
      <c r="C60" s="12">
        <v>-280.32999999999902</v>
      </c>
      <c r="D60" s="12">
        <v>-244.89999999999901</v>
      </c>
      <c r="E60" s="12">
        <v>-209.469999999999</v>
      </c>
      <c r="F60" s="12">
        <v>-174.039999999999</v>
      </c>
      <c r="G60" s="12">
        <v>-138.60999999999899</v>
      </c>
      <c r="H60" s="12">
        <v>-103.179999999999</v>
      </c>
      <c r="I60" s="12">
        <v>-67.749999999999005</v>
      </c>
      <c r="J60" s="12">
        <v>-32.319999999998998</v>
      </c>
      <c r="K60" s="12">
        <v>3.11000000000098</v>
      </c>
      <c r="L60" s="12">
        <v>38.540000000001001</v>
      </c>
      <c r="M60" s="12">
        <v>73.970000000000994</v>
      </c>
      <c r="N60" s="12">
        <v>109.400000000001</v>
      </c>
      <c r="O60" s="12">
        <v>144.83000000000101</v>
      </c>
      <c r="P60" s="12">
        <v>180.26</v>
      </c>
      <c r="Q60" s="12">
        <v>215.69</v>
      </c>
      <c r="R60" s="12">
        <v>251.12</v>
      </c>
      <c r="S60" s="12">
        <v>286.55</v>
      </c>
      <c r="T60" s="12">
        <v>321.98</v>
      </c>
      <c r="U60" s="12">
        <v>357.41</v>
      </c>
      <c r="V60" s="12">
        <v>392.84</v>
      </c>
      <c r="W60" s="12">
        <v>428.27</v>
      </c>
      <c r="X60" s="12">
        <v>463.7</v>
      </c>
      <c r="Y60" s="12">
        <v>499.13</v>
      </c>
      <c r="Z60" s="12">
        <v>534.55999999999995</v>
      </c>
      <c r="AA60" s="12">
        <v>781.3</v>
      </c>
      <c r="AB60" s="12">
        <v>629.65</v>
      </c>
      <c r="AC60" s="12">
        <v>648.46</v>
      </c>
      <c r="AD60" s="12">
        <v>685.34</v>
      </c>
      <c r="AE60" s="12">
        <v>611.04999999999995</v>
      </c>
      <c r="AF60" s="12">
        <v>673.11</v>
      </c>
      <c r="AG60" s="12">
        <v>625.61</v>
      </c>
      <c r="AH60" s="12">
        <v>756.22</v>
      </c>
      <c r="AI60" s="30"/>
      <c r="AJ60" s="30"/>
    </row>
    <row r="61" spans="1:36" x14ac:dyDescent="0.3">
      <c r="A61" s="11" t="s">
        <v>44</v>
      </c>
      <c r="B61" s="12">
        <v>269.68</v>
      </c>
      <c r="C61" s="12">
        <v>258.67</v>
      </c>
      <c r="D61" s="12">
        <v>247.66</v>
      </c>
      <c r="E61" s="12">
        <v>236.65</v>
      </c>
      <c r="F61" s="12">
        <v>225.64</v>
      </c>
      <c r="G61" s="12">
        <v>214.63</v>
      </c>
      <c r="H61" s="12">
        <v>203.62</v>
      </c>
      <c r="I61" s="12">
        <v>192.61</v>
      </c>
      <c r="J61" s="12">
        <v>181.6</v>
      </c>
      <c r="K61" s="12">
        <v>170.59</v>
      </c>
      <c r="L61" s="12">
        <v>159.58000000000001</v>
      </c>
      <c r="M61" s="12">
        <v>148.57</v>
      </c>
      <c r="N61" s="12">
        <v>137.56</v>
      </c>
      <c r="O61" s="12">
        <v>126.55</v>
      </c>
      <c r="P61" s="12">
        <v>115.54</v>
      </c>
      <c r="Q61" s="12">
        <v>104.53</v>
      </c>
      <c r="R61" s="12">
        <v>93.52</v>
      </c>
      <c r="S61" s="12">
        <v>82.51</v>
      </c>
      <c r="T61" s="12">
        <v>71.5</v>
      </c>
      <c r="U61" s="12">
        <v>60.49</v>
      </c>
      <c r="V61" s="12">
        <v>49.48</v>
      </c>
      <c r="W61" s="12">
        <v>38.47</v>
      </c>
      <c r="X61" s="12">
        <v>27.46</v>
      </c>
      <c r="Y61" s="12">
        <v>16.45</v>
      </c>
      <c r="Z61" s="12">
        <v>5.44</v>
      </c>
      <c r="AA61" s="12">
        <v>8.84</v>
      </c>
      <c r="AB61" s="12">
        <v>11.74</v>
      </c>
      <c r="AC61" s="12">
        <v>8.66</v>
      </c>
      <c r="AD61" s="12">
        <v>15.42</v>
      </c>
      <c r="AE61" s="12">
        <v>13.07</v>
      </c>
      <c r="AF61" s="12">
        <v>5.41</v>
      </c>
      <c r="AG61" s="12">
        <v>30.91</v>
      </c>
      <c r="AH61" s="12">
        <v>39.67</v>
      </c>
      <c r="AI61" s="30"/>
      <c r="AJ61" s="30"/>
    </row>
    <row r="62" spans="1:36" x14ac:dyDescent="0.3">
      <c r="A62" s="11" t="s">
        <v>26</v>
      </c>
      <c r="B62" s="12">
        <v>200.99</v>
      </c>
      <c r="C62" s="12">
        <v>193.35</v>
      </c>
      <c r="D62" s="12">
        <v>185.71</v>
      </c>
      <c r="E62" s="12">
        <v>178.07</v>
      </c>
      <c r="F62" s="12">
        <v>170.43</v>
      </c>
      <c r="G62" s="12">
        <v>162.79</v>
      </c>
      <c r="H62" s="12">
        <v>155.15</v>
      </c>
      <c r="I62" s="12">
        <v>147.51</v>
      </c>
      <c r="J62" s="12">
        <v>139.87</v>
      </c>
      <c r="K62" s="12">
        <v>132.22999999999999</v>
      </c>
      <c r="L62" s="12">
        <v>124.59</v>
      </c>
      <c r="M62" s="12">
        <v>116.95</v>
      </c>
      <c r="N62" s="12">
        <v>109.31</v>
      </c>
      <c r="O62" s="12">
        <v>101.67</v>
      </c>
      <c r="P62" s="12">
        <v>94.03</v>
      </c>
      <c r="Q62" s="12">
        <v>86.39</v>
      </c>
      <c r="R62" s="12">
        <v>78.75</v>
      </c>
      <c r="S62" s="12">
        <v>71.11</v>
      </c>
      <c r="T62" s="12">
        <v>63.47</v>
      </c>
      <c r="U62" s="12">
        <v>55.83</v>
      </c>
      <c r="V62" s="12">
        <v>48.19</v>
      </c>
      <c r="W62" s="12">
        <v>40.549999999999997</v>
      </c>
      <c r="X62" s="12">
        <v>32.909999999999997</v>
      </c>
      <c r="Y62" s="12">
        <v>25.27</v>
      </c>
      <c r="Z62" s="12">
        <v>17.63</v>
      </c>
      <c r="AA62" s="12">
        <v>31.63</v>
      </c>
      <c r="AB62" s="12">
        <v>46.63</v>
      </c>
      <c r="AC62" s="12">
        <v>8.9700000000000006</v>
      </c>
      <c r="AD62" s="12">
        <v>67.53</v>
      </c>
      <c r="AE62" s="12">
        <v>12.46</v>
      </c>
      <c r="AF62" s="12">
        <v>36.049999999999997</v>
      </c>
      <c r="AG62" s="12">
        <v>32.69</v>
      </c>
      <c r="AH62" s="12">
        <v>40.159999999999997</v>
      </c>
      <c r="AI62" s="30"/>
      <c r="AJ62" s="30"/>
    </row>
    <row r="63" spans="1:36" x14ac:dyDescent="0.3">
      <c r="A63" s="11" t="s">
        <v>14</v>
      </c>
      <c r="B63" s="12">
        <v>998.24</v>
      </c>
      <c r="C63" s="12">
        <v>956.93</v>
      </c>
      <c r="D63" s="12">
        <v>915.62</v>
      </c>
      <c r="E63" s="12">
        <v>874.31</v>
      </c>
      <c r="F63" s="12">
        <v>833</v>
      </c>
      <c r="G63" s="12">
        <v>791.69</v>
      </c>
      <c r="H63" s="12">
        <v>750.38</v>
      </c>
      <c r="I63" s="12">
        <v>709.07</v>
      </c>
      <c r="J63" s="12">
        <v>667.76</v>
      </c>
      <c r="K63" s="12">
        <v>626.45000000000005</v>
      </c>
      <c r="L63" s="12">
        <v>585.14</v>
      </c>
      <c r="M63" s="12">
        <v>543.83000000000004</v>
      </c>
      <c r="N63" s="12">
        <v>502.52</v>
      </c>
      <c r="O63" s="12">
        <v>461.21</v>
      </c>
      <c r="P63" s="12">
        <v>419.9</v>
      </c>
      <c r="Q63" s="12">
        <v>378.59</v>
      </c>
      <c r="R63" s="12">
        <v>337.28</v>
      </c>
      <c r="S63" s="12">
        <v>295.97000000000003</v>
      </c>
      <c r="T63" s="12">
        <v>254.66</v>
      </c>
      <c r="U63" s="12">
        <v>213.35</v>
      </c>
      <c r="V63" s="12">
        <v>172.04</v>
      </c>
      <c r="W63" s="12">
        <v>130.72999999999999</v>
      </c>
      <c r="X63" s="12">
        <v>89.42</v>
      </c>
      <c r="Y63" s="12">
        <v>48.11</v>
      </c>
      <c r="Z63" s="12">
        <v>6.8</v>
      </c>
      <c r="AA63" s="12">
        <v>29.53</v>
      </c>
      <c r="AB63" s="12">
        <v>28.53</v>
      </c>
      <c r="AC63" s="12">
        <v>22.12</v>
      </c>
      <c r="AD63" s="12">
        <v>63.67</v>
      </c>
      <c r="AE63" s="12">
        <v>16.899999999999999</v>
      </c>
      <c r="AF63" s="12">
        <v>19.77</v>
      </c>
      <c r="AG63" s="12">
        <v>29.74</v>
      </c>
      <c r="AH63" s="12">
        <v>48.99</v>
      </c>
      <c r="AI63" s="30"/>
      <c r="AJ63" s="30"/>
    </row>
    <row r="64" spans="1:36" x14ac:dyDescent="0.3">
      <c r="A64" s="11" t="s">
        <v>45</v>
      </c>
      <c r="B64" s="12">
        <v>3017.82</v>
      </c>
      <c r="C64" s="12">
        <v>2898.05</v>
      </c>
      <c r="D64" s="12">
        <v>2778.28</v>
      </c>
      <c r="E64" s="12">
        <v>2658.51</v>
      </c>
      <c r="F64" s="12">
        <v>2538.7399999999998</v>
      </c>
      <c r="G64" s="12">
        <v>2418.9699999999998</v>
      </c>
      <c r="H64" s="12">
        <v>2299.1999999999998</v>
      </c>
      <c r="I64" s="12">
        <v>2179.4299999999998</v>
      </c>
      <c r="J64" s="12">
        <v>2059.66</v>
      </c>
      <c r="K64" s="12">
        <v>1939.89</v>
      </c>
      <c r="L64" s="12">
        <v>1820.12</v>
      </c>
      <c r="M64" s="12">
        <v>1700.35</v>
      </c>
      <c r="N64" s="12">
        <v>1580.58</v>
      </c>
      <c r="O64" s="12">
        <v>1460.81</v>
      </c>
      <c r="P64" s="12">
        <v>1341.04</v>
      </c>
      <c r="Q64" s="12">
        <v>1221.27</v>
      </c>
      <c r="R64" s="12">
        <v>1101.5</v>
      </c>
      <c r="S64" s="12">
        <v>981.73</v>
      </c>
      <c r="T64" s="12">
        <v>861.96</v>
      </c>
      <c r="U64" s="12">
        <v>742.19</v>
      </c>
      <c r="V64" s="12">
        <v>622.41999999999996</v>
      </c>
      <c r="W64" s="12">
        <v>502.65</v>
      </c>
      <c r="X64" s="12">
        <v>382.88</v>
      </c>
      <c r="Y64" s="12">
        <v>263.11</v>
      </c>
      <c r="Z64" s="12">
        <v>143.34</v>
      </c>
      <c r="AA64" s="12">
        <v>168.07</v>
      </c>
      <c r="AB64" s="12">
        <v>241.98</v>
      </c>
      <c r="AC64" s="12">
        <v>98.32</v>
      </c>
      <c r="AD64" s="12">
        <v>181.31</v>
      </c>
      <c r="AE64" s="12">
        <v>278.60000000000002</v>
      </c>
      <c r="AF64" s="12">
        <v>267.27999999999997</v>
      </c>
      <c r="AG64" s="12">
        <v>234.32</v>
      </c>
      <c r="AH64" s="12">
        <v>167.04</v>
      </c>
      <c r="AI64" s="30"/>
      <c r="AJ64" s="30"/>
    </row>
    <row r="65" spans="1:36" x14ac:dyDescent="0.3">
      <c r="A65" s="11" t="s">
        <v>46</v>
      </c>
      <c r="B65" s="12">
        <v>1348.06</v>
      </c>
      <c r="C65" s="12">
        <v>1295.18</v>
      </c>
      <c r="D65" s="12">
        <v>1242.3</v>
      </c>
      <c r="E65" s="12">
        <v>1189.42</v>
      </c>
      <c r="F65" s="12">
        <v>1136.54</v>
      </c>
      <c r="G65" s="12">
        <v>1083.6600000000001</v>
      </c>
      <c r="H65" s="12">
        <v>1030.78</v>
      </c>
      <c r="I65" s="12">
        <v>977.9</v>
      </c>
      <c r="J65" s="12">
        <v>925.02</v>
      </c>
      <c r="K65" s="12">
        <v>872.14</v>
      </c>
      <c r="L65" s="12">
        <v>819.26</v>
      </c>
      <c r="M65" s="12">
        <v>766.38</v>
      </c>
      <c r="N65" s="12">
        <v>713.5</v>
      </c>
      <c r="O65" s="12">
        <v>660.62</v>
      </c>
      <c r="P65" s="12">
        <v>607.74</v>
      </c>
      <c r="Q65" s="12">
        <v>554.86</v>
      </c>
      <c r="R65" s="12">
        <v>501.98</v>
      </c>
      <c r="S65" s="12">
        <v>449.1</v>
      </c>
      <c r="T65" s="12">
        <v>396.22</v>
      </c>
      <c r="U65" s="12">
        <v>343.34</v>
      </c>
      <c r="V65" s="12">
        <v>290.45999999999998</v>
      </c>
      <c r="W65" s="12">
        <v>237.58</v>
      </c>
      <c r="X65" s="12">
        <v>184.7</v>
      </c>
      <c r="Y65" s="12">
        <v>131.82</v>
      </c>
      <c r="Z65" s="12">
        <v>78.94</v>
      </c>
      <c r="AA65" s="12">
        <v>209.43</v>
      </c>
      <c r="AB65" s="12">
        <v>90.49</v>
      </c>
      <c r="AC65" s="12">
        <v>62.82</v>
      </c>
      <c r="AD65" s="12">
        <v>165.79</v>
      </c>
      <c r="AE65" s="12">
        <v>108.2</v>
      </c>
      <c r="AF65" s="12">
        <v>130.9</v>
      </c>
      <c r="AG65" s="12">
        <v>84.67</v>
      </c>
      <c r="AH65" s="12">
        <v>123.62</v>
      </c>
      <c r="AI65" s="30"/>
      <c r="AJ65" s="30"/>
    </row>
    <row r="66" spans="1:36" x14ac:dyDescent="0.3">
      <c r="A66" s="11" t="s">
        <v>48</v>
      </c>
      <c r="B66" s="12">
        <v>75.180000000000106</v>
      </c>
      <c r="C66" s="12">
        <v>73.880000000000095</v>
      </c>
      <c r="D66" s="12">
        <v>72.580000000000098</v>
      </c>
      <c r="E66" s="12">
        <v>71.280000000000101</v>
      </c>
      <c r="F66" s="12">
        <v>69.980000000000103</v>
      </c>
      <c r="G66" s="12">
        <v>68.680000000000106</v>
      </c>
      <c r="H66" s="12">
        <v>67.380000000000095</v>
      </c>
      <c r="I66" s="12">
        <v>66.080000000000098</v>
      </c>
      <c r="J66" s="12">
        <v>64.780000000000101</v>
      </c>
      <c r="K66" s="12">
        <v>63.480000000000103</v>
      </c>
      <c r="L66" s="12">
        <v>62.180000000000099</v>
      </c>
      <c r="M66" s="12">
        <v>60.880000000000102</v>
      </c>
      <c r="N66" s="12">
        <v>59.58</v>
      </c>
      <c r="O66" s="12">
        <v>58.28</v>
      </c>
      <c r="P66" s="12">
        <v>56.98</v>
      </c>
      <c r="Q66" s="12">
        <v>55.68</v>
      </c>
      <c r="R66" s="12">
        <v>54.38</v>
      </c>
      <c r="S66" s="12">
        <v>53.08</v>
      </c>
      <c r="T66" s="12">
        <v>51.78</v>
      </c>
      <c r="U66" s="12">
        <v>50.48</v>
      </c>
      <c r="V66" s="12">
        <v>49.18</v>
      </c>
      <c r="W66" s="12">
        <v>47.88</v>
      </c>
      <c r="X66" s="12">
        <v>46.58</v>
      </c>
      <c r="Y66" s="12">
        <v>45.28</v>
      </c>
      <c r="Z66" s="12">
        <v>43.98</v>
      </c>
      <c r="AA66" s="12">
        <v>79.05</v>
      </c>
      <c r="AB66" s="12">
        <v>87.05</v>
      </c>
      <c r="AC66" s="12">
        <v>11.78</v>
      </c>
      <c r="AD66" s="12">
        <v>106.05</v>
      </c>
      <c r="AE66" s="12">
        <v>32.159999999999997</v>
      </c>
      <c r="AF66" s="12">
        <v>88.28</v>
      </c>
      <c r="AG66" s="12">
        <v>53.03</v>
      </c>
      <c r="AH66" s="12">
        <v>72.66</v>
      </c>
      <c r="AI66" s="30"/>
      <c r="AJ66" s="30"/>
    </row>
    <row r="67" spans="1:36" x14ac:dyDescent="0.3">
      <c r="A67" s="11" t="s">
        <v>47</v>
      </c>
      <c r="B67" s="12">
        <v>329.12</v>
      </c>
      <c r="C67" s="12">
        <v>316.8</v>
      </c>
      <c r="D67" s="12">
        <v>304.48</v>
      </c>
      <c r="E67" s="12">
        <v>292.16000000000003</v>
      </c>
      <c r="F67" s="12">
        <v>279.83999999999997</v>
      </c>
      <c r="G67" s="12">
        <v>267.52</v>
      </c>
      <c r="H67" s="12">
        <v>255.2</v>
      </c>
      <c r="I67" s="12">
        <v>242.88</v>
      </c>
      <c r="J67" s="12">
        <v>230.56</v>
      </c>
      <c r="K67" s="12">
        <v>218.24</v>
      </c>
      <c r="L67" s="12">
        <v>205.92</v>
      </c>
      <c r="M67" s="12">
        <v>193.6</v>
      </c>
      <c r="N67" s="12">
        <v>181.28</v>
      </c>
      <c r="O67" s="12">
        <v>168.96</v>
      </c>
      <c r="P67" s="12">
        <v>156.63999999999999</v>
      </c>
      <c r="Q67" s="12">
        <v>144.32</v>
      </c>
      <c r="R67" s="12">
        <v>132</v>
      </c>
      <c r="S67" s="12">
        <v>119.68</v>
      </c>
      <c r="T67" s="12">
        <v>107.36</v>
      </c>
      <c r="U67" s="12">
        <v>95.04</v>
      </c>
      <c r="V67" s="12">
        <v>82.72</v>
      </c>
      <c r="W67" s="12">
        <v>70.400000000000006</v>
      </c>
      <c r="X67" s="12">
        <v>58.08</v>
      </c>
      <c r="Y67" s="12">
        <v>45.76</v>
      </c>
      <c r="Z67" s="12">
        <v>33.44</v>
      </c>
      <c r="AA67" s="12">
        <v>80.87</v>
      </c>
      <c r="AB67" s="12">
        <v>61.66</v>
      </c>
      <c r="AC67" s="12">
        <v>19.899999999999999</v>
      </c>
      <c r="AD67" s="12">
        <v>117.67</v>
      </c>
      <c r="AE67" s="12">
        <v>27.08</v>
      </c>
      <c r="AF67" s="12">
        <v>59.87</v>
      </c>
      <c r="AG67" s="12">
        <v>53.06</v>
      </c>
      <c r="AH67" s="12">
        <v>65.09</v>
      </c>
      <c r="AI67" s="30"/>
      <c r="AJ67" s="30"/>
    </row>
    <row r="68" spans="1:36" x14ac:dyDescent="0.3">
      <c r="A68" s="11" t="s">
        <v>7</v>
      </c>
      <c r="B68" s="12">
        <v>338.59</v>
      </c>
      <c r="C68" s="12">
        <v>324.57</v>
      </c>
      <c r="D68" s="12">
        <v>310.55</v>
      </c>
      <c r="E68" s="12">
        <v>296.52999999999997</v>
      </c>
      <c r="F68" s="12">
        <v>282.51</v>
      </c>
      <c r="G68" s="12">
        <v>268.49</v>
      </c>
      <c r="H68" s="12">
        <v>254.47</v>
      </c>
      <c r="I68" s="12">
        <v>240.45</v>
      </c>
      <c r="J68" s="12">
        <v>226.43</v>
      </c>
      <c r="K68" s="12">
        <v>212.41</v>
      </c>
      <c r="L68" s="12">
        <v>198.39</v>
      </c>
      <c r="M68" s="12">
        <v>184.37</v>
      </c>
      <c r="N68" s="12">
        <v>170.35</v>
      </c>
      <c r="O68" s="12">
        <v>156.33000000000001</v>
      </c>
      <c r="P68" s="12">
        <v>142.31</v>
      </c>
      <c r="Q68" s="12">
        <v>128.29</v>
      </c>
      <c r="R68" s="12">
        <v>114.27</v>
      </c>
      <c r="S68" s="12">
        <v>100.25</v>
      </c>
      <c r="T68" s="12">
        <v>86.23</v>
      </c>
      <c r="U68" s="12">
        <v>72.209999999999994</v>
      </c>
      <c r="V68" s="12">
        <v>58.19</v>
      </c>
      <c r="W68" s="12">
        <v>44.17</v>
      </c>
      <c r="X68" s="12">
        <v>30.15</v>
      </c>
      <c r="Y68" s="12">
        <v>16.13</v>
      </c>
      <c r="Z68" s="12">
        <v>2.11</v>
      </c>
      <c r="AA68" s="12">
        <v>0.41</v>
      </c>
      <c r="AB68" s="12">
        <v>1.21</v>
      </c>
      <c r="AC68" s="12">
        <v>2.36</v>
      </c>
      <c r="AD68" s="12">
        <v>0</v>
      </c>
      <c r="AE68" s="12">
        <v>0</v>
      </c>
      <c r="AF68" s="12">
        <v>0</v>
      </c>
      <c r="AG68" s="12">
        <v>9.2200000000000006</v>
      </c>
      <c r="AH68" s="12">
        <v>0.96</v>
      </c>
      <c r="AI68" s="30"/>
      <c r="AJ68" s="30"/>
    </row>
    <row r="69" spans="1:36" x14ac:dyDescent="0.3">
      <c r="A69" s="11" t="s">
        <v>1</v>
      </c>
      <c r="B69" s="12">
        <v>34.340000000000003</v>
      </c>
      <c r="C69" s="12">
        <v>32.909999999999997</v>
      </c>
      <c r="D69" s="12">
        <v>31.48</v>
      </c>
      <c r="E69" s="12">
        <v>30.05</v>
      </c>
      <c r="F69" s="12">
        <v>28.62</v>
      </c>
      <c r="G69" s="12">
        <v>27.19</v>
      </c>
      <c r="H69" s="12">
        <v>25.76</v>
      </c>
      <c r="I69" s="12">
        <v>24.33</v>
      </c>
      <c r="J69" s="12">
        <v>22.9</v>
      </c>
      <c r="K69" s="12">
        <v>21.47</v>
      </c>
      <c r="L69" s="12">
        <v>20.04</v>
      </c>
      <c r="M69" s="12">
        <v>18.61</v>
      </c>
      <c r="N69" s="12">
        <v>17.18</v>
      </c>
      <c r="O69" s="12">
        <v>15.75</v>
      </c>
      <c r="P69" s="12">
        <v>14.32</v>
      </c>
      <c r="Q69" s="12">
        <v>12.89</v>
      </c>
      <c r="R69" s="12">
        <v>11.46</v>
      </c>
      <c r="S69" s="12">
        <v>10.029999999999999</v>
      </c>
      <c r="T69" s="12">
        <v>8.6</v>
      </c>
      <c r="U69" s="12">
        <v>7.17</v>
      </c>
      <c r="V69" s="12">
        <v>5.74</v>
      </c>
      <c r="W69" s="12">
        <v>4.3099999999999996</v>
      </c>
      <c r="X69" s="12">
        <v>2.88</v>
      </c>
      <c r="Y69" s="12">
        <v>1.45</v>
      </c>
      <c r="Z69" s="12">
        <v>0.02</v>
      </c>
      <c r="AA69" s="12">
        <v>0.01</v>
      </c>
      <c r="AB69" s="12">
        <v>0.03</v>
      </c>
      <c r="AC69" s="12">
        <v>1.35</v>
      </c>
      <c r="AD69" s="12">
        <v>0.13</v>
      </c>
      <c r="AE69" s="12">
        <v>0.03</v>
      </c>
      <c r="AF69" s="12">
        <v>0</v>
      </c>
      <c r="AG69" s="12">
        <v>4.9000000000000004</v>
      </c>
      <c r="AH69" s="12">
        <v>0.98</v>
      </c>
      <c r="AI69" s="30"/>
      <c r="AJ69" s="30"/>
    </row>
  </sheetData>
  <sortState xmlns:xlrd2="http://schemas.microsoft.com/office/spreadsheetml/2017/richdata2" ref="AS5:BR33">
    <sortCondition ref="AS5:AS33"/>
  </sortState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9D78BBFAE05499F4ABA55CBC67B56" ma:contentTypeVersion="2" ma:contentTypeDescription="Create a new document." ma:contentTypeScope="" ma:versionID="e82da1d18fcf0da93d817a7254c3ff0a">
  <xsd:schema xmlns:xsd="http://www.w3.org/2001/XMLSchema" xmlns:xs="http://www.w3.org/2001/XMLSchema" xmlns:p="http://schemas.microsoft.com/office/2006/metadata/properties" xmlns:ns2="44b67818-9579-407b-a333-36bb3aaf0893" targetNamespace="http://schemas.microsoft.com/office/2006/metadata/properties" ma:root="true" ma:fieldsID="fef959fd17abd6e882f8812858be1fc0" ns2:_="">
    <xsd:import namespace="44b67818-9579-407b-a333-36bb3aaf08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67818-9579-407b-a333-36bb3aaf0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BCA31D-C0D3-4E47-A26E-4980546B853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4b67818-9579-407b-a333-36bb3aaf089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B3570A-B077-48C1-B212-F1B42E101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646346-B0CD-4FD5-85E6-B0B7D792D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b67818-9579-407b-a333-36bb3aaf08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Production</vt:lpstr>
      <vt:lpstr>Estonia</vt:lpstr>
      <vt:lpstr>Switzerland</vt:lpstr>
      <vt:lpstr>United Kingdom</vt:lpstr>
      <vt:lpstr>Netherlands</vt:lpstr>
      <vt:lpstr>France</vt:lpstr>
      <vt:lpstr>Spain</vt:lpstr>
      <vt:lpstr>Belgium</vt:lpstr>
      <vt:lpstr>Austria</vt:lpstr>
      <vt:lpstr>Latvia</vt:lpstr>
      <vt:lpstr>Norway</vt:lpstr>
      <vt:lpstr>Lithuania</vt:lpstr>
      <vt:lpstr>Poland</vt:lpstr>
      <vt:lpstr>Germany</vt:lpstr>
      <vt:lpstr>Finland</vt:lpstr>
      <vt:lpstr>Sweden</vt:lpstr>
      <vt:lpstr>Denmark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0x010100C859D78BBFAE05499F4ABA55CBC67B56</vt:lpwstr>
  </property>
</Properties>
</file>