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backbone\north_european_model\src_files\data_files\"/>
    </mc:Choice>
  </mc:AlternateContent>
  <xr:revisionPtr revIDLastSave="0" documentId="13_ncr:1_{83695669-5E11-4839-B2EE-472B1B0A3B16}" xr6:coauthVersionLast="47" xr6:coauthVersionMax="47" xr10:uidLastSave="{00000000-0000-0000-0000-000000000000}"/>
  <bookViews>
    <workbookView xWindow="-120" yWindow="-120" windowWidth="29040" windowHeight="17520" tabRatio="500" xr2:uid="{00000000-000D-0000-FFFF-FFFF00000000}"/>
  </bookViews>
  <sheets>
    <sheet name="Overview" sheetId="5" r:id="rId1"/>
    <sheet name="sources" sheetId="8" r:id="rId2"/>
    <sheet name="unittypedata" sheetId="1" r:id="rId3"/>
  </sheets>
  <definedNames>
    <definedName name="_xlnm._FilterDatabase" localSheetId="2" hidden="1">unittypedata!$A$1:$AT$41</definedName>
    <definedName name="Bottom">OFFSET(#REF!,1,0,COUNT(#REF!),1)</definedName>
    <definedName name="fd">OFFSET(#REF!,1,0,COUNT(#REF!),1)</definedName>
    <definedName name="Labels">OFFSET(Bottom,0,-1)</definedName>
    <definedName name="SecondQ">OFFSET(#REF!,1,0,COUNT(#REF!),1)</definedName>
    <definedName name="ThirdQ">OFFSET(#REF!,1,0,COUNT(#REF!),1)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O3" i="1" l="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2" i="1"/>
  <c r="AJ2" i="1"/>
  <c r="Z36" i="1"/>
  <c r="Z35" i="1"/>
  <c r="Z34" i="1"/>
  <c r="Z33" i="1"/>
  <c r="Z32" i="1"/>
  <c r="Y26" i="1"/>
  <c r="AC26" i="1" s="1"/>
  <c r="Z21" i="1"/>
  <c r="Z20" i="1"/>
  <c r="Z19" i="1"/>
  <c r="Z18" i="1"/>
  <c r="Z17" i="1"/>
  <c r="Z8" i="1"/>
  <c r="AD8" i="1" s="1"/>
  <c r="Z9" i="1"/>
  <c r="Z10" i="1"/>
  <c r="AD10" i="1" s="1"/>
  <c r="Z11" i="1"/>
  <c r="AD11" i="1" s="1"/>
  <c r="Z7" i="1"/>
  <c r="AB7" i="1"/>
  <c r="Y7" i="1"/>
  <c r="AC7" i="1" s="1"/>
  <c r="Y8" i="1"/>
  <c r="AC8" i="1" s="1"/>
  <c r="Y9" i="1"/>
  <c r="AC9" i="1" s="1"/>
  <c r="Y10" i="1"/>
  <c r="AC10" i="1" s="1"/>
  <c r="Y11" i="1"/>
  <c r="AC11" i="1" s="1"/>
  <c r="Y12" i="1"/>
  <c r="AC12" i="1" s="1"/>
  <c r="Y13" i="1"/>
  <c r="AC13" i="1" s="1"/>
  <c r="Y14" i="1"/>
  <c r="AC14" i="1" s="1"/>
  <c r="Y15" i="1"/>
  <c r="AC15" i="1" s="1"/>
  <c r="Y16" i="1"/>
  <c r="AC16" i="1" s="1"/>
  <c r="Y17" i="1"/>
  <c r="AC17" i="1" s="1"/>
  <c r="Y18" i="1"/>
  <c r="AC18" i="1" s="1"/>
  <c r="Y19" i="1"/>
  <c r="AC19" i="1" s="1"/>
  <c r="Y20" i="1"/>
  <c r="AC20" i="1" s="1"/>
  <c r="Y21" i="1"/>
  <c r="AC21" i="1" s="1"/>
  <c r="Y22" i="1"/>
  <c r="AC22" i="1" s="1"/>
  <c r="Y23" i="1"/>
  <c r="AC23" i="1" s="1"/>
  <c r="Y24" i="1"/>
  <c r="AC24" i="1" s="1"/>
  <c r="Y25" i="1"/>
  <c r="AC25" i="1" s="1"/>
  <c r="Y27" i="1"/>
  <c r="AC27" i="1" s="1"/>
  <c r="Y28" i="1"/>
  <c r="AC28" i="1" s="1"/>
  <c r="Y29" i="1"/>
  <c r="AC29" i="1" s="1"/>
  <c r="Y30" i="1"/>
  <c r="AC30" i="1" s="1"/>
  <c r="Y31" i="1"/>
  <c r="AC31" i="1" s="1"/>
  <c r="Y32" i="1"/>
  <c r="AC32" i="1" s="1"/>
  <c r="Y33" i="1"/>
  <c r="AC33" i="1" s="1"/>
  <c r="Y34" i="1"/>
  <c r="AC34" i="1" s="1"/>
  <c r="Y35" i="1"/>
  <c r="AC35" i="1" s="1"/>
  <c r="Y36" i="1"/>
  <c r="AC36" i="1" s="1"/>
  <c r="Y37" i="1"/>
  <c r="AC37" i="1" s="1"/>
  <c r="Y38" i="1"/>
  <c r="AC38" i="1" s="1"/>
  <c r="Y39" i="1"/>
  <c r="AC39" i="1" s="1"/>
  <c r="Y40" i="1"/>
  <c r="AC40" i="1" s="1"/>
  <c r="Y41" i="1"/>
  <c r="AC41" i="1" s="1"/>
  <c r="AD7" i="1"/>
  <c r="AD9" i="1"/>
  <c r="AD12" i="1"/>
  <c r="AD13" i="1"/>
  <c r="AD14" i="1"/>
  <c r="AD15" i="1"/>
  <c r="AD16" i="1"/>
  <c r="AD26" i="1"/>
  <c r="AD27" i="1"/>
  <c r="AD28" i="1"/>
  <c r="AD29" i="1"/>
  <c r="AD30" i="1"/>
  <c r="AD31" i="1"/>
  <c r="Y2" i="1"/>
  <c r="AC2" i="1" s="1"/>
  <c r="Y3" i="1"/>
  <c r="AC3" i="1" s="1"/>
  <c r="AD3" i="1"/>
  <c r="AD4" i="1"/>
  <c r="AD5" i="1"/>
  <c r="AD6" i="1"/>
  <c r="AD2" i="1"/>
  <c r="AF32" i="1" l="1"/>
  <c r="AF33" i="1"/>
  <c r="AF34" i="1"/>
  <c r="AF35" i="1"/>
  <c r="AF36" i="1"/>
  <c r="AF37" i="1"/>
  <c r="AF38" i="1"/>
  <c r="AF39" i="1"/>
  <c r="AF40" i="1"/>
  <c r="AF41"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2" i="1"/>
  <c r="AM16" i="1"/>
  <c r="AM21" i="1" s="1"/>
  <c r="AM6" i="1"/>
  <c r="AM11" i="1" s="1"/>
  <c r="AJ41" i="1"/>
  <c r="AJ40" i="1"/>
  <c r="AJ39" i="1"/>
  <c r="AJ38" i="1"/>
  <c r="AJ37" i="1"/>
  <c r="AD41" i="1"/>
  <c r="AD40" i="1"/>
  <c r="AD39" i="1"/>
  <c r="AD38" i="1"/>
  <c r="AD37" i="1"/>
  <c r="AM36" i="1"/>
  <c r="AB36" i="1"/>
  <c r="AD36" i="1" s="1"/>
  <c r="AB35" i="1"/>
  <c r="AD35" i="1" s="1"/>
  <c r="AB34" i="1"/>
  <c r="AD34" i="1" s="1"/>
  <c r="AB33" i="1"/>
  <c r="AD33" i="1" s="1"/>
  <c r="AB32" i="1"/>
  <c r="AD32" i="1" s="1"/>
  <c r="U36" i="1"/>
  <c r="U35" i="1"/>
  <c r="U34" i="1"/>
  <c r="U33" i="1"/>
  <c r="U32" i="1"/>
  <c r="U21" i="1"/>
  <c r="U20" i="1"/>
  <c r="U19" i="1"/>
  <c r="U18" i="1"/>
  <c r="U17" i="1"/>
  <c r="U11" i="1"/>
  <c r="U10" i="1"/>
  <c r="U9" i="1"/>
  <c r="U8" i="1"/>
  <c r="U7" i="1"/>
  <c r="AM27" i="1"/>
  <c r="AM32" i="1" s="1"/>
  <c r="AM30" i="1"/>
  <c r="AM35" i="1" s="1"/>
  <c r="AM29" i="1"/>
  <c r="AM34" i="1" s="1"/>
  <c r="AM28" i="1"/>
  <c r="AM33" i="1" s="1"/>
  <c r="AN30" i="1"/>
  <c r="AN35" i="1" s="1"/>
  <c r="AN31" i="1"/>
  <c r="AN36" i="1" s="1"/>
  <c r="AN29" i="1"/>
  <c r="AN34" i="1" s="1"/>
  <c r="AN28" i="1"/>
  <c r="AN33" i="1" s="1"/>
  <c r="AN27" i="1"/>
  <c r="AN32" i="1" s="1"/>
  <c r="AJ31" i="1"/>
  <c r="AJ30" i="1"/>
  <c r="AJ29" i="1"/>
  <c r="AJ28" i="1"/>
  <c r="AJ27" i="1"/>
  <c r="AJ26" i="1"/>
  <c r="AJ25" i="1"/>
  <c r="AJ24" i="1"/>
  <c r="AJ23" i="1"/>
  <c r="AJ22" i="1"/>
  <c r="AD25" i="1"/>
  <c r="AD24" i="1"/>
  <c r="AD23" i="1"/>
  <c r="AD22" i="1"/>
  <c r="AB21" i="1"/>
  <c r="AJ21" i="1" s="1"/>
  <c r="AB20" i="1"/>
  <c r="AJ20" i="1" s="1"/>
  <c r="AB19" i="1"/>
  <c r="AJ19" i="1" s="1"/>
  <c r="AB18" i="1"/>
  <c r="AJ18" i="1" s="1"/>
  <c r="AB17" i="1"/>
  <c r="AJ17" i="1" s="1"/>
  <c r="AD20" i="1"/>
  <c r="AD19" i="1"/>
  <c r="AD18" i="1"/>
  <c r="AD17" i="1"/>
  <c r="AN16" i="1"/>
  <c r="AN21" i="1" s="1"/>
  <c r="AN6" i="1"/>
  <c r="AN11" i="1" s="1"/>
  <c r="AN12" i="1"/>
  <c r="AN17" i="1" s="1"/>
  <c r="AN15" i="1"/>
  <c r="AN20" i="1" s="1"/>
  <c r="AN13" i="1"/>
  <c r="AN18" i="1" s="1"/>
  <c r="AN14" i="1"/>
  <c r="AN19" i="1" s="1"/>
  <c r="AM12" i="1"/>
  <c r="AM17" i="1" s="1"/>
  <c r="AM15" i="1"/>
  <c r="AM20" i="1" s="1"/>
  <c r="AM13" i="1"/>
  <c r="AM18" i="1" s="1"/>
  <c r="AM14" i="1"/>
  <c r="AM19" i="1" s="1"/>
  <c r="AN5" i="1"/>
  <c r="AN10" i="1" s="1"/>
  <c r="AN4" i="1"/>
  <c r="AN9" i="1" s="1"/>
  <c r="AN3" i="1"/>
  <c r="AN8" i="1" s="1"/>
  <c r="AN2" i="1"/>
  <c r="AN7" i="1" s="1"/>
  <c r="AM5" i="1"/>
  <c r="AM10" i="1" s="1"/>
  <c r="AM4" i="1"/>
  <c r="AM9" i="1" s="1"/>
  <c r="AM3" i="1"/>
  <c r="AM8" i="1" s="1"/>
  <c r="AM2" i="1"/>
  <c r="AM7" i="1" s="1"/>
  <c r="AJ12" i="1"/>
  <c r="AJ13" i="1"/>
  <c r="AJ14" i="1"/>
  <c r="AJ15" i="1"/>
  <c r="AJ16" i="1"/>
  <c r="AB8" i="1"/>
  <c r="AB9" i="1"/>
  <c r="AB10" i="1"/>
  <c r="AJ10" i="1" s="1"/>
  <c r="AB11" i="1"/>
  <c r="AJ11" i="1" s="1"/>
  <c r="Y4" i="1"/>
  <c r="AC4" i="1" s="1"/>
  <c r="Y5" i="1"/>
  <c r="AC5" i="1" s="1"/>
  <c r="Y6" i="1"/>
  <c r="AC6" i="1" s="1"/>
  <c r="AJ33" i="1" l="1"/>
  <c r="AJ34" i="1"/>
  <c r="AJ35" i="1"/>
  <c r="AJ32" i="1"/>
  <c r="AJ36" i="1"/>
  <c r="AD21" i="1"/>
  <c r="AJ7" i="1"/>
  <c r="AJ8" i="1"/>
  <c r="AJ9" i="1"/>
  <c r="AJ3" i="1"/>
  <c r="AJ4" i="1"/>
  <c r="AJ5" i="1"/>
  <c r="AJ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tc={3F2FF353-1B69-443A-9B68-D61CA3E499A6}</author>
    <author>tc={45DC4EFF-DACF-4B4F-9DB8-B7D320BE3D2F}</author>
    <author>tc={3CF4BBB1-E5E0-4975-9077-CF983B040EA9}</author>
    <author>tc={E316524C-40C6-4ADF-893E-A55434F5AB2E}</author>
    <author>tc={5660B841-ED65-4C4E-9F2B-091EB96AA3F6}</author>
    <author>tc={5EA40E23-E27B-4554-8092-4EB5A9505F76}</author>
    <author>tc={E823D856-8B7B-4776-A1F3-660A988FE98C}</author>
    <author>tc={96E39AB5-377B-4A25-A9ED-F0280F75511F}</author>
    <author>tc={FEFEC0DB-B5CA-4B5F-A8A1-41078050B78C}</author>
  </authors>
  <commentList>
    <comment ref="S1" authorId="0" shapeId="0" xr:uid="{3F2FF353-1B69-443A-9B68-D61CA3E499A6}">
      <text>
        <t>[Threaded comment]
Your version of Excel allows you to read this threaded comment; however, any edits to it will get removed if the file is opened in a newer version of Excel. Learn more: https://go.microsoft.com/fwlink/?linkid=870924
Comment:
    Roughly guesstimated based on DEA technology data for biomass fired CHP plants, since they seem to operate roughly in similar steam temperature ranges as LWRs.</t>
      </text>
    </comment>
    <comment ref="U1" authorId="1" shapeId="0" xr:uid="{45DC4EFF-DACF-4B4F-9DB8-B7D320BE3D2F}">
      <text>
        <t>[Threaded comment]
Your version of Excel allows you to read this threaded comment; however, any edits to it will get removed if the file is opened in a newer version of Excel. Learn more: https://go.microsoft.com/fwlink/?linkid=870924
Comment:
    Note that the variable O&amp;M costs mostly DON’T include the cost of spent nuclear fuel! Although some of the `nucMax` values might.</t>
      </text>
    </comment>
    <comment ref="W1" authorId="2" shapeId="0" xr:uid="{3CF4BBB1-E5E0-4975-9077-CF983B040EA9}">
      <text>
        <t>[Threaded comment]
Your version of Excel allows you to read this threaded comment; however, any edits to it will get removed if the file is opened in a newer version of Excel. Learn more: https://go.microsoft.com/fwlink/?linkid=870924
Comment:
    `minOperationHours` and `minShutDownHours` mostly based on EUR Document 2.2-2.1.2-C. SMRs are given the benefit of the doubt.</t>
      </text>
    </comment>
    <comment ref="Y1" authorId="3" shapeId="0" xr:uid="{E316524C-40C6-4ADF-893E-A55434F5AB2E}">
      <text>
        <t>[Threaded comment]
Your version of Excel allows you to read this threaded comment; however, any edits to it will get removed if the file is opened in a newer version of Excel. Learn more: https://go.microsoft.com/fwlink/?linkid=870924
Comment:
    Warm and Hot startup parameters guesstimated based on the Cold ones by scaling with the relative `minShutDownHours` difference.</t>
      </text>
    </comment>
    <comment ref="AA1" authorId="4" shapeId="0" xr:uid="{5660B841-ED65-4C4E-9F2B-091EB96AA3F6}">
      <text>
        <t>[Threaded comment]
Your version of Excel allows you to read this threaded comment; however, any edits to it will get removed if the file is opened in a newer version of Excel. Learn more: https://go.microsoft.com/fwlink/?linkid=870924
Comment:
    Legacy data? Original source unknown, maybe derived from ERAA24?</t>
      </text>
    </comment>
    <comment ref="AB1" authorId="5" shapeId="0" xr:uid="{5EA40E23-E27B-4554-8092-4EB5A9505F76}">
      <text>
        <t>[Threaded comment]
Your version of Excel allows you to read this threaded comment; however, any edits to it will get removed if the file is opened in a newer version of Excel. Learn more: https://go.microsoft.com/fwlink/?linkid=870924
Comment:
    Only two startup cost values found in literature, rest are guesstimated based on legacy data.</t>
      </text>
    </comment>
    <comment ref="AE1" authorId="6" shapeId="0" xr:uid="{E823D856-8B7B-4776-A1F3-660A988FE98C}">
      <text>
        <t>[Threaded comment]
Your version of Excel allows you to read this threaded comment; however, any edits to it will get removed if the file is opened in a newer version of Excel. Learn more: https://go.microsoft.com/fwlink/?linkid=870924
Comment:
    `startWarmAfterXHours´ mostly based on EUR Document 2.2-2.1.2-C</t>
      </text>
    </comment>
    <comment ref="AF1" authorId="7" shapeId="0" xr:uid="{96E39AB5-377B-4A25-A9ED-F0280F75511F}">
      <text>
        <t>[Threaded comment]
Your version of Excel allows you to read this threaded comment; however, any edits to it will get removed if the file is opened in a newer version of Excel. Learn more: https://go.microsoft.com/fwlink/?linkid=870924
Comment:
    4x times warm like in ERAA24</t>
      </text>
    </comment>
    <comment ref="AI1" authorId="8" shapeId="0" xr:uid="{FEFEC0DB-B5CA-4B5F-A8A1-41078050B78C}">
      <text>
        <t>[Threaded comment]
Your version of Excel allows you to read this threaded comment; however, any edits to it will get removed if the file is opened in a newer version of Excel. Learn more: https://go.microsoft.com/fwlink/?linkid=870924
Comment:
    The max and min unit sizes in each category are well defined, but the typical reactor sizes within them is somewhat assumed.</t>
      </text>
    </comment>
  </commentList>
</comments>
</file>

<file path=xl/sharedStrings.xml><?xml version="1.0" encoding="utf-8"?>
<sst xmlns="http://schemas.openxmlformats.org/spreadsheetml/2006/main" count="450" uniqueCount="246">
  <si>
    <t>Generator_ID</t>
  </si>
  <si>
    <t>vomCosts</t>
  </si>
  <si>
    <t>minOperationHours</t>
  </si>
  <si>
    <t>minShutDownHours</t>
  </si>
  <si>
    <t>startfuelConsWarm</t>
  </si>
  <si>
    <t>startCostWarm</t>
  </si>
  <si>
    <t>startFuelConsCold</t>
  </si>
  <si>
    <t>startCostCold</t>
  </si>
  <si>
    <t>startFuelConsHot</t>
  </si>
  <si>
    <t>startCostHot</t>
  </si>
  <si>
    <t>startWarmAfterXHours</t>
  </si>
  <si>
    <t>startColdAfterXhours</t>
  </si>
  <si>
    <t>maxRampUp</t>
  </si>
  <si>
    <t>maxRampDown</t>
  </si>
  <si>
    <t>unitSize</t>
  </si>
  <si>
    <t>cb</t>
  </si>
  <si>
    <t>useTimeseriesAvailability</t>
  </si>
  <si>
    <t>Nuclear</t>
  </si>
  <si>
    <t>flow</t>
  </si>
  <si>
    <t>elec</t>
  </si>
  <si>
    <t>isSource</t>
  </si>
  <si>
    <t>isSink</t>
  </si>
  <si>
    <t>cv</t>
  </si>
  <si>
    <t>scenario</t>
  </si>
  <si>
    <t>year</t>
  </si>
  <si>
    <t>grid_output1</t>
  </si>
  <si>
    <t>grid_output2</t>
  </si>
  <si>
    <t>conversionCoeff_output2</t>
  </si>
  <si>
    <t>grid_output3</t>
  </si>
  <si>
    <t>LP/MIP</t>
  </si>
  <si>
    <t>grid_input1</t>
  </si>
  <si>
    <t>dheat</t>
  </si>
  <si>
    <t>upperLimitCapacityRatio_input1</t>
  </si>
  <si>
    <t>unittype</t>
  </si>
  <si>
    <t>emission_group1</t>
  </si>
  <si>
    <t>eff00</t>
  </si>
  <si>
    <t>eff01</t>
  </si>
  <si>
    <t>op00</t>
  </si>
  <si>
    <t>op01</t>
  </si>
  <si>
    <t>rampUpCost</t>
  </si>
  <si>
    <t>vomCosts_input1</t>
  </si>
  <si>
    <t>Note</t>
  </si>
  <si>
    <t>invCosts</t>
  </si>
  <si>
    <t>annuityFactor</t>
  </si>
  <si>
    <t>fomCosts</t>
  </si>
  <si>
    <t>Content</t>
  </si>
  <si>
    <t>Nuclear technology parameters</t>
  </si>
  <si>
    <t>Part of</t>
  </si>
  <si>
    <t>Author</t>
  </si>
  <si>
    <t>Topi Rasku &lt;topi.rasku@vtt.fi&gt;</t>
  </si>
  <si>
    <t>Last updated</t>
  </si>
  <si>
    <t>Description</t>
  </si>
  <si>
    <t>Key sheets</t>
  </si>
  <si>
    <t>unittypedata</t>
  </si>
  <si>
    <t>Contains the technology parameters for different nuclear technologies.</t>
  </si>
  <si>
    <t>Note that this is not a standalone input data file and requires the other North European model dataset as a basis.</t>
  </si>
  <si>
    <t>Discussion</t>
  </si>
  <si>
    <t>See the later "Discussion" for justification on selected input data focus, as well as some caveats.</t>
  </si>
  <si>
    <t>However, it should be noted that this limits the applicability of the output heat, as LWRs are generally only capable of max 300C heat output.</t>
  </si>
  <si>
    <t>1. Their technology is still unproven and economics uncertain (especially for Gen IV designs).</t>
  </si>
  <si>
    <t xml:space="preserve"> Whether mass production of modularized SMRs can recoup lost economies of scale remains uncertain, as SMR factories are massive upfront investments.</t>
  </si>
  <si>
    <t>SMR safety needs to be evaluated differently than traditional power plants, especially if situated in urban or industrial areas for co-generation, complicating regulatory approval processes.</t>
  </si>
  <si>
    <t>Gen IV reactors would be required for process heat in the 300-900C ranges, but those are likely decades away from commercial deployment.</t>
  </si>
  <si>
    <t>More spread out nuclear material raises concerns about security and proliferation risks for SMRs.</t>
  </si>
  <si>
    <t>2. Nuclear safety regulations and nuclear proliferation concerns need to be sorted out (again worse for Gen IV due to potentially higher enriched fuel).</t>
  </si>
  <si>
    <t>Overall, there is surprisingly little difference in SMR and NPP parameters for power generation, nor does there seem to be good reasons to expect otherwise.</t>
  </si>
  <si>
    <t>40-50% min load often considered a decent average for simpler modelling purposes.</t>
  </si>
  <si>
    <t>Likely to impact all LWR reactors somewhat equally regardless of their size.</t>
  </si>
  <si>
    <t>Low-temperature heat-only reactors might require even less time due to small size and already lower core temperatures.</t>
  </si>
  <si>
    <t>1. Minimum load avoids issues with xenon transients and soluble boron concentrations throughout the fuel cycle.</t>
  </si>
  <si>
    <t>3. Ramp limits are in place to minimize thermal stress on fuel assemblies and minize risk of fuel rod rupture.</t>
  </si>
  <si>
    <t>Technically modern reactors should also be capable of ramping down at 20%/min, but this is reserved for emergencies.</t>
  </si>
  <si>
    <t>As such, ramp limits are likely similar for NPPs and SMRs regardless of their size.</t>
  </si>
  <si>
    <t>However, low-temperature heat-only reactors might again be capable of faster ramping due to lower temperatures and thus fuel rod thermal stress?</t>
  </si>
  <si>
    <t>However, low-temperature heat-only reactors likely have significantly lower costs due to simplified design, which is at least somewhat reflected in the parameters.</t>
  </si>
  <si>
    <t>The flexible operation parameters are possibly partially better for SMRs, but concrete data on this is limited.</t>
  </si>
  <si>
    <t>nucLow</t>
  </si>
  <si>
    <t>nucTypical</t>
  </si>
  <si>
    <t>nucHigh</t>
  </si>
  <si>
    <t>nuclearLWR</t>
  </si>
  <si>
    <t>nuclearLWRchp</t>
  </si>
  <si>
    <t>nuclearSMLWR</t>
  </si>
  <si>
    <t>nuclearSMLWRchp</t>
  </si>
  <si>
    <t>nuclearMMLWR</t>
  </si>
  <si>
    <t>nuclearMMLWRchp</t>
  </si>
  <si>
    <t>[1] C. Bruynooghe, A. Eriksson, and G. Fulli, “Load-following Operating Mode at Nuclear Power</t>
  </si>
  <si>
    <t>Plants (NPPs) and Incidence on Operation and Maintenance (O&amp;M) Costs — Compatibility</t>
  </si>
  <si>
    <t>with Wind Power Variability,” Tech. Rep. EUR 245834 EN - 2010, European Commission</t>
  </si>
  <si>
    <t>Joint Research Centre Institute for Energy, Luxembourg, 2010. ISBN: 9789279175343 ISSN:</t>
  </si>
  <si>
    <t>1018-5593.</t>
  </si>
  <si>
    <t>[2] G. Simbolotti, “IEA ETSAP — Technology Brief E03 – Nuclear Power,” Apr. 2010.</t>
  </si>
  <si>
    <t>[3] Nuclear Energy Agency, “Technical and Economic Aspects of Load Following with Nuclear</t>
  </si>
  <si>
    <t>Power Plants,” tech. rep., Nuclear Energy Agency, June 2011.</t>
  </si>
  <si>
    <t>[4] EUR Association, “Chapter 2 — Performance requirements,” in European utility requirements</t>
  </si>
  <si>
    <t>for LWR nuclear power plants, vol. 2, EUR Association, revision e ed., Dec. 2016.</t>
  </si>
  <si>
    <t>[5] C. Cany, C. Mansilla, P. da Costa, G. Mathonni`ere, T. Duquesnoy, and A. Baschwitz, “Nuclear</t>
  </si>
  <si>
    <t>and intermittent renewables: Two compatible supply options? The case of the French power</t>
  </si>
  <si>
    <t>mix,” Energy Policy, vol. 95, pp. 135–146, Aug. 2016.</t>
  </si>
  <si>
    <t>[6] V. Tulkki, E. Pursiheimo, and T. J. Lindroos, District heat with Small Modular Reactors</t>
  </si>
  <si>
    <t>(SMR). VTT Technical Research Centre of Finland, 2017.</t>
  </si>
  <si>
    <t>[7] International Atomic Energy Agency, “Non-baseload Operation in Nuclear Power Plants: Load</t>
  </si>
  <si>
    <t>Following and Frequency Control Modes of Flexible Operation,” text, International Atomic</t>
  </si>
  <si>
    <t>Energy Agency, Apr. 2018. ISBN: 9789201108166 Publication Title: Non-baseload Operation</t>
  </si>
  <si>
    <t>in Nuclear Power Plants: Load Following and Frequency Control Modes of Flexible Operation.</t>
  </si>
  <si>
    <t>[8] K. V¨arri and S. Syri, “The Possible Role of Modular Nuclear Reactors in District Heating:</t>
  </si>
  <si>
    <t>Case Helsinki Region,” Energies, vol. 12, p. 2195, June 2019. Number: 11 Publisher: Multi-</t>
  </si>
  <si>
    <t>disciplinary Digital Publishing Institute.</t>
  </si>
  <si>
    <t>[9] M. Nichol and H. Desai, “Cost Competitiveness of Micro-Reactors for Remote Markets,” tech.</t>
  </si>
  <si>
    <t>rep., Nuclear Energy Institute, Apr. 2019.</t>
  </si>
  <si>
    <t>Nuclear and Renewables,” Tech. Rep. 7299, Nuclear Energy Agency, 2019.</t>
  </si>
  <si>
    <t>reactors from the perspective of integrated planning,” Progress in Nuclear Energy, vol. 118,</t>
  </si>
  <si>
    <t>p. 103106, Jan. 2020.</t>
  </si>
  <si>
    <t>Study,” Energies, vol. 13, p. 3782, July 2020. Number: 15 Publisher: Multidisciplinary Digital</t>
  </si>
  <si>
    <t>Publishing Institute.</t>
  </si>
  <si>
    <t>ities and challenges,” Progress in Nuclear Energy, vol. 138, p. 103822, Aug. 2021.</t>
  </si>
  <si>
    <t>7560, Nuclear Energy Agency, 2021.</t>
  </si>
  <si>
    <t>impacts on power systems with renewable energy,” Applied Energy, vol. 314, p. 118903, May</t>
  </si>
  <si>
    <t>analysis for heat pumps and nuclear heat in decarbonised Helsinki metropolitan district heating</t>
  </si>
  <si>
    <t>system,” Energy Storage and Saving, vol. 1, pp. 80–92, June 2022.</t>
  </si>
  <si>
    <t>multi-unit small modular reactors,” Energy, vol. 280, p. 128107, Oct. 2023.</t>
  </si>
  <si>
    <t>operation and maintenance scheduling,” Energy, vol. 313, p. 134098, Dec. 2024.</t>
  </si>
  <si>
    <t>50 Nuclear District Heating Reactor,” Energies, vol. 17, p. 3250, July 2024. Number: 13</t>
  </si>
  <si>
    <t>Publisher: Multidisciplinary Digital Publishing Institute.</t>
  </si>
  <si>
    <t>modular reactors in Europe,” Renewable and Sustainable Energy Reviews, vol. 203, p. 114743,</t>
  </si>
  <si>
    <t>Oct. 2024.</t>
  </si>
  <si>
    <t>tricity — Renewable Energy Technologies,” tech. rep., Fraunhofer Institute for Solar Energy</t>
  </si>
  <si>
    <t>Systems, Freiburg, June 2024.</t>
  </si>
  <si>
    <t>N. Stauff, K. Shirvan, and A. Stein, “Meta-Analysis of Advanced Nuclear Reactor Cost Es-</t>
  </si>
  <si>
    <t>timations,” Tech. Rep. INL/RPT–24-77048-Rev001, Idaho National Laboratory (INL), Idaho</t>
  </si>
  <si>
    <t>Falls, ID (United States), June 2024.</t>
  </si>
  <si>
    <t>Timescale Power System Operations With Temporally Coupled Sub-Models,” IEEE Trans-</t>
  </si>
  <si>
    <t>actions on Power Systems, vol. 40, pp. 793–805, Jan. 2025.</t>
  </si>
  <si>
    <t>baseload demand in capacity expansion planning for low-carbon power systems,” Applied En-</t>
  </si>
  <si>
    <t>ergy, vol. 377, p. 124366, Jan. 2025.</t>
  </si>
  <si>
    <t>Small Modular Reactors in Modern Power Systems,” Energies, vol. 18, p. 2578, May 2025.</t>
  </si>
  <si>
    <t>gies for Nuclear Integrated Energy Systems,” IEEE Access, vol. 13, pp. 118857–118873, July</t>
  </si>
  <si>
    <t>LWR reactors capable of temperatures required for "efficient" power generation are conceptually similar regardless of their size.</t>
  </si>
  <si>
    <t>What SMRs could save in mass production, they seem to lose in economies of scale (the massive upfront costs of "SMR factories" are a key economic uncertainty).</t>
  </si>
  <si>
    <t>The data is organized into 5 scenarios sampling data differently across the sources. Note that in e.g. "nucLow", all parameters are low: both technical and economical!</t>
  </si>
  <si>
    <t>nucLow - Contains low-end parameters supposedly within the realm of possibility. Sample these if you feel like using conservative technical parameters or optimistic cost assumptions.</t>
  </si>
  <si>
    <t>2. Startup/shutdown durations seem to be governed by the time it takes for the reactor core to safely heat up and cool, although thermal stress as well as xenon transients can still play a part depending on the fuel cycle.</t>
  </si>
  <si>
    <t>A "hot-hot" startup after less than 36 hours of "hot-shutdown-mode" only takes ~2 hours, while a "cold-cold" startup after e.g. a refuelling outage takes ~40 hours.</t>
  </si>
  <si>
    <t>nucHigh - Contains high-end parameters within the realm of possibility. Sample these if you want to use optimistic technical parameters or conservative cost assumptions.</t>
  </si>
  <si>
    <t>Economic competitiveness with VRE also often called into question for pure power production (outside supplying specific steady consumers outside wholesale markets).</t>
  </si>
  <si>
    <t>Based on the literature, the phenomena limiting reactor flexibility seem to relate to:</t>
  </si>
  <si>
    <t>There is a huge difference between "hot" and "cold" startups for nuclear reactors depending on the temperature of the reactor, the primary cooling circuit, and the turbine.</t>
  </si>
  <si>
    <t>Thus, this time could be noticeably lower for SMRs with smaller cores that should be faster to cool and heat up evenly, unless thermal stresses become an issue (which they shouldn't based on ramping capabilities?).</t>
  </si>
  <si>
    <t>Early in the fuel cycle, load-following between 20-100% is technically feasible under modern reactor reactivity requirements, but the last third of the cycle gradually becomes completely inflexible.</t>
  </si>
  <si>
    <t>Modern reactors should be capable of at least 3%/min in regular operation, and while TSOs can require more, 5%/min is a currently agreed-upon hard safety cap.</t>
  </si>
  <si>
    <t>Low-temperature heat-only reactors might differ in terms of xenon transients and soluble boron utilisation, yielding different minimum loads, but I would have to consult reactor dynamics specialists on the topic.</t>
  </si>
  <si>
    <t>NPPs should technically be capable of ramping between full-min-full power cycles: 2x per day, 5x per week, or 200x per year.</t>
  </si>
  <si>
    <t>The focus of this dataset is on emerging light-water micro- and small modular reactors, as well as modern conventional nuclear power plant (NPP) designs.</t>
  </si>
  <si>
    <t>LRW-SMLRW-MMLRW: Indicates whether the unit is a large LWR (~1000 MWe), a Small Modular LWR (&lt;300 MWe), or a Micro Modular LWR (&lt;50 MWth).</t>
  </si>
  <si>
    <t>1. LWR and especially PWR reactors constitute the majority of existing NPPs.</t>
  </si>
  <si>
    <t>2. Small modular LWRs are technologically more mature than alternative (Gen IV) designs, and thus likely to be commercialized first.</t>
  </si>
  <si>
    <t>3. Parameters are more plentiful and reliable due to existing experience with large LWRs, and we don't need to rely on design-specific developer-advertised values.</t>
  </si>
  <si>
    <t>The unit type data is categorized via two "axes":</t>
  </si>
  <si>
    <t>Note that this dataset is not methodologically rigorous.</t>
  </si>
  <si>
    <t>Regardless, the considerable range of uncertainty in the parameters renders this dataset more informative than anything else.</t>
  </si>
  <si>
    <t>Parameter selection was largely based on subjective estimation of source credibility, not on any well-defined meta-analysis.</t>
  </si>
  <si>
    <t>Furthermore, currencies and their respective exchange rates or their evolution were not rigorously accounted for.</t>
  </si>
  <si>
    <t>[10] T. J. Lindroos, E. Pursiheimo, V. Sahlberg, and V. Tulkki, “A techno-economic assessment of</t>
  </si>
  <si>
    <t>NuScale and DHR-400 reactors in a district heating and cooling grid,” Energy Sources, Part</t>
  </si>
  <si>
    <t>B: Economics, Planning and Policy, vol. 14, pp. 13–24, Mar. 2019.</t>
  </si>
  <si>
    <t>[11] Nuclear Energy Agency, “The Costs of Decarbonisation: System Costs with High Shares of</t>
  </si>
  <si>
    <t>[12] V. Nian and S. Zhong, “Economic feasibility of flexible energy productions by small modular</t>
  </si>
  <si>
    <t>[13] A. Ter¨asvirta, S. Syri, and P. Hiltunen, “Small Nuclear Reactor—Nordic District Heating Case</t>
  </si>
  <si>
    <t>[14] R. Testoni, A. Bersano, and S. Segantin, “Review of nuclear microreactors: Status, potential-</t>
  </si>
  <si>
    <t>[15] Nuclear Energy Agency, “Small Modular Reactors: Challenges and Opportunities,” Tech. Rep.</t>
  </si>
  <si>
    <t>[16] A. Lynch, Y. Perez, S. Gabriel, and G. Mathonniere, “Nuclear fleet flexibility: Modeling and</t>
  </si>
  <si>
    <t>[17] E. Pursiheimo, T. J. Lindroos, D. Sundell, M. R¨am¨a, and V. Tulkki, “Optimal investment</t>
  </si>
  <si>
    <t>carbonizing district heating systems: a case study of the Helsinki metropolitan area,” Nuclear</t>
  </si>
  <si>
    <t>Engineering and Design, vol. 442, p. 114262, Oct. 2025.</t>
  </si>
  <si>
    <t>Stars indicate priority sources</t>
  </si>
  <si>
    <t>e = electricity only, chp = combined heat and power, ho = heat-only</t>
  </si>
  <si>
    <t>Table source: &lt;topi.rasku@vtt.fi&gt; GG-SMR working draft</t>
  </si>
  <si>
    <t>Contains the raw data table from my original parameter gathering while delving into SMR literature.</t>
  </si>
  <si>
    <t>Conventional LWR CHP</t>
  </si>
  <si>
    <t>Conventional LWR</t>
  </si>
  <si>
    <t>Small Modular LWR</t>
  </si>
  <si>
    <t>Small Modular LWR CHP</t>
  </si>
  <si>
    <t>Small Modular LWR DH</t>
  </si>
  <si>
    <t>nuclearSMLWRdh</t>
  </si>
  <si>
    <t>CHP-DH: Indicates whether the unit is a Combined Heat and Power or a District Heat-Only unit. If not indicated, the unit is electricity only.</t>
  </si>
  <si>
    <t>Micro Modular LWR</t>
  </si>
  <si>
    <t>Micro Modular LWR CHP</t>
  </si>
  <si>
    <t>Micro Modular LWR DH</t>
  </si>
  <si>
    <t>nuclearMMLWRdh</t>
  </si>
  <si>
    <t>The main reason for this are:</t>
  </si>
  <si>
    <t>4. All mature LWR designs use Low-Enriched Uranium (LEU ~3-5% U235) fuel, whereas some Gen IV SMR designs require High-Assay LEU (HALEU ~5-20% U235), the global supply of which is much more scarce.</t>
  </si>
  <si>
    <t>nucMin - Contains extreme low-end (i.e. minimum) parameters. Likely highly unrealistic, not recommended for actual use, but included for completeness' sake.</t>
  </si>
  <si>
    <t>nucMax - Contains extreme high-end (i.e. maximum) parameters. Not recommended for actual use and included primarily for completeness' sake.</t>
  </si>
  <si>
    <t>nucMax</t>
  </si>
  <si>
    <t>nucMin</t>
  </si>
  <si>
    <t>This dataset contains more detailed nuclear technology parameters focusing on light-water reactors (LWRs) both conventional as well as micro- and small modular reactors (SMRs) for power and heat generation.</t>
  </si>
  <si>
    <t>Data could be easily based on listed sources with multiple alternatives available for comparison</t>
  </si>
  <si>
    <t>Good</t>
  </si>
  <si>
    <t>Decent</t>
  </si>
  <si>
    <t>Bad</t>
  </si>
  <si>
    <t>Derived</t>
  </si>
  <si>
    <t>Derived from other data values.</t>
  </si>
  <si>
    <t>Uses 0.9 EUR/USD average conversion rate between 2020-2025</t>
  </si>
  <si>
    <t>Data could be based on listed sources, but limited or no alternatives were available for comparison, or was used slightly outside its original intended purpose.</t>
  </si>
  <si>
    <t>CHP cost surcharge</t>
  </si>
  <si>
    <t>CHP costs surcharge estimated based on source [A] by doubling the share of "Turbine Plant Equipment" of total power plant costs.</t>
  </si>
  <si>
    <t>EUR/USD assumed conversion</t>
  </si>
  <si>
    <t>DH reactor startup costs halved due to assumed simplicity compared to CHP reactors.</t>
  </si>
  <si>
    <t>Micro reactor temperatures assumed to stabilise and cool down faster after shutdown due to smaller core size.</t>
  </si>
  <si>
    <t>Data could not be based to listed sources, and subjective guesstimation from undocumented legacy data or arbitrary extrapolation was used as a supplement.</t>
  </si>
  <si>
    <t>[18] G. Black, D. Shropshire, K. Ara´ujo, and A. van Heek, “Prospects for Nuclear Microre-</t>
  </si>
  <si>
    <t>actors: A Review of the Technology, Economics, and Regulatory Considerations,” Nu-</t>
  </si>
  <si>
    <t>clear Technology, vol. 209, pp. S1–S20, Jan. 2023. Publisher: Taylor &amp; Francis eprint:</t>
  </si>
  <si>
    <t>https://doi.org/10.1080/00295450.2022.2118626.</t>
  </si>
  <si>
    <t>[19] S. Alhadhrami, G. J. Soto, and B. Lindley, “Dispatch analysis of flexible power operation with</t>
  </si>
  <si>
    <t>[20] A. Asuega, B. J. Limb, and J. C. Quinn, “Techno-economic analysis of advanced small modular</t>
  </si>
  <si>
    <t>nuclear reactors,” Applied Energy, vol. 334, p. 120669, Mar. 2023.</t>
  </si>
  <si>
    <t>[21] A. Rigby, S. Alhadhrami, and B. Lindley, “Co-optimization of nuclear reactor flexible power</t>
  </si>
  <si>
    <t>[22] L. Sokka, H. Kirppu, and J. Lepp¨anen, “Evaluation of Life Cycle CO2 Emissions for the LDR-</t>
  </si>
  <si>
    <t>[23] N. Van Hee, H. Peremans, and P. Nimmegeers, “Economic potential and barriers of small</t>
  </si>
  <si>
    <t>[24] C. Kost, P. M¨uller, J. S. Schweiger, V. Fluri, and J. Thomsen, “Study: Levelized Cost of Elec-</t>
  </si>
  <si>
    <t>[25] A. Abou-Jaoude, C. S. Lohse, L. M. Larsen, N. Guaita, I. Trivedi, F. C. Joseck, E. Hoffman,</t>
  </si>
  <si>
    <t>[26] NREL (National Renewable Energy Laboratory), “2024 Annual Technology Baseline,” July</t>
  </si>
  <si>
    <t>[27] ENTSO-E, “ERAA 2024 Downloads,” 2024.</t>
  </si>
  <si>
    <t>[28] J. Rahman and J. Zhang, “Steady-State Modeling of Small Modular Reactors for Multi-</t>
  </si>
  <si>
    <t>[29] M. Hjelmeland, J. K. Nøland, S. Backe, and M. Korp˚as, “The role of nuclear energy and</t>
  </si>
  <si>
    <t>[30] C. K. Simoglou, I. M. Kaissas, and P. N. Biskas, “Assessing the Implications of Integrating</t>
  </si>
  <si>
    <t>[31] A. I. Arvanitidis and M. Alamaniotis, “Optimal Economic Dispatch and Load-Following Strate-</t>
  </si>
  <si>
    <t>[32] “Lazard LCOE+,” June 2025.</t>
  </si>
  <si>
    <t>[33] J.-P. Ikonen, T. J. Lindroos, and P. Hiltunen, “Feasibility of small modular reactors for de-</t>
  </si>
  <si>
    <t>Priority</t>
  </si>
  <si>
    <t>Last updated: 2025-08-25</t>
  </si>
  <si>
    <t>Discount rate</t>
  </si>
  <si>
    <t>Technical lifetime</t>
  </si>
  <si>
    <t>GG-SMR project T5.3</t>
  </si>
  <si>
    <t>nucTypical - Contains "middle-of-the-pack" parameters aiming to represent expected parameters. This scenario could be used as-is.</t>
  </si>
  <si>
    <t>Data quality on the data sheets is indicated using the following colors:</t>
  </si>
  <si>
    <t>sources</t>
  </si>
  <si>
    <t>Note that the investment costs don't cover power or district heating grid connection costs: E.g. a "Conventional LWR CHP" unit would likely require quite an atypical district heating connection due to its size and presumed distance from any urban areas.</t>
  </si>
  <si>
    <t>2025-09-10</t>
  </si>
  <si>
    <t>E.g. for the `unittype`s to appear in the final processed input data, you need to provide some scenario `unitdata` for the processing.</t>
  </si>
  <si>
    <t>Thus, the parameters aim to reflect the properties of "Gen III+" Light Water Reactors (mainly Pressurized Water Reactor, not Boiling Water Reactor).</t>
  </si>
  <si>
    <t>This makes them suitable for district heating, desalination, and some pulp &amp; paper processes, but not enough for a lot of other industrial processes or high-temperature hydrogen electrolysis.</t>
  </si>
  <si>
    <t>However, SMRs still face significant uncertainties in their deployment:</t>
  </si>
  <si>
    <t>In principle, financing costs and risks should be lower than in conventional "megaprojects" due to shorter and modular construction times.</t>
  </si>
  <si>
    <t>The main uncontested advantage of SMRs is their ability (if permitted) to operate where large NPPs cannot: isolated/maritime/mobile environments, or close to urban and industrial areas for efficient co-generation.</t>
  </si>
  <si>
    <t>In principle, startup and shutdown numbers for NPPs over the lifetime are also limited to minimize thermal/corrosive stress on the reactor core (~20 hot starts per year, ~1-2 cold starts per year), but how these apply to SMRs is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</si>
</sst>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8" x14ac:knownFonts="1">
    <font>
      <sz val="11"/>
      <color rgb="FF000000"/>
      <name val="Calibri"/>
      <family val="2"/>
      <charset val="1"/>
    </font>
    <font>
      <sz val="10"/>
      <color rgb="FF000000"/>
      <name val="Arial"/>
      <family val="2"/>
      <charset val="1"/>
    </font>
    <font>
      <sz val="10"/>
      <color rgb="FF000000"/>
      <name val="Calibri"/>
      <family val="2"/>
      <charset val="1"/>
    </font>
    <font>
      <sz val="10"/>
      <name val="Arial"/>
      <family val="2"/>
    </font>
    <font>
      <sz val="11"/>
      <color rgb="FF000000"/>
      <name val="Calibri"/>
      <family val="2"/>
      <charset val="1"/>
    </font>
    <font>
      <sz val="11"/>
      <color theme="0" tint="-0.499984740745262"/>
      <name val="Calibri"/>
      <family val="2"/>
      <charset val="1"/>
    </font>
    <font>
      <sz val="11"/>
      <color theme="4" tint="-0.249977111117893"/>
      <name val="Calibri"/>
      <family val="2"/>
      <charset val="1"/>
    </font>
    <font>
      <sz val="11"/>
      <color theme="4" tint="-0.499984740745262"/>
      <name val="Calibri"/>
      <family val="2"/>
      <charset val="1"/>
    </font>
    <font>
      <sz val="11"/>
      <name val="Calibri"/>
      <family val="2"/>
      <charset val="1"/>
    </font>
    <font>
      <sz val="11"/>
      <color rgb="FF000000"/>
      <name val="Calibri"/>
      <family val="2"/>
    </font>
    <font>
      <sz val="11"/>
      <color theme="0" tint="-0.499984740745262"/>
      <name val="Calibri"/>
      <family val="2"/>
    </font>
    <font>
      <b/>
      <sz val="11"/>
      <color theme="0" tint="-0.499984740745262"/>
      <name val="Calibri"/>
      <family val="2"/>
    </font>
    <font>
      <b/>
      <sz val="11"/>
      <color theme="3"/>
      <name val="Arial"/>
      <family val="2"/>
      <scheme val="minor"/>
    </font>
    <font>
      <i/>
      <sz val="11"/>
      <color rgb="FF7F7F7F"/>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b/>
      <sz val="11"/>
      <color rgb="FFFA7D00"/>
      <name val="Arial"/>
      <family val="2"/>
      <scheme val="minor"/>
    </font>
  </fonts>
  <fills count="12">
    <fill>
      <patternFill patternType="none"/>
    </fill>
    <fill>
      <patternFill patternType="gray125"/>
    </fill>
    <fill>
      <patternFill patternType="solid">
        <fgColor rgb="FFFFAFAF"/>
        <bgColor rgb="FFFF99CC"/>
      </patternFill>
    </fill>
    <fill>
      <patternFill patternType="solid">
        <fgColor rgb="FF87CB3D"/>
        <bgColor rgb="FFFF99CC"/>
      </patternFill>
    </fill>
    <fill>
      <patternFill patternType="solid">
        <fgColor rgb="FFFDA56F"/>
        <bgColor rgb="FFFF99CC"/>
      </patternFill>
    </fill>
    <fill>
      <patternFill patternType="solid">
        <fgColor rgb="FFFECCB0"/>
        <bgColor rgb="FFFF99CC"/>
      </patternFill>
    </fill>
    <fill>
      <patternFill patternType="solid">
        <fgColor rgb="FFFF7171"/>
        <bgColor rgb="FFFF99CC"/>
      </patternFill>
    </fill>
    <fill>
      <patternFill patternType="solid">
        <fgColor rgb="FFC49100"/>
        <bgColor rgb="FFFF99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3">
    <border>
      <left/>
      <right/>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s>
  <cellStyleXfs count="9">
    <xf numFmtId="0" fontId="0" fillId="0" borderId="0"/>
    <xf numFmtId="0" fontId="4" fillId="0" borderId="0"/>
    <xf numFmtId="0" fontId="12" fillId="0" borderId="0" applyNumberFormat="0" applyFill="0" applyBorder="0" applyAlignment="0" applyProtection="0"/>
    <xf numFmtId="0" fontId="13" fillId="0" borderId="0" applyNumberFormat="0" applyFill="0" applyBorder="0" applyAlignment="0" applyProtection="0"/>
    <xf numFmtId="0" fontId="3" fillId="0" borderId="0"/>
    <xf numFmtId="0" fontId="14" fillId="8" borderId="0" applyNumberFormat="0" applyBorder="0" applyAlignment="0" applyProtection="0"/>
    <xf numFmtId="0" fontId="15" fillId="9" borderId="0" applyNumberFormat="0" applyBorder="0" applyAlignment="0" applyProtection="0"/>
    <xf numFmtId="0" fontId="16" fillId="10" borderId="0" applyNumberFormat="0" applyBorder="0" applyAlignment="0" applyProtection="0"/>
    <xf numFmtId="0" fontId="17" fillId="11" borderId="2" applyNumberFormat="0" applyAlignment="0" applyProtection="0"/>
  </cellStyleXfs>
  <cellXfs count="33">
    <xf numFmtId="0" fontId="0" fillId="0" borderId="0" xfId="0"/>
    <xf numFmtId="0" fontId="2" fillId="0" borderId="0" xfId="0" applyFont="1"/>
    <xf numFmtId="0" fontId="5" fillId="0" borderId="0" xfId="0" applyFont="1"/>
    <xf numFmtId="0" fontId="6" fillId="0" borderId="0" xfId="0" applyFont="1"/>
    <xf numFmtId="1" fontId="6" fillId="0" borderId="0" xfId="0" applyNumberFormat="1" applyFont="1"/>
    <xf numFmtId="0" fontId="7" fillId="0" borderId="0" xfId="0" applyFont="1"/>
    <xf numFmtId="0" fontId="8" fillId="0" borderId="0" xfId="0" applyFont="1"/>
    <xf numFmtId="0" fontId="9" fillId="0" borderId="0" xfId="0" applyFont="1"/>
    <xf numFmtId="0" fontId="10" fillId="0" borderId="0" xfId="0" applyFont="1"/>
    <xf numFmtId="0" fontId="0" fillId="0" borderId="0" xfId="0" applyAlignment="1">
      <alignment horizontal="left"/>
    </xf>
    <xf numFmtId="0" fontId="1" fillId="2" borderId="1" xfId="1" applyFont="1" applyFill="1" applyBorder="1" applyAlignment="1">
      <alignment wrapText="1"/>
    </xf>
    <xf numFmtId="0" fontId="1" fillId="2" borderId="0" xfId="1" applyFont="1" applyFill="1" applyAlignment="1">
      <alignment wrapText="1"/>
    </xf>
    <xf numFmtId="0" fontId="1" fillId="3" borderId="1" xfId="1" applyFont="1" applyFill="1" applyBorder="1" applyAlignment="1">
      <alignment wrapText="1"/>
    </xf>
    <xf numFmtId="0" fontId="1" fillId="4" borderId="1" xfId="1" applyFont="1" applyFill="1" applyBorder="1" applyAlignment="1">
      <alignment wrapText="1"/>
    </xf>
    <xf numFmtId="0" fontId="1" fillId="5" borderId="1" xfId="1" applyFont="1" applyFill="1" applyBorder="1" applyAlignment="1">
      <alignment wrapText="1"/>
    </xf>
    <xf numFmtId="0" fontId="1" fillId="6" borderId="1" xfId="1" applyFont="1" applyFill="1" applyBorder="1" applyAlignment="1">
      <alignment wrapText="1"/>
    </xf>
    <xf numFmtId="0" fontId="1" fillId="7" borderId="1" xfId="1" applyFont="1" applyFill="1" applyBorder="1" applyAlignment="1">
      <alignment wrapText="1"/>
    </xf>
    <xf numFmtId="0" fontId="11" fillId="0" borderId="0" xfId="0" applyFont="1"/>
    <xf numFmtId="49" fontId="12" fillId="0" borderId="0" xfId="2" applyNumberFormat="1"/>
    <xf numFmtId="49" fontId="13" fillId="0" borderId="0" xfId="3" applyNumberFormat="1"/>
    <xf numFmtId="0" fontId="13" fillId="0" borderId="0" xfId="3"/>
    <xf numFmtId="0" fontId="14" fillId="8" borderId="0" xfId="5"/>
    <xf numFmtId="0" fontId="16" fillId="10" borderId="0" xfId="7"/>
    <xf numFmtId="0" fontId="15" fillId="9" borderId="0" xfId="6"/>
    <xf numFmtId="49" fontId="14" fillId="8" borderId="0" xfId="5" applyNumberFormat="1"/>
    <xf numFmtId="49" fontId="16" fillId="10" borderId="0" xfId="7" applyNumberFormat="1"/>
    <xf numFmtId="49" fontId="15" fillId="9" borderId="0" xfId="6" applyNumberFormat="1"/>
    <xf numFmtId="49" fontId="17" fillId="11" borderId="2" xfId="8" applyNumberFormat="1"/>
    <xf numFmtId="0" fontId="17" fillId="11" borderId="2" xfId="8"/>
    <xf numFmtId="0" fontId="14" fillId="8" borderId="0" xfId="5" applyBorder="1"/>
    <xf numFmtId="0" fontId="15" fillId="9" borderId="0" xfId="6" applyBorder="1"/>
    <xf numFmtId="0" fontId="16" fillId="10" borderId="0" xfId="7" applyBorder="1"/>
    <xf numFmtId="164" fontId="0" fillId="0" borderId="0" xfId="0" applyNumberFormat="1"/>
  </cellXfs>
  <cellStyles count="9">
    <cellStyle name="Bad" xfId="6" builtinId="27"/>
    <cellStyle name="Calculation" xfId="8" builtinId="22"/>
    <cellStyle name="Explanatory Text" xfId="3" builtinId="53"/>
    <cellStyle name="Good" xfId="5" builtinId="26"/>
    <cellStyle name="Heading 4" xfId="2" builtinId="19"/>
    <cellStyle name="Neutral" xfId="7" builtinId="28"/>
    <cellStyle name="Normal" xfId="0" builtinId="0"/>
    <cellStyle name="Normal 2" xfId="4" xr:uid="{91DB56C7-13B4-40B7-9643-8E98D5725448}"/>
    <cellStyle name="Standard_Data provided by OT3"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BBE33D"/>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C49100"/>
      <color rgb="FFCC9900"/>
      <color rgb="FFFF7171"/>
      <color rgb="FFFECCB0"/>
      <color rgb="FFFDA56F"/>
      <color rgb="FF87CB3D"/>
      <color rgb="FFFFAFAF"/>
      <color rgb="FFEDFF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277965</xdr:colOff>
      <xdr:row>49</xdr:row>
      <xdr:rowOff>134671</xdr:rowOff>
    </xdr:to>
    <xdr:pic>
      <xdr:nvPicPr>
        <xdr:cNvPr id="3" name="Picture 2">
          <a:extLst>
            <a:ext uri="{FF2B5EF4-FFF2-40B4-BE49-F238E27FC236}">
              <a16:creationId xmlns:a16="http://schemas.microsoft.com/office/drawing/2014/main" id="{8DAE7551-65F7-490F-91DD-E827A3124141}"/>
            </a:ext>
          </a:extLst>
        </xdr:cNvPr>
        <xdr:cNvPicPr>
          <a:picLocks noChangeAspect="1"/>
        </xdr:cNvPicPr>
      </xdr:nvPicPr>
      <xdr:blipFill>
        <a:blip xmlns:r="http://schemas.openxmlformats.org/officeDocument/2006/relationships" r:embed="rId1"/>
        <a:stretch>
          <a:fillRect/>
        </a:stretch>
      </xdr:blipFill>
      <xdr:spPr>
        <a:xfrm>
          <a:off x="0" y="0"/>
          <a:ext cx="12469965" cy="946917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asku Topi" id="{0FC40365-7D57-4FC2-80F3-DC368BAD6BC2}" userId="S::topi.rasku@vtt.fi::f32b0145-fb49-43de-bfc3-ef6b614a4dd4" providerId="AD"/>
</personList>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S1" dT="2025-08-25T06:34:11.54" personId="{0FC40365-7D57-4FC2-80F3-DC368BAD6BC2}" id="{3F2FF353-1B69-443A-9B68-D61CA3E499A6}">
    <text>Roughly guesstimated based on DEA technology data for biomass fired CHP plants, since they seem to operate roughly in similar steam temperature ranges as LWRs.</text>
  </threadedComment>
  <threadedComment ref="U1" dT="2025-08-25T10:07:53.45" personId="{0FC40365-7D57-4FC2-80F3-DC368BAD6BC2}" id="{45DC4EFF-DACF-4B4F-9DB8-B7D320BE3D2F}">
    <text>Note that the variable O&amp;M costs mostly DON’T include the cost of spent nuclear fuel! Although some of the `nucMax` values might.</text>
  </threadedComment>
  <threadedComment ref="W1" dT="2025-08-25T05:07:38.37" personId="{0FC40365-7D57-4FC2-80F3-DC368BAD6BC2}" id="{3CF4BBB1-E5E0-4975-9077-CF983B040EA9}">
    <text>`minOperationHours` and `minShutDownHours` mostly based on EUR Document 2.2-2.1.2-C. SMRs are given the benefit of the doubt.</text>
  </threadedComment>
  <threadedComment ref="Y1" dT="2025-08-25T05:09:50.60" personId="{0FC40365-7D57-4FC2-80F3-DC368BAD6BC2}" id="{E316524C-40C6-4ADF-893E-A55434F5AB2E}">
    <text>Warm and Hot startup parameters guesstimated based on the Cold ones by scaling with the relative `minShutDownHours` difference.</text>
  </threadedComment>
  <threadedComment ref="AA1" dT="2025-08-25T05:10:11.63" personId="{0FC40365-7D57-4FC2-80F3-DC368BAD6BC2}" id="{5660B841-ED65-4C4E-9F2B-091EB96AA3F6}">
    <text>Legacy data? Original source unknown, maybe derived from ERAA24?</text>
  </threadedComment>
  <threadedComment ref="AB1" dT="2025-08-25T05:10:42.67" personId="{0FC40365-7D57-4FC2-80F3-DC368BAD6BC2}" id="{5EA40E23-E27B-4554-8092-4EB5A9505F76}">
    <text>Only two startup cost values found in literature, rest are guesstimated based on legacy data.</text>
  </threadedComment>
  <threadedComment ref="AE1" dT="2025-08-25T05:16:01.16" personId="{0FC40365-7D57-4FC2-80F3-DC368BAD6BC2}" id="{E823D856-8B7B-4776-A1F3-660A988FE98C}">
    <text>`startWarmAfterXHours´ mostly based on EUR Document 2.2-2.1.2-C</text>
  </threadedComment>
  <threadedComment ref="AF1" dT="2025-08-25T12:58:22.49" personId="{0FC40365-7D57-4FC2-80F3-DC368BAD6BC2}" id="{96E39AB5-377B-4A25-A9ED-F0280F75511F}">
    <text>4x times warm like in ERAA24</text>
  </threadedComment>
  <threadedComment ref="AI1" dT="2025-08-25T09:31:04.15" personId="{0FC40365-7D57-4FC2-80F3-DC368BAD6BC2}" id="{FEFEC0DB-B5CA-4B5F-A8A1-41078050B78C}">
    <text>The max and min unit sizes in each category are well defined, but the typical reactor sizes within them is somewhat assumed.</text>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663F0-AB1A-46E8-8388-53B6D5FF1219}">
  <dimension ref="A1:D81"/>
  <sheetViews>
    <sheetView tabSelected="1" workbookViewId="0">
      <selection activeCell="P75" sqref="P75"/>
    </sheetView>
  </sheetViews>
  <sheetFormatPr defaultRowHeight="15" x14ac:dyDescent="0.25"/>
  <cols>
    <col min="1" max="1" width="14.28515625" style="18" bestFit="1" customWidth="1"/>
    <col min="2" max="16384" width="9.140625" style="19"/>
  </cols>
  <sheetData>
    <row r="1" spans="1:3" x14ac:dyDescent="0.25">
      <c r="A1" s="18" t="s">
        <v>45</v>
      </c>
      <c r="B1" s="19" t="s">
        <v>46</v>
      </c>
    </row>
    <row r="2" spans="1:3" x14ac:dyDescent="0.25">
      <c r="A2" s="18" t="s">
        <v>47</v>
      </c>
      <c r="B2" s="19" t="s">
        <v>233</v>
      </c>
    </row>
    <row r="3" spans="1:3" x14ac:dyDescent="0.25">
      <c r="A3" s="18" t="s">
        <v>48</v>
      </c>
      <c r="B3" s="19" t="s">
        <v>49</v>
      </c>
    </row>
    <row r="4" spans="1:3" x14ac:dyDescent="0.25">
      <c r="A4" s="18" t="s">
        <v>50</v>
      </c>
      <c r="B4" s="19" t="s">
        <v>238</v>
      </c>
    </row>
    <row r="6" spans="1:3" x14ac:dyDescent="0.25">
      <c r="A6" s="18" t="s">
        <v>51</v>
      </c>
      <c r="B6" s="19" t="s">
        <v>194</v>
      </c>
    </row>
    <row r="7" spans="1:3" x14ac:dyDescent="0.25">
      <c r="B7" s="19" t="s">
        <v>55</v>
      </c>
    </row>
    <row r="8" spans="1:3" x14ac:dyDescent="0.25">
      <c r="B8" s="19" t="s">
        <v>239</v>
      </c>
    </row>
    <row r="9" spans="1:3" x14ac:dyDescent="0.25">
      <c r="B9" s="19" t="s">
        <v>57</v>
      </c>
    </row>
    <row r="11" spans="1:3" x14ac:dyDescent="0.25">
      <c r="B11" s="19" t="s">
        <v>138</v>
      </c>
    </row>
    <row r="12" spans="1:3" x14ac:dyDescent="0.25">
      <c r="C12" s="19" t="s">
        <v>190</v>
      </c>
    </row>
    <row r="13" spans="1:3" x14ac:dyDescent="0.25">
      <c r="C13" s="19" t="s">
        <v>139</v>
      </c>
    </row>
    <row r="14" spans="1:3" x14ac:dyDescent="0.25">
      <c r="C14" s="19" t="s">
        <v>234</v>
      </c>
    </row>
    <row r="15" spans="1:3" x14ac:dyDescent="0.25">
      <c r="C15" s="19" t="s">
        <v>142</v>
      </c>
    </row>
    <row r="16" spans="1:3" x14ac:dyDescent="0.25">
      <c r="C16" s="19" t="s">
        <v>191</v>
      </c>
    </row>
    <row r="18" spans="2:3" x14ac:dyDescent="0.25">
      <c r="B18" s="19" t="s">
        <v>156</v>
      </c>
    </row>
    <row r="19" spans="2:3" x14ac:dyDescent="0.25">
      <c r="C19" s="19" t="s">
        <v>152</v>
      </c>
    </row>
    <row r="20" spans="2:3" x14ac:dyDescent="0.25">
      <c r="C20" s="19" t="s">
        <v>183</v>
      </c>
    </row>
    <row r="21" spans="2:3" x14ac:dyDescent="0.25">
      <c r="C21" s="19" t="s">
        <v>237</v>
      </c>
    </row>
    <row r="23" spans="2:3" x14ac:dyDescent="0.25">
      <c r="B23" s="19" t="s">
        <v>157</v>
      </c>
    </row>
    <row r="24" spans="2:3" x14ac:dyDescent="0.25">
      <c r="B24" s="19" t="s">
        <v>159</v>
      </c>
    </row>
    <row r="25" spans="2:3" x14ac:dyDescent="0.25">
      <c r="B25" s="19" t="s">
        <v>160</v>
      </c>
    </row>
    <row r="26" spans="2:3" x14ac:dyDescent="0.25">
      <c r="B26" s="19" t="s">
        <v>158</v>
      </c>
    </row>
    <row r="28" spans="2:3" x14ac:dyDescent="0.25">
      <c r="B28" s="19" t="s">
        <v>235</v>
      </c>
    </row>
    <row r="29" spans="2:3" x14ac:dyDescent="0.25">
      <c r="B29" s="24" t="s">
        <v>196</v>
      </c>
      <c r="C29" s="19" t="s">
        <v>195</v>
      </c>
    </row>
    <row r="30" spans="2:3" x14ac:dyDescent="0.25">
      <c r="B30" s="25" t="s">
        <v>197</v>
      </c>
      <c r="C30" s="19" t="s">
        <v>202</v>
      </c>
    </row>
    <row r="31" spans="2:3" x14ac:dyDescent="0.25">
      <c r="B31" s="26" t="s">
        <v>198</v>
      </c>
      <c r="C31" s="19" t="s">
        <v>208</v>
      </c>
    </row>
    <row r="32" spans="2:3" x14ac:dyDescent="0.25">
      <c r="B32" s="27" t="s">
        <v>199</v>
      </c>
      <c r="C32" s="19" t="s">
        <v>200</v>
      </c>
    </row>
    <row r="34" spans="1:3" x14ac:dyDescent="0.25">
      <c r="A34" s="18" t="s">
        <v>52</v>
      </c>
    </row>
    <row r="35" spans="1:3" x14ac:dyDescent="0.25">
      <c r="A35" s="18" t="s">
        <v>236</v>
      </c>
      <c r="B35" s="19" t="s">
        <v>176</v>
      </c>
    </row>
    <row r="36" spans="1:3" x14ac:dyDescent="0.25">
      <c r="A36" s="18" t="s">
        <v>53</v>
      </c>
      <c r="B36" s="19" t="s">
        <v>54</v>
      </c>
    </row>
    <row r="38" spans="1:3" x14ac:dyDescent="0.25">
      <c r="A38" s="18" t="s">
        <v>56</v>
      </c>
      <c r="B38" s="19" t="s">
        <v>151</v>
      </c>
    </row>
    <row r="39" spans="1:3" x14ac:dyDescent="0.25">
      <c r="B39" s="19" t="s">
        <v>240</v>
      </c>
    </row>
    <row r="40" spans="1:3" x14ac:dyDescent="0.25">
      <c r="B40" s="19" t="s">
        <v>188</v>
      </c>
    </row>
    <row r="41" spans="1:3" x14ac:dyDescent="0.25">
      <c r="C41" s="19" t="s">
        <v>153</v>
      </c>
    </row>
    <row r="42" spans="1:3" x14ac:dyDescent="0.25">
      <c r="C42" s="19" t="s">
        <v>154</v>
      </c>
    </row>
    <row r="43" spans="1:3" x14ac:dyDescent="0.25">
      <c r="C43" s="19" t="s">
        <v>155</v>
      </c>
    </row>
    <row r="44" spans="1:3" x14ac:dyDescent="0.25">
      <c r="C44" s="19" t="s">
        <v>189</v>
      </c>
    </row>
    <row r="45" spans="1:3" x14ac:dyDescent="0.25">
      <c r="B45" s="19" t="s">
        <v>58</v>
      </c>
    </row>
    <row r="46" spans="1:3" x14ac:dyDescent="0.25">
      <c r="B46" s="19" t="s">
        <v>241</v>
      </c>
    </row>
    <row r="47" spans="1:3" x14ac:dyDescent="0.25">
      <c r="B47" s="19" t="s">
        <v>62</v>
      </c>
    </row>
    <row r="49" spans="2:4" x14ac:dyDescent="0.25">
      <c r="B49" s="19" t="s">
        <v>244</v>
      </c>
    </row>
    <row r="50" spans="2:4" x14ac:dyDescent="0.25">
      <c r="B50" s="19" t="s">
        <v>242</v>
      </c>
    </row>
    <row r="51" spans="2:4" x14ac:dyDescent="0.25">
      <c r="C51" s="19" t="s">
        <v>59</v>
      </c>
    </row>
    <row r="52" spans="2:4" x14ac:dyDescent="0.25">
      <c r="D52" s="19" t="s">
        <v>60</v>
      </c>
    </row>
    <row r="53" spans="2:4" x14ac:dyDescent="0.25">
      <c r="D53" s="19" t="s">
        <v>243</v>
      </c>
    </row>
    <row r="54" spans="2:4" x14ac:dyDescent="0.25">
      <c r="D54" s="19" t="s">
        <v>143</v>
      </c>
    </row>
    <row r="55" spans="2:4" x14ac:dyDescent="0.25">
      <c r="C55" s="19" t="s">
        <v>64</v>
      </c>
    </row>
    <row r="56" spans="2:4" x14ac:dyDescent="0.25">
      <c r="D56" s="19" t="s">
        <v>61</v>
      </c>
    </row>
    <row r="57" spans="2:4" x14ac:dyDescent="0.25">
      <c r="D57" s="19" t="s">
        <v>63</v>
      </c>
    </row>
    <row r="59" spans="2:4" x14ac:dyDescent="0.25">
      <c r="B59" s="19" t="s">
        <v>65</v>
      </c>
    </row>
    <row r="60" spans="2:4" x14ac:dyDescent="0.25">
      <c r="B60" s="19" t="s">
        <v>136</v>
      </c>
    </row>
    <row r="61" spans="2:4" x14ac:dyDescent="0.25">
      <c r="B61" s="19" t="s">
        <v>137</v>
      </c>
    </row>
    <row r="62" spans="2:4" x14ac:dyDescent="0.25">
      <c r="B62" s="19" t="s">
        <v>74</v>
      </c>
    </row>
    <row r="63" spans="2:4" x14ac:dyDescent="0.25">
      <c r="B63" s="19" t="s">
        <v>75</v>
      </c>
    </row>
    <row r="64" spans="2:4" x14ac:dyDescent="0.25">
      <c r="B64" s="19" t="s">
        <v>144</v>
      </c>
    </row>
    <row r="65" spans="3:4" x14ac:dyDescent="0.25">
      <c r="C65" s="19" t="s">
        <v>69</v>
      </c>
    </row>
    <row r="66" spans="3:4" x14ac:dyDescent="0.25">
      <c r="D66" s="19" t="s">
        <v>67</v>
      </c>
    </row>
    <row r="67" spans="3:4" x14ac:dyDescent="0.25">
      <c r="D67" s="19" t="s">
        <v>147</v>
      </c>
    </row>
    <row r="68" spans="3:4" x14ac:dyDescent="0.25">
      <c r="D68" s="19" t="s">
        <v>66</v>
      </c>
    </row>
    <row r="69" spans="3:4" x14ac:dyDescent="0.25">
      <c r="D69" s="19" t="s">
        <v>149</v>
      </c>
    </row>
    <row r="70" spans="3:4" x14ac:dyDescent="0.25">
      <c r="C70" s="19" t="s">
        <v>140</v>
      </c>
    </row>
    <row r="71" spans="3:4" x14ac:dyDescent="0.25">
      <c r="D71" s="19" t="s">
        <v>146</v>
      </c>
    </row>
    <row r="72" spans="3:4" x14ac:dyDescent="0.25">
      <c r="D72" s="19" t="s">
        <v>145</v>
      </c>
    </row>
    <row r="73" spans="3:4" x14ac:dyDescent="0.25">
      <c r="D73" s="19" t="s">
        <v>141</v>
      </c>
    </row>
    <row r="74" spans="3:4" x14ac:dyDescent="0.25">
      <c r="D74" s="19" t="s">
        <v>245</v>
      </c>
    </row>
    <row r="75" spans="3:4" x14ac:dyDescent="0.25">
      <c r="D75" s="19" t="s">
        <v>68</v>
      </c>
    </row>
    <row r="76" spans="3:4" x14ac:dyDescent="0.25">
      <c r="C76" s="19" t="s">
        <v>70</v>
      </c>
    </row>
    <row r="77" spans="3:4" x14ac:dyDescent="0.25">
      <c r="D77" s="19" t="s">
        <v>72</v>
      </c>
    </row>
    <row r="78" spans="3:4" x14ac:dyDescent="0.25">
      <c r="D78" s="19" t="s">
        <v>148</v>
      </c>
    </row>
    <row r="79" spans="3:4" x14ac:dyDescent="0.25">
      <c r="D79" s="19" t="s">
        <v>71</v>
      </c>
    </row>
    <row r="80" spans="3:4" x14ac:dyDescent="0.25">
      <c r="D80" s="19" t="s">
        <v>150</v>
      </c>
    </row>
    <row r="81" spans="4:4" x14ac:dyDescent="0.25">
      <c r="D81" s="19"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66E7C-55B1-4C4C-A9E3-DDF36BAAB86E}">
  <dimension ref="A51:B143"/>
  <sheetViews>
    <sheetView workbookViewId="0">
      <selection activeCell="A56" sqref="A56"/>
    </sheetView>
  </sheetViews>
  <sheetFormatPr defaultRowHeight="15" x14ac:dyDescent="0.25"/>
  <cols>
    <col min="1" max="1" width="9.140625" style="20"/>
  </cols>
  <sheetData>
    <row r="51" spans="1:2" x14ac:dyDescent="0.25">
      <c r="A51" s="20" t="s">
        <v>173</v>
      </c>
    </row>
    <row r="52" spans="1:2" x14ac:dyDescent="0.25">
      <c r="A52" s="20" t="s">
        <v>174</v>
      </c>
    </row>
    <row r="54" spans="1:2" x14ac:dyDescent="0.25">
      <c r="A54" s="20" t="s">
        <v>175</v>
      </c>
    </row>
    <row r="55" spans="1:2" x14ac:dyDescent="0.25">
      <c r="A55" s="20" t="s">
        <v>230</v>
      </c>
    </row>
    <row r="57" spans="1:2" x14ac:dyDescent="0.25">
      <c r="A57" s="20" t="s">
        <v>229</v>
      </c>
      <c r="B57" s="20" t="s">
        <v>85</v>
      </c>
    </row>
    <row r="58" spans="1:2" x14ac:dyDescent="0.25">
      <c r="B58" s="20" t="s">
        <v>86</v>
      </c>
    </row>
    <row r="59" spans="1:2" x14ac:dyDescent="0.25">
      <c r="B59" s="20" t="s">
        <v>87</v>
      </c>
    </row>
    <row r="60" spans="1:2" x14ac:dyDescent="0.25">
      <c r="B60" s="20" t="s">
        <v>88</v>
      </c>
    </row>
    <row r="61" spans="1:2" x14ac:dyDescent="0.25">
      <c r="B61" s="20" t="s">
        <v>89</v>
      </c>
    </row>
    <row r="62" spans="1:2" x14ac:dyDescent="0.25">
      <c r="B62" s="20" t="s">
        <v>90</v>
      </c>
    </row>
    <row r="63" spans="1:2" x14ac:dyDescent="0.25">
      <c r="B63" s="20" t="s">
        <v>91</v>
      </c>
    </row>
    <row r="64" spans="1:2" x14ac:dyDescent="0.25">
      <c r="B64" s="20" t="s">
        <v>92</v>
      </c>
    </row>
    <row r="65" spans="1:2" x14ac:dyDescent="0.25">
      <c r="A65" s="20" t="s">
        <v>229</v>
      </c>
      <c r="B65" s="20" t="s">
        <v>93</v>
      </c>
    </row>
    <row r="66" spans="1:2" x14ac:dyDescent="0.25">
      <c r="B66" s="20" t="s">
        <v>94</v>
      </c>
    </row>
    <row r="67" spans="1:2" x14ac:dyDescent="0.25">
      <c r="B67" s="20" t="s">
        <v>95</v>
      </c>
    </row>
    <row r="68" spans="1:2" x14ac:dyDescent="0.25">
      <c r="B68" s="20" t="s">
        <v>96</v>
      </c>
    </row>
    <row r="69" spans="1:2" x14ac:dyDescent="0.25">
      <c r="B69" s="20" t="s">
        <v>97</v>
      </c>
    </row>
    <row r="70" spans="1:2" x14ac:dyDescent="0.25">
      <c r="B70" s="20" t="s">
        <v>98</v>
      </c>
    </row>
    <row r="71" spans="1:2" x14ac:dyDescent="0.25">
      <c r="B71" s="20" t="s">
        <v>99</v>
      </c>
    </row>
    <row r="72" spans="1:2" x14ac:dyDescent="0.25">
      <c r="A72" s="20" t="s">
        <v>229</v>
      </c>
      <c r="B72" s="20" t="s">
        <v>100</v>
      </c>
    </row>
    <row r="73" spans="1:2" x14ac:dyDescent="0.25">
      <c r="B73" s="20" t="s">
        <v>101</v>
      </c>
    </row>
    <row r="74" spans="1:2" x14ac:dyDescent="0.25">
      <c r="B74" s="20" t="s">
        <v>102</v>
      </c>
    </row>
    <row r="75" spans="1:2" x14ac:dyDescent="0.25">
      <c r="B75" s="20" t="s">
        <v>103</v>
      </c>
    </row>
    <row r="76" spans="1:2" x14ac:dyDescent="0.25">
      <c r="B76" s="20" t="s">
        <v>104</v>
      </c>
    </row>
    <row r="77" spans="1:2" x14ac:dyDescent="0.25">
      <c r="B77" s="20" t="s">
        <v>105</v>
      </c>
    </row>
    <row r="78" spans="1:2" x14ac:dyDescent="0.25">
      <c r="B78" s="20" t="s">
        <v>106</v>
      </c>
    </row>
    <row r="79" spans="1:2" x14ac:dyDescent="0.25">
      <c r="B79" s="20" t="s">
        <v>107</v>
      </c>
    </row>
    <row r="80" spans="1:2" x14ac:dyDescent="0.25">
      <c r="B80" s="20" t="s">
        <v>108</v>
      </c>
    </row>
    <row r="81" spans="1:2" x14ac:dyDescent="0.25">
      <c r="A81" s="20" t="s">
        <v>229</v>
      </c>
      <c r="B81" s="20" t="s">
        <v>161</v>
      </c>
    </row>
    <row r="82" spans="1:2" x14ac:dyDescent="0.25">
      <c r="B82" s="20" t="s">
        <v>162</v>
      </c>
    </row>
    <row r="83" spans="1:2" x14ac:dyDescent="0.25">
      <c r="B83" s="20" t="s">
        <v>163</v>
      </c>
    </row>
    <row r="84" spans="1:2" x14ac:dyDescent="0.25">
      <c r="B84" s="20" t="s">
        <v>164</v>
      </c>
    </row>
    <row r="85" spans="1:2" x14ac:dyDescent="0.25">
      <c r="B85" s="20" t="s">
        <v>109</v>
      </c>
    </row>
    <row r="86" spans="1:2" x14ac:dyDescent="0.25">
      <c r="B86" s="20" t="s">
        <v>165</v>
      </c>
    </row>
    <row r="87" spans="1:2" x14ac:dyDescent="0.25">
      <c r="B87" s="20" t="s">
        <v>110</v>
      </c>
    </row>
    <row r="88" spans="1:2" x14ac:dyDescent="0.25">
      <c r="B88" s="20" t="s">
        <v>111</v>
      </c>
    </row>
    <row r="89" spans="1:2" x14ac:dyDescent="0.25">
      <c r="B89" s="20" t="s">
        <v>166</v>
      </c>
    </row>
    <row r="90" spans="1:2" x14ac:dyDescent="0.25">
      <c r="B90" s="20" t="s">
        <v>112</v>
      </c>
    </row>
    <row r="91" spans="1:2" x14ac:dyDescent="0.25">
      <c r="B91" s="20" t="s">
        <v>113</v>
      </c>
    </row>
    <row r="92" spans="1:2" x14ac:dyDescent="0.25">
      <c r="B92" s="20" t="s">
        <v>167</v>
      </c>
    </row>
    <row r="93" spans="1:2" x14ac:dyDescent="0.25">
      <c r="B93" s="20" t="s">
        <v>114</v>
      </c>
    </row>
    <row r="94" spans="1:2" x14ac:dyDescent="0.25">
      <c r="B94" s="20" t="s">
        <v>168</v>
      </c>
    </row>
    <row r="95" spans="1:2" x14ac:dyDescent="0.25">
      <c r="B95" s="20" t="s">
        <v>115</v>
      </c>
    </row>
    <row r="96" spans="1:2" x14ac:dyDescent="0.25">
      <c r="B96" s="20" t="s">
        <v>169</v>
      </c>
    </row>
    <row r="97" spans="2:2" x14ac:dyDescent="0.25">
      <c r="B97" s="20" t="s">
        <v>116</v>
      </c>
    </row>
    <row r="98" spans="2:2" x14ac:dyDescent="0.25">
      <c r="B98" s="20">
        <v>2022</v>
      </c>
    </row>
    <row r="99" spans="2:2" x14ac:dyDescent="0.25">
      <c r="B99" s="20" t="s">
        <v>170</v>
      </c>
    </row>
    <row r="100" spans="2:2" x14ac:dyDescent="0.25">
      <c r="B100" s="20" t="s">
        <v>117</v>
      </c>
    </row>
    <row r="101" spans="2:2" x14ac:dyDescent="0.25">
      <c r="B101" s="20" t="s">
        <v>118</v>
      </c>
    </row>
    <row r="102" spans="2:2" x14ac:dyDescent="0.25">
      <c r="B102" s="20" t="s">
        <v>209</v>
      </c>
    </row>
    <row r="103" spans="2:2" x14ac:dyDescent="0.25">
      <c r="B103" s="20" t="s">
        <v>210</v>
      </c>
    </row>
    <row r="104" spans="2:2" x14ac:dyDescent="0.25">
      <c r="B104" s="20" t="s">
        <v>211</v>
      </c>
    </row>
    <row r="105" spans="2:2" x14ac:dyDescent="0.25">
      <c r="B105" s="20" t="s">
        <v>212</v>
      </c>
    </row>
    <row r="106" spans="2:2" x14ac:dyDescent="0.25">
      <c r="B106" s="20" t="s">
        <v>213</v>
      </c>
    </row>
    <row r="107" spans="2:2" x14ac:dyDescent="0.25">
      <c r="B107" s="20" t="s">
        <v>119</v>
      </c>
    </row>
    <row r="108" spans="2:2" x14ac:dyDescent="0.25">
      <c r="B108" s="20" t="s">
        <v>214</v>
      </c>
    </row>
    <row r="109" spans="2:2" x14ac:dyDescent="0.25">
      <c r="B109" s="20" t="s">
        <v>215</v>
      </c>
    </row>
    <row r="110" spans="2:2" x14ac:dyDescent="0.25">
      <c r="B110" s="20" t="s">
        <v>216</v>
      </c>
    </row>
    <row r="111" spans="2:2" x14ac:dyDescent="0.25">
      <c r="B111" s="20" t="s">
        <v>120</v>
      </c>
    </row>
    <row r="112" spans="2:2" x14ac:dyDescent="0.25">
      <c r="B112" s="20" t="s">
        <v>217</v>
      </c>
    </row>
    <row r="113" spans="1:2" x14ac:dyDescent="0.25">
      <c r="B113" s="20" t="s">
        <v>121</v>
      </c>
    </row>
    <row r="114" spans="1:2" x14ac:dyDescent="0.25">
      <c r="B114" s="20" t="s">
        <v>122</v>
      </c>
    </row>
    <row r="115" spans="1:2" x14ac:dyDescent="0.25">
      <c r="A115" s="20" t="s">
        <v>229</v>
      </c>
      <c r="B115" s="20" t="s">
        <v>218</v>
      </c>
    </row>
    <row r="116" spans="1:2" x14ac:dyDescent="0.25">
      <c r="B116" s="20" t="s">
        <v>123</v>
      </c>
    </row>
    <row r="117" spans="1:2" x14ac:dyDescent="0.25">
      <c r="B117" s="20" t="s">
        <v>124</v>
      </c>
    </row>
    <row r="118" spans="1:2" x14ac:dyDescent="0.25">
      <c r="B118" s="20" t="s">
        <v>219</v>
      </c>
    </row>
    <row r="119" spans="1:2" x14ac:dyDescent="0.25">
      <c r="B119" s="20" t="s">
        <v>125</v>
      </c>
    </row>
    <row r="120" spans="1:2" x14ac:dyDescent="0.25">
      <c r="B120" s="20" t="s">
        <v>126</v>
      </c>
    </row>
    <row r="121" spans="1:2" x14ac:dyDescent="0.25">
      <c r="A121" s="20" t="s">
        <v>229</v>
      </c>
      <c r="B121" s="20" t="s">
        <v>220</v>
      </c>
    </row>
    <row r="122" spans="1:2" x14ac:dyDescent="0.25">
      <c r="B122" s="20" t="s">
        <v>127</v>
      </c>
    </row>
    <row r="123" spans="1:2" x14ac:dyDescent="0.25">
      <c r="B123" s="20" t="s">
        <v>128</v>
      </c>
    </row>
    <row r="124" spans="1:2" x14ac:dyDescent="0.25">
      <c r="B124" s="20" t="s">
        <v>129</v>
      </c>
    </row>
    <row r="125" spans="1:2" x14ac:dyDescent="0.25">
      <c r="A125" s="20" t="s">
        <v>229</v>
      </c>
      <c r="B125" s="20" t="s">
        <v>221</v>
      </c>
    </row>
    <row r="126" spans="1:2" x14ac:dyDescent="0.25">
      <c r="B126" s="20">
        <v>2024</v>
      </c>
    </row>
    <row r="127" spans="1:2" x14ac:dyDescent="0.25">
      <c r="A127" s="20" t="s">
        <v>229</v>
      </c>
      <c r="B127" s="20" t="s">
        <v>222</v>
      </c>
    </row>
    <row r="128" spans="1:2" x14ac:dyDescent="0.25">
      <c r="B128" s="20" t="s">
        <v>223</v>
      </c>
    </row>
    <row r="129" spans="1:2" x14ac:dyDescent="0.25">
      <c r="B129" s="20" t="s">
        <v>130</v>
      </c>
    </row>
    <row r="130" spans="1:2" x14ac:dyDescent="0.25">
      <c r="B130" s="20" t="s">
        <v>131</v>
      </c>
    </row>
    <row r="131" spans="1:2" x14ac:dyDescent="0.25">
      <c r="B131" s="20" t="s">
        <v>224</v>
      </c>
    </row>
    <row r="132" spans="1:2" x14ac:dyDescent="0.25">
      <c r="B132" s="20" t="s">
        <v>132</v>
      </c>
    </row>
    <row r="133" spans="1:2" x14ac:dyDescent="0.25">
      <c r="B133" s="20" t="s">
        <v>133</v>
      </c>
    </row>
    <row r="134" spans="1:2" x14ac:dyDescent="0.25">
      <c r="B134" s="20" t="s">
        <v>225</v>
      </c>
    </row>
    <row r="135" spans="1:2" x14ac:dyDescent="0.25">
      <c r="B135" s="20" t="s">
        <v>134</v>
      </c>
    </row>
    <row r="136" spans="1:2" x14ac:dyDescent="0.25">
      <c r="B136" s="20" t="s">
        <v>122</v>
      </c>
    </row>
    <row r="137" spans="1:2" x14ac:dyDescent="0.25">
      <c r="B137" s="20" t="s">
        <v>226</v>
      </c>
    </row>
    <row r="138" spans="1:2" x14ac:dyDescent="0.25">
      <c r="B138" s="20" t="s">
        <v>135</v>
      </c>
    </row>
    <row r="139" spans="1:2" x14ac:dyDescent="0.25">
      <c r="B139" s="20">
        <v>2025</v>
      </c>
    </row>
    <row r="140" spans="1:2" x14ac:dyDescent="0.25">
      <c r="B140" s="20" t="s">
        <v>227</v>
      </c>
    </row>
    <row r="141" spans="1:2" x14ac:dyDescent="0.25">
      <c r="A141" s="20" t="s">
        <v>229</v>
      </c>
      <c r="B141" s="20" t="s">
        <v>228</v>
      </c>
    </row>
    <row r="142" spans="1:2" x14ac:dyDescent="0.25">
      <c r="B142" s="20" t="s">
        <v>171</v>
      </c>
    </row>
    <row r="143" spans="1:2" x14ac:dyDescent="0.25">
      <c r="B143" s="20" t="s">
        <v>172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91"/>
  <sheetViews>
    <sheetView zoomScaleNormal="100" workbookViewId="0">
      <pane xSplit="4" ySplit="1" topLeftCell="E2" activePane="bottomRight" state="frozen"/>
      <selection pane="topRight" activeCell="E1" sqref="E1"/>
      <selection pane="bottomLeft" activeCell="A2" sqref="A2"/>
      <selection pane="bottomRight" activeCell="F27" sqref="F27"/>
    </sheetView>
  </sheetViews>
  <sheetFormatPr defaultColWidth="8.42578125" defaultRowHeight="15" x14ac:dyDescent="0.25"/>
  <cols>
    <col min="1" max="1" width="9.42578125" customWidth="1"/>
    <col min="2" max="2" width="7.7109375" customWidth="1"/>
    <col min="3" max="3" width="37" bestFit="1" customWidth="1"/>
    <col min="4" max="4" width="23.85546875" bestFit="1" customWidth="1"/>
    <col min="5" max="9" width="12.7109375" customWidth="1"/>
    <col min="10" max="10" width="16.5703125" customWidth="1"/>
    <col min="11" max="11" width="18.42578125" customWidth="1"/>
    <col min="12" max="12" width="14.42578125" bestFit="1" customWidth="1"/>
    <col min="13" max="14" width="14.42578125" customWidth="1"/>
    <col min="15" max="16" width="12.7109375" customWidth="1"/>
    <col min="17" max="20" width="10.140625" customWidth="1"/>
    <col min="21" max="22" width="12.7109375" customWidth="1"/>
    <col min="23" max="23" width="20.140625" customWidth="1"/>
    <col min="24" max="24" width="17.7109375" customWidth="1"/>
    <col min="25" max="25" width="17.140625" customWidth="1"/>
    <col min="26" max="26" width="17.5703125" customWidth="1"/>
    <col min="27" max="27" width="15.7109375" customWidth="1"/>
    <col min="28" max="28" width="14" customWidth="1"/>
    <col min="29" max="29" width="14.7109375" customWidth="1"/>
    <col min="30" max="30" width="14.5703125" customWidth="1"/>
    <col min="31" max="35" width="8.42578125" customWidth="1"/>
    <col min="36" max="36" width="14" customWidth="1"/>
    <col min="37" max="37" width="15.85546875" customWidth="1"/>
    <col min="38" max="45" width="10.140625" customWidth="1"/>
    <col min="1042" max="1042" width="9.140625" customWidth="1"/>
  </cols>
  <sheetData>
    <row r="1" spans="1:46" ht="48" customHeight="1" x14ac:dyDescent="0.25">
      <c r="A1" s="12" t="s">
        <v>23</v>
      </c>
      <c r="B1" s="12" t="s">
        <v>24</v>
      </c>
      <c r="C1" s="13" t="s">
        <v>0</v>
      </c>
      <c r="D1" s="13" t="s">
        <v>33</v>
      </c>
      <c r="E1" s="14" t="s">
        <v>20</v>
      </c>
      <c r="F1" s="14" t="s">
        <v>21</v>
      </c>
      <c r="G1" s="14" t="s">
        <v>18</v>
      </c>
      <c r="H1" s="14" t="s">
        <v>29</v>
      </c>
      <c r="I1" s="16" t="s">
        <v>34</v>
      </c>
      <c r="J1" s="15" t="s">
        <v>30</v>
      </c>
      <c r="K1" s="15" t="s">
        <v>25</v>
      </c>
      <c r="L1" s="15" t="s">
        <v>26</v>
      </c>
      <c r="M1" s="15" t="s">
        <v>27</v>
      </c>
      <c r="N1" s="15" t="s">
        <v>28</v>
      </c>
      <c r="O1" s="10" t="s">
        <v>35</v>
      </c>
      <c r="P1" s="10" t="s">
        <v>36</v>
      </c>
      <c r="Q1" s="11" t="s">
        <v>37</v>
      </c>
      <c r="R1" s="11" t="s">
        <v>38</v>
      </c>
      <c r="S1" s="11" t="s">
        <v>15</v>
      </c>
      <c r="T1" s="11" t="s">
        <v>22</v>
      </c>
      <c r="U1" s="10" t="s">
        <v>1</v>
      </c>
      <c r="V1" s="10" t="s">
        <v>40</v>
      </c>
      <c r="W1" s="10" t="s">
        <v>2</v>
      </c>
      <c r="X1" s="10" t="s">
        <v>3</v>
      </c>
      <c r="Y1" s="10" t="s">
        <v>4</v>
      </c>
      <c r="Z1" s="11" t="s">
        <v>5</v>
      </c>
      <c r="AA1" s="10" t="s">
        <v>6</v>
      </c>
      <c r="AB1" s="10" t="s">
        <v>7</v>
      </c>
      <c r="AC1" s="10" t="s">
        <v>8</v>
      </c>
      <c r="AD1" s="10" t="s">
        <v>9</v>
      </c>
      <c r="AE1" s="10" t="s">
        <v>10</v>
      </c>
      <c r="AF1" s="10" t="s">
        <v>11</v>
      </c>
      <c r="AG1" s="11" t="s">
        <v>12</v>
      </c>
      <c r="AH1" s="11" t="s">
        <v>13</v>
      </c>
      <c r="AI1" s="11" t="s">
        <v>14</v>
      </c>
      <c r="AJ1" s="10" t="s">
        <v>39</v>
      </c>
      <c r="AK1" s="11" t="s">
        <v>32</v>
      </c>
      <c r="AL1" s="11" t="s">
        <v>16</v>
      </c>
      <c r="AM1" s="11" t="s">
        <v>44</v>
      </c>
      <c r="AN1" s="11" t="s">
        <v>42</v>
      </c>
      <c r="AO1" s="11" t="s">
        <v>43</v>
      </c>
      <c r="AP1" s="11" t="s">
        <v>232</v>
      </c>
      <c r="AQ1" s="11" t="s">
        <v>231</v>
      </c>
      <c r="AR1" s="11" t="s">
        <v>203</v>
      </c>
      <c r="AS1" s="11" t="s">
        <v>205</v>
      </c>
      <c r="AT1" s="11" t="s">
        <v>41</v>
      </c>
    </row>
    <row r="2" spans="1:46" x14ac:dyDescent="0.25">
      <c r="A2" t="s">
        <v>193</v>
      </c>
      <c r="B2">
        <v>1</v>
      </c>
      <c r="C2" t="s">
        <v>178</v>
      </c>
      <c r="D2" t="s">
        <v>79</v>
      </c>
      <c r="J2" t="s">
        <v>17</v>
      </c>
      <c r="K2" t="s">
        <v>19</v>
      </c>
      <c r="O2" s="21">
        <v>0.31</v>
      </c>
      <c r="P2" s="21">
        <v>0.31</v>
      </c>
      <c r="Q2" s="21">
        <v>0.2</v>
      </c>
      <c r="R2" s="21">
        <v>1</v>
      </c>
      <c r="U2" s="22">
        <v>1.2</v>
      </c>
      <c r="W2" s="22">
        <v>2</v>
      </c>
      <c r="X2" s="22">
        <v>2</v>
      </c>
      <c r="Y2" s="28">
        <f t="shared" ref="Y2:Y41" si="0">ROUND(AA2/2,2)</f>
        <v>1.95</v>
      </c>
      <c r="Z2" s="30">
        <v>5</v>
      </c>
      <c r="AA2" s="23">
        <v>3.89</v>
      </c>
      <c r="AB2" s="23">
        <v>300</v>
      </c>
      <c r="AC2" s="28">
        <f>ROUND(Y2/2,2)</f>
        <v>0.98</v>
      </c>
      <c r="AD2" s="28">
        <f>ROUND(Z2/2,2)</f>
        <v>2.5</v>
      </c>
      <c r="AE2" s="22">
        <v>36</v>
      </c>
      <c r="AF2" s="28">
        <f>AE2*4</f>
        <v>144</v>
      </c>
      <c r="AG2" s="21">
        <v>5.0000000000000001E-3</v>
      </c>
      <c r="AH2" s="21">
        <v>5.0000000000000001E-3</v>
      </c>
      <c r="AI2" s="21">
        <v>300</v>
      </c>
      <c r="AJ2" s="28">
        <f t="shared" ref="AJ2:AJ11" si="1">AB2</f>
        <v>300</v>
      </c>
      <c r="AM2" s="21">
        <f>100000*AS2</f>
        <v>90000</v>
      </c>
      <c r="AN2" s="21">
        <f>1700000*AS2</f>
        <v>1530000</v>
      </c>
      <c r="AO2" s="32">
        <f>-PMT(AQ2,AP2,1)</f>
        <v>7.5009138873610326E-2</v>
      </c>
      <c r="AP2" s="21">
        <v>40</v>
      </c>
      <c r="AQ2">
        <v>7.0000000000000007E-2</v>
      </c>
      <c r="AS2">
        <v>0.9</v>
      </c>
    </row>
    <row r="3" spans="1:46" x14ac:dyDescent="0.25">
      <c r="A3" t="s">
        <v>76</v>
      </c>
      <c r="B3">
        <v>1</v>
      </c>
      <c r="C3" t="s">
        <v>178</v>
      </c>
      <c r="D3" t="s">
        <v>79</v>
      </c>
      <c r="J3" t="s">
        <v>17</v>
      </c>
      <c r="K3" t="s">
        <v>19</v>
      </c>
      <c r="O3" s="21">
        <v>0.32</v>
      </c>
      <c r="P3" s="21">
        <v>0.32</v>
      </c>
      <c r="Q3" s="21">
        <v>0.4</v>
      </c>
      <c r="R3" s="21">
        <v>1</v>
      </c>
      <c r="U3" s="21">
        <v>1.9</v>
      </c>
      <c r="W3" s="22">
        <v>6</v>
      </c>
      <c r="X3" s="22">
        <v>10</v>
      </c>
      <c r="Y3" s="28">
        <f t="shared" si="0"/>
        <v>1.95</v>
      </c>
      <c r="Z3" s="30">
        <v>11</v>
      </c>
      <c r="AA3" s="23">
        <v>3.89</v>
      </c>
      <c r="AB3" s="23">
        <v>400</v>
      </c>
      <c r="AC3" s="28">
        <f t="shared" ref="AC3:AC7" si="2">ROUND(Y3/2,2)</f>
        <v>0.98</v>
      </c>
      <c r="AD3" s="28">
        <f t="shared" ref="AD3:AD7" si="3">ROUND(Z3/2,2)</f>
        <v>5.5</v>
      </c>
      <c r="AE3" s="22">
        <v>36</v>
      </c>
      <c r="AF3" s="28">
        <f t="shared" ref="AF3:AF41" si="4">AE3*4</f>
        <v>144</v>
      </c>
      <c r="AG3" s="21">
        <v>0.01</v>
      </c>
      <c r="AH3" s="21">
        <v>0.01</v>
      </c>
      <c r="AI3" s="22">
        <v>600</v>
      </c>
      <c r="AJ3" s="28">
        <f t="shared" si="1"/>
        <v>400</v>
      </c>
      <c r="AM3" s="21">
        <f>126000*AS3</f>
        <v>113400</v>
      </c>
      <c r="AN3" s="21">
        <f>2250000*AS3</f>
        <v>2025000</v>
      </c>
      <c r="AO3" s="32">
        <f t="shared" ref="AO3:AO41" si="5">-PMT(AQ3,AP3,1)</f>
        <v>7.2459849539607671E-2</v>
      </c>
      <c r="AP3" s="21">
        <v>50</v>
      </c>
      <c r="AQ3">
        <v>7.0000000000000007E-2</v>
      </c>
      <c r="AS3">
        <v>0.9</v>
      </c>
    </row>
    <row r="4" spans="1:46" x14ac:dyDescent="0.25">
      <c r="A4" t="s">
        <v>77</v>
      </c>
      <c r="B4">
        <v>1</v>
      </c>
      <c r="C4" t="s">
        <v>178</v>
      </c>
      <c r="D4" t="s">
        <v>79</v>
      </c>
      <c r="J4" t="s">
        <v>17</v>
      </c>
      <c r="K4" t="s">
        <v>19</v>
      </c>
      <c r="O4" s="21">
        <v>0.33</v>
      </c>
      <c r="P4" s="21">
        <v>0.33</v>
      </c>
      <c r="Q4" s="21">
        <v>0.5</v>
      </c>
      <c r="R4" s="21">
        <v>1</v>
      </c>
      <c r="U4" s="21">
        <v>2.8</v>
      </c>
      <c r="W4" s="22">
        <v>8</v>
      </c>
      <c r="X4" s="22">
        <v>24</v>
      </c>
      <c r="Y4" s="28">
        <f t="shared" si="0"/>
        <v>1.95</v>
      </c>
      <c r="Z4" s="31">
        <v>21</v>
      </c>
      <c r="AA4" s="23">
        <v>3.89</v>
      </c>
      <c r="AB4" s="22">
        <v>500</v>
      </c>
      <c r="AC4" s="28">
        <f t="shared" si="2"/>
        <v>0.98</v>
      </c>
      <c r="AD4" s="28">
        <f t="shared" si="3"/>
        <v>10.5</v>
      </c>
      <c r="AE4" s="22">
        <v>36</v>
      </c>
      <c r="AF4" s="28">
        <f t="shared" si="4"/>
        <v>144</v>
      </c>
      <c r="AG4" s="21">
        <v>0.03</v>
      </c>
      <c r="AH4" s="21">
        <v>0.03</v>
      </c>
      <c r="AI4" s="22">
        <v>1000</v>
      </c>
      <c r="AJ4" s="28">
        <f t="shared" si="1"/>
        <v>500</v>
      </c>
      <c r="AM4" s="21">
        <f>175000*AS4</f>
        <v>157500</v>
      </c>
      <c r="AN4" s="21">
        <f>4750000*AS4</f>
        <v>4275000</v>
      </c>
      <c r="AO4" s="32">
        <f t="shared" si="5"/>
        <v>7.122922550001945E-2</v>
      </c>
      <c r="AP4" s="21">
        <v>60</v>
      </c>
      <c r="AQ4">
        <v>7.0000000000000007E-2</v>
      </c>
      <c r="AS4">
        <v>0.9</v>
      </c>
      <c r="AT4" t="s">
        <v>201</v>
      </c>
    </row>
    <row r="5" spans="1:46" x14ac:dyDescent="0.25">
      <c r="A5" t="s">
        <v>78</v>
      </c>
      <c r="B5">
        <v>1</v>
      </c>
      <c r="C5" t="s">
        <v>178</v>
      </c>
      <c r="D5" t="s">
        <v>79</v>
      </c>
      <c r="J5" t="s">
        <v>17</v>
      </c>
      <c r="K5" t="s">
        <v>19</v>
      </c>
      <c r="O5" s="21">
        <v>0.34</v>
      </c>
      <c r="P5" s="21">
        <v>0.34</v>
      </c>
      <c r="Q5" s="21">
        <v>0.8</v>
      </c>
      <c r="R5" s="21">
        <v>1</v>
      </c>
      <c r="U5" s="21">
        <v>3.4</v>
      </c>
      <c r="W5" s="22">
        <v>12</v>
      </c>
      <c r="X5" s="22">
        <v>40</v>
      </c>
      <c r="Y5" s="28">
        <f t="shared" si="0"/>
        <v>1.95</v>
      </c>
      <c r="Z5" s="30">
        <v>31</v>
      </c>
      <c r="AA5" s="23">
        <v>3.89</v>
      </c>
      <c r="AB5" s="23">
        <v>600</v>
      </c>
      <c r="AC5" s="28">
        <f t="shared" si="2"/>
        <v>0.98</v>
      </c>
      <c r="AD5" s="28">
        <f t="shared" si="3"/>
        <v>15.5</v>
      </c>
      <c r="AE5" s="22">
        <v>36</v>
      </c>
      <c r="AF5" s="28">
        <f t="shared" si="4"/>
        <v>144</v>
      </c>
      <c r="AG5" s="21">
        <v>0.05</v>
      </c>
      <c r="AH5" s="21">
        <v>0.05</v>
      </c>
      <c r="AI5" s="22">
        <v>1300</v>
      </c>
      <c r="AJ5" s="28">
        <f t="shared" si="1"/>
        <v>600</v>
      </c>
      <c r="AM5" s="21">
        <f>204000*AS5</f>
        <v>183600</v>
      </c>
      <c r="AN5" s="21">
        <f>7750000*AS5</f>
        <v>6975000</v>
      </c>
      <c r="AO5" s="32">
        <f t="shared" si="5"/>
        <v>7.0619527184264883E-2</v>
      </c>
      <c r="AP5" s="22">
        <v>70</v>
      </c>
      <c r="AQ5">
        <v>7.0000000000000007E-2</v>
      </c>
      <c r="AS5">
        <v>0.9</v>
      </c>
    </row>
    <row r="6" spans="1:46" x14ac:dyDescent="0.25">
      <c r="A6" t="s">
        <v>192</v>
      </c>
      <c r="B6">
        <v>1</v>
      </c>
      <c r="C6" t="s">
        <v>178</v>
      </c>
      <c r="D6" t="s">
        <v>79</v>
      </c>
      <c r="J6" t="s">
        <v>17</v>
      </c>
      <c r="K6" t="s">
        <v>19</v>
      </c>
      <c r="O6" s="21">
        <v>0.36</v>
      </c>
      <c r="P6" s="21">
        <v>0.36</v>
      </c>
      <c r="Q6" s="21">
        <v>0.95</v>
      </c>
      <c r="R6" s="21">
        <v>1</v>
      </c>
      <c r="U6" s="22">
        <v>16.399999999999999</v>
      </c>
      <c r="W6" s="22">
        <v>96</v>
      </c>
      <c r="X6" s="22">
        <v>96</v>
      </c>
      <c r="Y6" s="28">
        <f t="shared" si="0"/>
        <v>1.95</v>
      </c>
      <c r="Z6" s="30">
        <v>100</v>
      </c>
      <c r="AA6" s="23">
        <v>3.89</v>
      </c>
      <c r="AB6" s="23">
        <v>2000</v>
      </c>
      <c r="AC6" s="28">
        <f t="shared" si="2"/>
        <v>0.98</v>
      </c>
      <c r="AD6" s="28">
        <f t="shared" si="3"/>
        <v>50</v>
      </c>
      <c r="AE6" s="22">
        <v>36</v>
      </c>
      <c r="AF6" s="28">
        <f t="shared" si="4"/>
        <v>144</v>
      </c>
      <c r="AG6" s="21">
        <v>0.1</v>
      </c>
      <c r="AH6" s="21">
        <v>0.2</v>
      </c>
      <c r="AI6" s="21">
        <v>1750</v>
      </c>
      <c r="AJ6" s="28">
        <f t="shared" si="1"/>
        <v>2000</v>
      </c>
      <c r="AM6" s="23">
        <f>230000*AS6</f>
        <v>207000</v>
      </c>
      <c r="AN6" s="21">
        <f>16000000*AS6</f>
        <v>14400000</v>
      </c>
      <c r="AO6" s="32">
        <f t="shared" si="5"/>
        <v>7.0313571760871663E-2</v>
      </c>
      <c r="AP6" s="22">
        <v>80</v>
      </c>
      <c r="AQ6">
        <v>7.0000000000000007E-2</v>
      </c>
      <c r="AS6">
        <v>0.9</v>
      </c>
    </row>
    <row r="7" spans="1:46" x14ac:dyDescent="0.25">
      <c r="A7" t="s">
        <v>193</v>
      </c>
      <c r="B7">
        <v>1</v>
      </c>
      <c r="C7" t="s">
        <v>177</v>
      </c>
      <c r="D7" t="s">
        <v>80</v>
      </c>
      <c r="J7" t="s">
        <v>17</v>
      </c>
      <c r="K7" t="s">
        <v>19</v>
      </c>
      <c r="L7" t="s">
        <v>31</v>
      </c>
      <c r="O7" s="22">
        <v>0.61</v>
      </c>
      <c r="P7" s="22">
        <v>0.61</v>
      </c>
      <c r="Q7" s="21">
        <v>0.2</v>
      </c>
      <c r="R7" s="21">
        <v>1</v>
      </c>
      <c r="S7" s="30">
        <v>0.2</v>
      </c>
      <c r="T7" s="23">
        <v>-0.17</v>
      </c>
      <c r="U7" s="28">
        <f>ROUND(U2*AR7,2)</f>
        <v>1.2</v>
      </c>
      <c r="W7" s="22">
        <v>2</v>
      </c>
      <c r="X7" s="22">
        <v>2</v>
      </c>
      <c r="Y7" s="28">
        <f t="shared" si="0"/>
        <v>1.95</v>
      </c>
      <c r="Z7" s="28">
        <f>Z2*AR7</f>
        <v>5</v>
      </c>
      <c r="AA7" s="23">
        <v>3.89</v>
      </c>
      <c r="AB7" s="28">
        <f>AB2*AR7</f>
        <v>300</v>
      </c>
      <c r="AC7" s="28">
        <f t="shared" si="2"/>
        <v>0.98</v>
      </c>
      <c r="AD7" s="28">
        <f t="shared" si="3"/>
        <v>2.5</v>
      </c>
      <c r="AE7" s="22">
        <v>36</v>
      </c>
      <c r="AF7" s="28">
        <f t="shared" si="4"/>
        <v>144</v>
      </c>
      <c r="AG7" s="21">
        <v>5.0000000000000001E-3</v>
      </c>
      <c r="AH7" s="21">
        <v>5.0000000000000001E-3</v>
      </c>
      <c r="AI7" s="21">
        <v>300</v>
      </c>
      <c r="AJ7" s="28">
        <f t="shared" si="1"/>
        <v>300</v>
      </c>
      <c r="AM7" s="28">
        <f>AM2*AR7</f>
        <v>90000</v>
      </c>
      <c r="AN7" s="28">
        <f>AN2*AR7</f>
        <v>1530000</v>
      </c>
      <c r="AO7" s="32">
        <f t="shared" si="5"/>
        <v>7.5009138873610326E-2</v>
      </c>
      <c r="AP7" s="21">
        <v>40</v>
      </c>
      <c r="AQ7">
        <v>7.0000000000000007E-2</v>
      </c>
      <c r="AR7">
        <v>1</v>
      </c>
    </row>
    <row r="8" spans="1:46" x14ac:dyDescent="0.25">
      <c r="A8" t="s">
        <v>76</v>
      </c>
      <c r="B8">
        <v>1</v>
      </c>
      <c r="C8" t="s">
        <v>177</v>
      </c>
      <c r="D8" t="s">
        <v>80</v>
      </c>
      <c r="J8" t="s">
        <v>17</v>
      </c>
      <c r="K8" t="s">
        <v>19</v>
      </c>
      <c r="L8" t="s">
        <v>31</v>
      </c>
      <c r="O8" s="21">
        <v>0.81</v>
      </c>
      <c r="P8" s="21">
        <v>0.81</v>
      </c>
      <c r="Q8" s="21">
        <v>0.4</v>
      </c>
      <c r="R8" s="21">
        <v>1</v>
      </c>
      <c r="S8" s="30">
        <v>0.3</v>
      </c>
      <c r="T8" s="30">
        <v>-0.16</v>
      </c>
      <c r="U8" s="28">
        <f>ROUND(U3*AR8,2)</f>
        <v>2.0099999999999998</v>
      </c>
      <c r="W8" s="22">
        <v>6</v>
      </c>
      <c r="X8" s="22">
        <v>10</v>
      </c>
      <c r="Y8" s="28">
        <f t="shared" si="0"/>
        <v>1.95</v>
      </c>
      <c r="Z8" s="28">
        <f>Z3*AR8</f>
        <v>11.66</v>
      </c>
      <c r="AA8" s="23">
        <v>3.89</v>
      </c>
      <c r="AB8" s="28">
        <f>AB3*AR8</f>
        <v>424</v>
      </c>
      <c r="AC8" s="28">
        <f t="shared" ref="AC8:AC41" si="6">ROUND(Y8/2,2)</f>
        <v>0.98</v>
      </c>
      <c r="AD8" s="28">
        <f t="shared" ref="AD8:AD41" si="7">ROUND(Z8/2,2)</f>
        <v>5.83</v>
      </c>
      <c r="AE8" s="22">
        <v>36</v>
      </c>
      <c r="AF8" s="28">
        <f t="shared" si="4"/>
        <v>144</v>
      </c>
      <c r="AG8" s="21">
        <v>0.01</v>
      </c>
      <c r="AH8" s="21">
        <v>0.01</v>
      </c>
      <c r="AI8" s="22">
        <v>600</v>
      </c>
      <c r="AJ8" s="28">
        <f t="shared" si="1"/>
        <v>424</v>
      </c>
      <c r="AM8" s="28">
        <f>AM3*AR8</f>
        <v>120204</v>
      </c>
      <c r="AN8" s="28">
        <f>AN3*AR8</f>
        <v>2146500</v>
      </c>
      <c r="AO8" s="32">
        <f t="shared" si="5"/>
        <v>7.2459849539607671E-2</v>
      </c>
      <c r="AP8" s="21">
        <v>50</v>
      </c>
      <c r="AQ8">
        <v>7.0000000000000007E-2</v>
      </c>
      <c r="AR8">
        <v>1.06</v>
      </c>
    </row>
    <row r="9" spans="1:46" x14ac:dyDescent="0.25">
      <c r="A9" t="s">
        <v>77</v>
      </c>
      <c r="B9">
        <v>1</v>
      </c>
      <c r="C9" t="s">
        <v>177</v>
      </c>
      <c r="D9" t="s">
        <v>80</v>
      </c>
      <c r="J9" t="s">
        <v>17</v>
      </c>
      <c r="K9" t="s">
        <v>19</v>
      </c>
      <c r="L9" t="s">
        <v>31</v>
      </c>
      <c r="O9" s="21">
        <v>0.875</v>
      </c>
      <c r="P9" s="21">
        <v>0.875</v>
      </c>
      <c r="Q9" s="21">
        <v>0.5</v>
      </c>
      <c r="R9" s="21">
        <v>1</v>
      </c>
      <c r="S9" s="30">
        <v>0.4</v>
      </c>
      <c r="T9" s="30">
        <v>-0.15</v>
      </c>
      <c r="U9" s="28">
        <f>ROUND(U4*AR9,2)</f>
        <v>3.11</v>
      </c>
      <c r="W9" s="22">
        <v>8</v>
      </c>
      <c r="X9" s="22">
        <v>24</v>
      </c>
      <c r="Y9" s="28">
        <f t="shared" si="0"/>
        <v>1.95</v>
      </c>
      <c r="Z9" s="28">
        <f>Z4*AR9</f>
        <v>23.310000000000002</v>
      </c>
      <c r="AA9" s="23">
        <v>3.89</v>
      </c>
      <c r="AB9" s="28">
        <f>AB4*AR9</f>
        <v>555</v>
      </c>
      <c r="AC9" s="28">
        <f t="shared" si="6"/>
        <v>0.98</v>
      </c>
      <c r="AD9" s="28">
        <f t="shared" si="7"/>
        <v>11.66</v>
      </c>
      <c r="AE9" s="22">
        <v>36</v>
      </c>
      <c r="AF9" s="28">
        <f t="shared" si="4"/>
        <v>144</v>
      </c>
      <c r="AG9" s="21">
        <v>0.03</v>
      </c>
      <c r="AH9" s="21">
        <v>0.03</v>
      </c>
      <c r="AI9" s="22">
        <v>1000</v>
      </c>
      <c r="AJ9" s="28">
        <f t="shared" si="1"/>
        <v>555</v>
      </c>
      <c r="AM9" s="28">
        <f>AM4*AR9</f>
        <v>174825.00000000003</v>
      </c>
      <c r="AN9" s="28">
        <f>AN4*AR9</f>
        <v>4745250</v>
      </c>
      <c r="AO9" s="32">
        <f t="shared" si="5"/>
        <v>7.122922550001945E-2</v>
      </c>
      <c r="AP9" s="21">
        <v>60</v>
      </c>
      <c r="AQ9">
        <v>7.0000000000000007E-2</v>
      </c>
      <c r="AR9">
        <v>1.1100000000000001</v>
      </c>
      <c r="AT9" t="s">
        <v>204</v>
      </c>
    </row>
    <row r="10" spans="1:46" x14ac:dyDescent="0.25">
      <c r="A10" t="s">
        <v>78</v>
      </c>
      <c r="B10">
        <v>1</v>
      </c>
      <c r="C10" t="s">
        <v>177</v>
      </c>
      <c r="D10" t="s">
        <v>80</v>
      </c>
      <c r="J10" t="s">
        <v>17</v>
      </c>
      <c r="K10" t="s">
        <v>19</v>
      </c>
      <c r="L10" t="s">
        <v>31</v>
      </c>
      <c r="O10" s="21">
        <v>0.9</v>
      </c>
      <c r="P10" s="21">
        <v>0.9</v>
      </c>
      <c r="Q10" s="21">
        <v>0.8</v>
      </c>
      <c r="R10" s="21">
        <v>1</v>
      </c>
      <c r="S10" s="30">
        <v>0.5</v>
      </c>
      <c r="T10" s="30">
        <v>-0.14000000000000001</v>
      </c>
      <c r="U10" s="28">
        <f>ROUND(U5*AR10,2)</f>
        <v>3.91</v>
      </c>
      <c r="W10" s="22">
        <v>12</v>
      </c>
      <c r="X10" s="22">
        <v>40</v>
      </c>
      <c r="Y10" s="28">
        <f t="shared" si="0"/>
        <v>1.95</v>
      </c>
      <c r="Z10" s="28">
        <f>Z5*AR10</f>
        <v>35.65</v>
      </c>
      <c r="AA10" s="23">
        <v>3.89</v>
      </c>
      <c r="AB10" s="28">
        <f>AB5*AR10</f>
        <v>690</v>
      </c>
      <c r="AC10" s="28">
        <f t="shared" si="6"/>
        <v>0.98</v>
      </c>
      <c r="AD10" s="28">
        <f t="shared" si="7"/>
        <v>17.829999999999998</v>
      </c>
      <c r="AE10" s="22">
        <v>36</v>
      </c>
      <c r="AF10" s="28">
        <f t="shared" si="4"/>
        <v>144</v>
      </c>
      <c r="AG10" s="21">
        <v>0.05</v>
      </c>
      <c r="AH10" s="21">
        <v>0.05</v>
      </c>
      <c r="AI10" s="22">
        <v>1300</v>
      </c>
      <c r="AJ10" s="28">
        <f t="shared" si="1"/>
        <v>690</v>
      </c>
      <c r="AM10" s="28">
        <f>AM5*AR10</f>
        <v>211139.99999999997</v>
      </c>
      <c r="AN10" s="28">
        <f>AN5*AR10</f>
        <v>8021249.9999999991</v>
      </c>
      <c r="AO10" s="32">
        <f t="shared" si="5"/>
        <v>7.0619527184264883E-2</v>
      </c>
      <c r="AP10" s="22">
        <v>70</v>
      </c>
      <c r="AQ10">
        <v>7.0000000000000007E-2</v>
      </c>
      <c r="AR10">
        <v>1.1499999999999999</v>
      </c>
    </row>
    <row r="11" spans="1:46" x14ac:dyDescent="0.25">
      <c r="A11" t="s">
        <v>192</v>
      </c>
      <c r="B11">
        <v>1</v>
      </c>
      <c r="C11" t="s">
        <v>177</v>
      </c>
      <c r="D11" t="s">
        <v>80</v>
      </c>
      <c r="J11" t="s">
        <v>17</v>
      </c>
      <c r="K11" t="s">
        <v>19</v>
      </c>
      <c r="L11" t="s">
        <v>31</v>
      </c>
      <c r="O11" s="21">
        <v>0.94</v>
      </c>
      <c r="P11" s="21">
        <v>0.94</v>
      </c>
      <c r="Q11" s="21">
        <v>0.95</v>
      </c>
      <c r="R11" s="21">
        <v>1</v>
      </c>
      <c r="S11" s="30">
        <v>0.6</v>
      </c>
      <c r="T11" s="30">
        <v>-0.13</v>
      </c>
      <c r="U11" s="28">
        <f>ROUND(U6*AR11,2)</f>
        <v>20.010000000000002</v>
      </c>
      <c r="W11" s="22">
        <v>96</v>
      </c>
      <c r="X11" s="22">
        <v>96</v>
      </c>
      <c r="Y11" s="28">
        <f t="shared" si="0"/>
        <v>1.95</v>
      </c>
      <c r="Z11" s="28">
        <f>Z6*AR11</f>
        <v>122</v>
      </c>
      <c r="AA11" s="23">
        <v>3.89</v>
      </c>
      <c r="AB11" s="28">
        <f>AB6*AR11</f>
        <v>2440</v>
      </c>
      <c r="AC11" s="28">
        <f t="shared" si="6"/>
        <v>0.98</v>
      </c>
      <c r="AD11" s="28">
        <f t="shared" si="7"/>
        <v>61</v>
      </c>
      <c r="AE11" s="22">
        <v>36</v>
      </c>
      <c r="AF11" s="28">
        <f t="shared" si="4"/>
        <v>144</v>
      </c>
      <c r="AG11" s="21">
        <v>0.1</v>
      </c>
      <c r="AH11" s="21">
        <v>0.2</v>
      </c>
      <c r="AI11" s="21">
        <v>1750</v>
      </c>
      <c r="AJ11" s="28">
        <f t="shared" si="1"/>
        <v>2440</v>
      </c>
      <c r="AM11" s="28">
        <f>AM6*AR11</f>
        <v>252540</v>
      </c>
      <c r="AN11" s="28">
        <f>AN6*AR11</f>
        <v>17568000</v>
      </c>
      <c r="AO11" s="32">
        <f t="shared" si="5"/>
        <v>7.0313571760871663E-2</v>
      </c>
      <c r="AP11" s="22">
        <v>80</v>
      </c>
      <c r="AQ11">
        <v>7.0000000000000007E-2</v>
      </c>
      <c r="AR11">
        <v>1.22</v>
      </c>
    </row>
    <row r="12" spans="1:46" x14ac:dyDescent="0.25">
      <c r="A12" t="s">
        <v>193</v>
      </c>
      <c r="B12">
        <v>1</v>
      </c>
      <c r="C12" t="s">
        <v>179</v>
      </c>
      <c r="D12" t="s">
        <v>81</v>
      </c>
      <c r="J12" t="s">
        <v>17</v>
      </c>
      <c r="K12" t="s">
        <v>19</v>
      </c>
      <c r="O12" s="21">
        <v>0.23</v>
      </c>
      <c r="P12" s="21">
        <v>0.23</v>
      </c>
      <c r="Q12" s="21">
        <v>0.15</v>
      </c>
      <c r="R12" s="21">
        <v>1</v>
      </c>
      <c r="U12" s="21">
        <v>1.2</v>
      </c>
      <c r="W12" s="22">
        <v>2</v>
      </c>
      <c r="X12" s="22">
        <v>2</v>
      </c>
      <c r="Y12" s="28">
        <f t="shared" si="0"/>
        <v>1.95</v>
      </c>
      <c r="Z12" s="30">
        <v>5</v>
      </c>
      <c r="AA12" s="23">
        <v>3.89</v>
      </c>
      <c r="AB12" s="23">
        <v>300</v>
      </c>
      <c r="AC12" s="28">
        <f t="shared" si="6"/>
        <v>0.98</v>
      </c>
      <c r="AD12" s="28">
        <f t="shared" si="7"/>
        <v>2.5</v>
      </c>
      <c r="AE12" s="22">
        <v>36</v>
      </c>
      <c r="AF12" s="28">
        <f t="shared" si="4"/>
        <v>144</v>
      </c>
      <c r="AG12" s="21">
        <v>5.0000000000000001E-3</v>
      </c>
      <c r="AH12" s="21">
        <v>5.0000000000000001E-3</v>
      </c>
      <c r="AI12" s="22">
        <v>20</v>
      </c>
      <c r="AJ12" s="28">
        <f t="shared" ref="AJ12:AJ31" si="8">AB12</f>
        <v>300</v>
      </c>
      <c r="AM12" s="29">
        <f>30000</f>
        <v>30000</v>
      </c>
      <c r="AN12" s="21">
        <f>1500000*AS12</f>
        <v>1350000</v>
      </c>
      <c r="AO12" s="32">
        <f t="shared" si="5"/>
        <v>7.5009138873610326E-2</v>
      </c>
      <c r="AP12" s="21">
        <v>40</v>
      </c>
      <c r="AQ12">
        <v>7.0000000000000007E-2</v>
      </c>
      <c r="AS12">
        <v>0.9</v>
      </c>
    </row>
    <row r="13" spans="1:46" x14ac:dyDescent="0.25">
      <c r="A13" t="s">
        <v>76</v>
      </c>
      <c r="B13">
        <v>1</v>
      </c>
      <c r="C13" t="s">
        <v>179</v>
      </c>
      <c r="D13" t="s">
        <v>81</v>
      </c>
      <c r="J13" t="s">
        <v>17</v>
      </c>
      <c r="K13" t="s">
        <v>19</v>
      </c>
      <c r="O13" s="21">
        <v>0.31</v>
      </c>
      <c r="P13" s="21">
        <v>0.31</v>
      </c>
      <c r="Q13" s="21">
        <v>0.2</v>
      </c>
      <c r="R13" s="21">
        <v>1</v>
      </c>
      <c r="U13" s="21">
        <v>2.2000000000000002</v>
      </c>
      <c r="W13" s="22">
        <v>4</v>
      </c>
      <c r="X13" s="31">
        <v>10</v>
      </c>
      <c r="Y13" s="28">
        <f t="shared" si="0"/>
        <v>1.95</v>
      </c>
      <c r="Z13" s="30">
        <v>11</v>
      </c>
      <c r="AA13" s="23">
        <v>3.89</v>
      </c>
      <c r="AB13" s="23">
        <v>400</v>
      </c>
      <c r="AC13" s="28">
        <f t="shared" si="6"/>
        <v>0.98</v>
      </c>
      <c r="AD13" s="28">
        <f t="shared" si="7"/>
        <v>5.5</v>
      </c>
      <c r="AE13" s="22">
        <v>36</v>
      </c>
      <c r="AF13" s="28">
        <f t="shared" si="4"/>
        <v>144</v>
      </c>
      <c r="AG13" s="21">
        <v>0.01</v>
      </c>
      <c r="AH13" s="21">
        <v>0.01</v>
      </c>
      <c r="AI13" s="31">
        <v>100</v>
      </c>
      <c r="AJ13" s="28">
        <f t="shared" si="8"/>
        <v>400</v>
      </c>
      <c r="AM13" s="29">
        <f>118000*AS13</f>
        <v>106200</v>
      </c>
      <c r="AN13" s="29">
        <f>2000000*AS13</f>
        <v>1800000</v>
      </c>
      <c r="AO13" s="32">
        <f t="shared" si="5"/>
        <v>7.2459849539607671E-2</v>
      </c>
      <c r="AP13" s="21">
        <v>50</v>
      </c>
      <c r="AQ13">
        <v>7.0000000000000007E-2</v>
      </c>
      <c r="AS13">
        <v>0.9</v>
      </c>
    </row>
    <row r="14" spans="1:46" x14ac:dyDescent="0.25">
      <c r="A14" t="s">
        <v>77</v>
      </c>
      <c r="B14">
        <v>1</v>
      </c>
      <c r="C14" t="s">
        <v>179</v>
      </c>
      <c r="D14" t="s">
        <v>81</v>
      </c>
      <c r="J14" t="s">
        <v>17</v>
      </c>
      <c r="K14" t="s">
        <v>19</v>
      </c>
      <c r="O14" s="21">
        <v>0.33</v>
      </c>
      <c r="P14" s="21">
        <v>0.33</v>
      </c>
      <c r="Q14" s="21">
        <v>0.4</v>
      </c>
      <c r="R14" s="21">
        <v>1</v>
      </c>
      <c r="U14" s="21">
        <v>2.6</v>
      </c>
      <c r="W14" s="22">
        <v>6</v>
      </c>
      <c r="X14" s="31">
        <v>12</v>
      </c>
      <c r="Y14" s="28">
        <f t="shared" si="0"/>
        <v>1.95</v>
      </c>
      <c r="Z14" s="30">
        <v>21</v>
      </c>
      <c r="AA14" s="23">
        <v>3.89</v>
      </c>
      <c r="AB14" s="23">
        <v>500</v>
      </c>
      <c r="AC14" s="28">
        <f t="shared" si="6"/>
        <v>0.98</v>
      </c>
      <c r="AD14" s="28">
        <f t="shared" si="7"/>
        <v>10.5</v>
      </c>
      <c r="AE14" s="22">
        <v>36</v>
      </c>
      <c r="AF14" s="28">
        <f t="shared" si="4"/>
        <v>144</v>
      </c>
      <c r="AG14" s="21">
        <v>0.03</v>
      </c>
      <c r="AH14" s="21">
        <v>0.03</v>
      </c>
      <c r="AI14" s="31">
        <v>150</v>
      </c>
      <c r="AJ14" s="28">
        <f t="shared" si="8"/>
        <v>500</v>
      </c>
      <c r="AM14" s="21">
        <f>136000*AS14</f>
        <v>122400</v>
      </c>
      <c r="AN14" s="21">
        <f>5250000*AS14</f>
        <v>4725000</v>
      </c>
      <c r="AO14" s="32">
        <f t="shared" si="5"/>
        <v>7.122922550001945E-2</v>
      </c>
      <c r="AP14" s="21">
        <v>60</v>
      </c>
      <c r="AQ14">
        <v>7.0000000000000007E-2</v>
      </c>
      <c r="AS14">
        <v>0.9</v>
      </c>
      <c r="AT14" t="s">
        <v>201</v>
      </c>
    </row>
    <row r="15" spans="1:46" x14ac:dyDescent="0.25">
      <c r="A15" t="s">
        <v>78</v>
      </c>
      <c r="B15">
        <v>1</v>
      </c>
      <c r="C15" t="s">
        <v>179</v>
      </c>
      <c r="D15" t="s">
        <v>81</v>
      </c>
      <c r="J15" t="s">
        <v>17</v>
      </c>
      <c r="K15" t="s">
        <v>19</v>
      </c>
      <c r="O15" s="21">
        <v>0.35</v>
      </c>
      <c r="P15" s="21">
        <v>0.35</v>
      </c>
      <c r="Q15" s="21">
        <v>0.5</v>
      </c>
      <c r="R15" s="21">
        <v>1</v>
      </c>
      <c r="U15" s="21">
        <v>2.8</v>
      </c>
      <c r="W15" s="22">
        <v>48</v>
      </c>
      <c r="X15" s="31">
        <v>48</v>
      </c>
      <c r="Y15" s="28">
        <f t="shared" si="0"/>
        <v>1.95</v>
      </c>
      <c r="Z15" s="30">
        <v>31</v>
      </c>
      <c r="AA15" s="23">
        <v>3.89</v>
      </c>
      <c r="AB15" s="23">
        <v>600</v>
      </c>
      <c r="AC15" s="28">
        <f t="shared" si="6"/>
        <v>0.98</v>
      </c>
      <c r="AD15" s="28">
        <f t="shared" si="7"/>
        <v>15.5</v>
      </c>
      <c r="AE15" s="22">
        <v>36</v>
      </c>
      <c r="AF15" s="28">
        <f t="shared" si="4"/>
        <v>144</v>
      </c>
      <c r="AG15" s="21">
        <v>0.05</v>
      </c>
      <c r="AH15" s="21">
        <v>0.05</v>
      </c>
      <c r="AI15" s="31">
        <v>200</v>
      </c>
      <c r="AJ15" s="28">
        <f t="shared" si="8"/>
        <v>600</v>
      </c>
      <c r="AM15" s="21">
        <f>216000*AS15</f>
        <v>194400</v>
      </c>
      <c r="AN15" s="21">
        <f>10000000*AS15</f>
        <v>9000000</v>
      </c>
      <c r="AO15" s="32">
        <f t="shared" si="5"/>
        <v>7.0619527184264883E-2</v>
      </c>
      <c r="AP15" s="22">
        <v>70</v>
      </c>
      <c r="AQ15">
        <v>7.0000000000000007E-2</v>
      </c>
      <c r="AS15">
        <v>0.9</v>
      </c>
    </row>
    <row r="16" spans="1:46" x14ac:dyDescent="0.25">
      <c r="A16" t="s">
        <v>192</v>
      </c>
      <c r="B16">
        <v>1</v>
      </c>
      <c r="C16" t="s">
        <v>179</v>
      </c>
      <c r="D16" t="s">
        <v>81</v>
      </c>
      <c r="J16" t="s">
        <v>17</v>
      </c>
      <c r="K16" t="s">
        <v>19</v>
      </c>
      <c r="O16" s="21">
        <v>0.42</v>
      </c>
      <c r="P16" s="21">
        <v>0.42</v>
      </c>
      <c r="Q16" s="21">
        <v>0.95</v>
      </c>
      <c r="R16" s="21">
        <v>1</v>
      </c>
      <c r="U16" s="29">
        <v>16.399999999999999</v>
      </c>
      <c r="W16" s="22">
        <v>96</v>
      </c>
      <c r="X16" s="22">
        <v>96</v>
      </c>
      <c r="Y16" s="28">
        <f t="shared" si="0"/>
        <v>1.95</v>
      </c>
      <c r="Z16" s="30">
        <v>100</v>
      </c>
      <c r="AA16" s="23">
        <v>3.89</v>
      </c>
      <c r="AB16" s="23">
        <v>2000</v>
      </c>
      <c r="AC16" s="28">
        <f t="shared" si="6"/>
        <v>0.98</v>
      </c>
      <c r="AD16" s="28">
        <f t="shared" si="7"/>
        <v>50</v>
      </c>
      <c r="AE16" s="22">
        <v>36</v>
      </c>
      <c r="AF16" s="28">
        <f t="shared" si="4"/>
        <v>144</v>
      </c>
      <c r="AG16" s="21">
        <v>0.1</v>
      </c>
      <c r="AH16" s="21">
        <v>0.2</v>
      </c>
      <c r="AI16" s="21">
        <v>300</v>
      </c>
      <c r="AJ16" s="28">
        <f t="shared" si="8"/>
        <v>2000</v>
      </c>
      <c r="AM16" s="23">
        <f>280000*AS16</f>
        <v>252000</v>
      </c>
      <c r="AN16" s="21">
        <f>20000000*AS16</f>
        <v>18000000</v>
      </c>
      <c r="AO16" s="32">
        <f t="shared" si="5"/>
        <v>7.0313571760871663E-2</v>
      </c>
      <c r="AP16" s="22">
        <v>80</v>
      </c>
      <c r="AQ16">
        <v>7.0000000000000007E-2</v>
      </c>
      <c r="AS16">
        <v>0.9</v>
      </c>
    </row>
    <row r="17" spans="1:46" x14ac:dyDescent="0.25">
      <c r="A17" t="s">
        <v>193</v>
      </c>
      <c r="B17">
        <v>1</v>
      </c>
      <c r="C17" t="s">
        <v>180</v>
      </c>
      <c r="D17" t="s">
        <v>82</v>
      </c>
      <c r="J17" t="s">
        <v>17</v>
      </c>
      <c r="K17" t="s">
        <v>19</v>
      </c>
      <c r="L17" t="s">
        <v>31</v>
      </c>
      <c r="O17" s="21">
        <v>0.81</v>
      </c>
      <c r="P17" s="21">
        <v>0.81</v>
      </c>
      <c r="Q17" s="21">
        <v>0.15</v>
      </c>
      <c r="R17" s="21">
        <v>1</v>
      </c>
      <c r="S17" s="30">
        <v>0.2</v>
      </c>
      <c r="T17" s="23">
        <v>-0.17</v>
      </c>
      <c r="U17" s="28">
        <f>ROUND(U12*AR17,2)</f>
        <v>1.2</v>
      </c>
      <c r="W17" s="22">
        <v>2</v>
      </c>
      <c r="X17" s="22">
        <v>2</v>
      </c>
      <c r="Y17" s="28">
        <f t="shared" si="0"/>
        <v>1.95</v>
      </c>
      <c r="Z17" s="28">
        <f>Z12*AR17</f>
        <v>5</v>
      </c>
      <c r="AA17" s="23">
        <v>3.89</v>
      </c>
      <c r="AB17" s="28">
        <f>AB12*AR17</f>
        <v>300</v>
      </c>
      <c r="AC17" s="28">
        <f t="shared" si="6"/>
        <v>0.98</v>
      </c>
      <c r="AD17" s="28">
        <f t="shared" si="7"/>
        <v>2.5</v>
      </c>
      <c r="AE17" s="22">
        <v>36</v>
      </c>
      <c r="AF17" s="28">
        <f t="shared" si="4"/>
        <v>144</v>
      </c>
      <c r="AG17" s="21">
        <v>5.0000000000000001E-3</v>
      </c>
      <c r="AH17" s="21">
        <v>5.0000000000000001E-3</v>
      </c>
      <c r="AI17" s="22">
        <v>20</v>
      </c>
      <c r="AJ17" s="28">
        <f t="shared" si="8"/>
        <v>300</v>
      </c>
      <c r="AM17" s="28">
        <f>AM12*AR17</f>
        <v>30000</v>
      </c>
      <c r="AN17" s="28">
        <f>AN12*AR17</f>
        <v>1350000</v>
      </c>
      <c r="AO17" s="32">
        <f t="shared" si="5"/>
        <v>7.5009138873610326E-2</v>
      </c>
      <c r="AP17" s="21">
        <v>40</v>
      </c>
      <c r="AQ17">
        <v>7.0000000000000007E-2</v>
      </c>
      <c r="AR17">
        <v>1</v>
      </c>
    </row>
    <row r="18" spans="1:46" x14ac:dyDescent="0.25">
      <c r="A18" t="s">
        <v>76</v>
      </c>
      <c r="B18">
        <v>1</v>
      </c>
      <c r="C18" t="s">
        <v>180</v>
      </c>
      <c r="D18" t="s">
        <v>82</v>
      </c>
      <c r="J18" t="s">
        <v>17</v>
      </c>
      <c r="K18" t="s">
        <v>19</v>
      </c>
      <c r="L18" t="s">
        <v>31</v>
      </c>
      <c r="O18" s="21">
        <v>0.86</v>
      </c>
      <c r="P18" s="21">
        <v>0.86</v>
      </c>
      <c r="Q18" s="21">
        <v>0.2</v>
      </c>
      <c r="R18" s="21">
        <v>1</v>
      </c>
      <c r="S18" s="30">
        <v>0.3</v>
      </c>
      <c r="T18" s="30">
        <v>-0.16</v>
      </c>
      <c r="U18" s="28">
        <f>ROUND(U13*AR18,2)</f>
        <v>2.33</v>
      </c>
      <c r="W18" s="22">
        <v>4</v>
      </c>
      <c r="X18" s="31">
        <v>10</v>
      </c>
      <c r="Y18" s="28">
        <f t="shared" si="0"/>
        <v>1.95</v>
      </c>
      <c r="Z18" s="28">
        <f>Z13*AR18</f>
        <v>11.66</v>
      </c>
      <c r="AA18" s="23">
        <v>3.89</v>
      </c>
      <c r="AB18" s="28">
        <f>AB13*AR18</f>
        <v>424</v>
      </c>
      <c r="AC18" s="28">
        <f t="shared" si="6"/>
        <v>0.98</v>
      </c>
      <c r="AD18" s="28">
        <f t="shared" si="7"/>
        <v>5.83</v>
      </c>
      <c r="AE18" s="22">
        <v>36</v>
      </c>
      <c r="AF18" s="28">
        <f t="shared" si="4"/>
        <v>144</v>
      </c>
      <c r="AG18" s="21">
        <v>0.01</v>
      </c>
      <c r="AH18" s="21">
        <v>0.01</v>
      </c>
      <c r="AI18" s="31">
        <v>100</v>
      </c>
      <c r="AJ18" s="28">
        <f t="shared" si="8"/>
        <v>424</v>
      </c>
      <c r="AM18" s="28">
        <f>AM13*AR18</f>
        <v>112572</v>
      </c>
      <c r="AN18" s="28">
        <f>AN13*AR18</f>
        <v>1908000</v>
      </c>
      <c r="AO18" s="32">
        <f t="shared" si="5"/>
        <v>7.2459849539607671E-2</v>
      </c>
      <c r="AP18" s="21">
        <v>50</v>
      </c>
      <c r="AQ18">
        <v>7.0000000000000007E-2</v>
      </c>
      <c r="AR18">
        <v>1.06</v>
      </c>
    </row>
    <row r="19" spans="1:46" x14ac:dyDescent="0.25">
      <c r="A19" t="s">
        <v>77</v>
      </c>
      <c r="B19">
        <v>1</v>
      </c>
      <c r="C19" t="s">
        <v>180</v>
      </c>
      <c r="D19" t="s">
        <v>82</v>
      </c>
      <c r="J19" t="s">
        <v>17</v>
      </c>
      <c r="K19" t="s">
        <v>19</v>
      </c>
      <c r="L19" t="s">
        <v>31</v>
      </c>
      <c r="O19" s="21">
        <v>0.9</v>
      </c>
      <c r="P19" s="21">
        <v>0.9</v>
      </c>
      <c r="Q19" s="21">
        <v>0.4</v>
      </c>
      <c r="R19" s="21">
        <v>1</v>
      </c>
      <c r="S19" s="30">
        <v>0.4</v>
      </c>
      <c r="T19" s="30">
        <v>-0.15</v>
      </c>
      <c r="U19" s="28">
        <f>ROUND(U14*AR19,2)</f>
        <v>2.89</v>
      </c>
      <c r="W19" s="22">
        <v>6</v>
      </c>
      <c r="X19" s="31">
        <v>12</v>
      </c>
      <c r="Y19" s="28">
        <f t="shared" si="0"/>
        <v>1.95</v>
      </c>
      <c r="Z19" s="28">
        <f>Z14*AR19</f>
        <v>23.310000000000002</v>
      </c>
      <c r="AA19" s="23">
        <v>3.89</v>
      </c>
      <c r="AB19" s="28">
        <f>AB14*AR19</f>
        <v>555</v>
      </c>
      <c r="AC19" s="28">
        <f t="shared" si="6"/>
        <v>0.98</v>
      </c>
      <c r="AD19" s="28">
        <f t="shared" si="7"/>
        <v>11.66</v>
      </c>
      <c r="AE19" s="22">
        <v>36</v>
      </c>
      <c r="AF19" s="28">
        <f t="shared" si="4"/>
        <v>144</v>
      </c>
      <c r="AG19" s="21">
        <v>0.03</v>
      </c>
      <c r="AH19" s="21">
        <v>0.03</v>
      </c>
      <c r="AI19" s="31">
        <v>150</v>
      </c>
      <c r="AJ19" s="28">
        <f t="shared" si="8"/>
        <v>555</v>
      </c>
      <c r="AM19" s="28">
        <f>AM14*AR19</f>
        <v>135864</v>
      </c>
      <c r="AN19" s="28">
        <f>AN14*AR19</f>
        <v>5244750</v>
      </c>
      <c r="AO19" s="32">
        <f t="shared" si="5"/>
        <v>7.122922550001945E-2</v>
      </c>
      <c r="AP19" s="21">
        <v>60</v>
      </c>
      <c r="AQ19">
        <v>7.0000000000000007E-2</v>
      </c>
      <c r="AR19">
        <v>1.1100000000000001</v>
      </c>
      <c r="AT19" t="s">
        <v>204</v>
      </c>
    </row>
    <row r="20" spans="1:46" x14ac:dyDescent="0.25">
      <c r="A20" t="s">
        <v>78</v>
      </c>
      <c r="B20">
        <v>1</v>
      </c>
      <c r="C20" t="s">
        <v>180</v>
      </c>
      <c r="D20" t="s">
        <v>82</v>
      </c>
      <c r="J20" t="s">
        <v>17</v>
      </c>
      <c r="K20" t="s">
        <v>19</v>
      </c>
      <c r="L20" t="s">
        <v>31</v>
      </c>
      <c r="O20" s="21">
        <v>0.93</v>
      </c>
      <c r="P20" s="21">
        <v>0.93</v>
      </c>
      <c r="Q20" s="21">
        <v>0.5</v>
      </c>
      <c r="R20" s="21">
        <v>1</v>
      </c>
      <c r="S20" s="30">
        <v>0.5</v>
      </c>
      <c r="T20" s="30">
        <v>-0.14000000000000001</v>
      </c>
      <c r="U20" s="28">
        <f>ROUND(U15*AR20,2)</f>
        <v>3.22</v>
      </c>
      <c r="W20" s="22">
        <v>48</v>
      </c>
      <c r="X20" s="31">
        <v>48</v>
      </c>
      <c r="Y20" s="28">
        <f t="shared" si="0"/>
        <v>1.95</v>
      </c>
      <c r="Z20" s="28">
        <f>Z15*AR20</f>
        <v>35.65</v>
      </c>
      <c r="AA20" s="23">
        <v>3.89</v>
      </c>
      <c r="AB20" s="28">
        <f>AB15*AR20</f>
        <v>690</v>
      </c>
      <c r="AC20" s="28">
        <f t="shared" si="6"/>
        <v>0.98</v>
      </c>
      <c r="AD20" s="28">
        <f t="shared" si="7"/>
        <v>17.829999999999998</v>
      </c>
      <c r="AE20" s="22">
        <v>36</v>
      </c>
      <c r="AF20" s="28">
        <f t="shared" si="4"/>
        <v>144</v>
      </c>
      <c r="AG20" s="21">
        <v>0.05</v>
      </c>
      <c r="AH20" s="21">
        <v>0.05</v>
      </c>
      <c r="AI20" s="31">
        <v>200</v>
      </c>
      <c r="AJ20" s="28">
        <f t="shared" si="8"/>
        <v>690</v>
      </c>
      <c r="AM20" s="28">
        <f>AM15*AR20</f>
        <v>223559.99999999997</v>
      </c>
      <c r="AN20" s="28">
        <f>AN15*AR20</f>
        <v>10350000</v>
      </c>
      <c r="AO20" s="32">
        <f t="shared" si="5"/>
        <v>7.0619527184264883E-2</v>
      </c>
      <c r="AP20" s="22">
        <v>70</v>
      </c>
      <c r="AQ20">
        <v>7.0000000000000007E-2</v>
      </c>
      <c r="AR20">
        <v>1.1499999999999999</v>
      </c>
    </row>
    <row r="21" spans="1:46" x14ac:dyDescent="0.25">
      <c r="A21" t="s">
        <v>192</v>
      </c>
      <c r="B21">
        <v>1</v>
      </c>
      <c r="C21" t="s">
        <v>180</v>
      </c>
      <c r="D21" t="s">
        <v>82</v>
      </c>
      <c r="J21" t="s">
        <v>17</v>
      </c>
      <c r="K21" t="s">
        <v>19</v>
      </c>
      <c r="L21" t="s">
        <v>31</v>
      </c>
      <c r="O21" s="21">
        <v>0.94</v>
      </c>
      <c r="P21" s="21">
        <v>0.94</v>
      </c>
      <c r="Q21" s="21">
        <v>0.95</v>
      </c>
      <c r="R21" s="21">
        <v>1</v>
      </c>
      <c r="S21" s="30">
        <v>0.6</v>
      </c>
      <c r="T21" s="30">
        <v>-0.13</v>
      </c>
      <c r="U21" s="28">
        <f>ROUND(U16*AR21,2)</f>
        <v>20.010000000000002</v>
      </c>
      <c r="W21" s="22">
        <v>96</v>
      </c>
      <c r="X21" s="22">
        <v>96</v>
      </c>
      <c r="Y21" s="28">
        <f t="shared" si="0"/>
        <v>1.95</v>
      </c>
      <c r="Z21" s="28">
        <f>Z16*AR21</f>
        <v>122</v>
      </c>
      <c r="AA21" s="23">
        <v>3.89</v>
      </c>
      <c r="AB21" s="28">
        <f>AB16*AR21</f>
        <v>2440</v>
      </c>
      <c r="AC21" s="28">
        <f t="shared" si="6"/>
        <v>0.98</v>
      </c>
      <c r="AD21" s="28">
        <f t="shared" si="7"/>
        <v>61</v>
      </c>
      <c r="AE21" s="22">
        <v>36</v>
      </c>
      <c r="AF21" s="28">
        <f t="shared" si="4"/>
        <v>144</v>
      </c>
      <c r="AG21" s="21">
        <v>0.1</v>
      </c>
      <c r="AH21" s="21">
        <v>0.2</v>
      </c>
      <c r="AI21" s="21">
        <v>300</v>
      </c>
      <c r="AJ21" s="28">
        <f t="shared" si="8"/>
        <v>2440</v>
      </c>
      <c r="AM21" s="28">
        <f>AM16*AR21</f>
        <v>307440</v>
      </c>
      <c r="AN21" s="28">
        <f>AN16*AR21</f>
        <v>21960000</v>
      </c>
      <c r="AO21" s="32">
        <f t="shared" si="5"/>
        <v>7.0313571760871663E-2</v>
      </c>
      <c r="AP21" s="22">
        <v>80</v>
      </c>
      <c r="AQ21">
        <v>7.0000000000000007E-2</v>
      </c>
      <c r="AR21">
        <v>1.22</v>
      </c>
    </row>
    <row r="22" spans="1:46" x14ac:dyDescent="0.25">
      <c r="A22" t="s">
        <v>193</v>
      </c>
      <c r="B22">
        <v>1</v>
      </c>
      <c r="C22" t="s">
        <v>181</v>
      </c>
      <c r="D22" t="s">
        <v>182</v>
      </c>
      <c r="J22" t="s">
        <v>17</v>
      </c>
      <c r="K22" t="s">
        <v>31</v>
      </c>
      <c r="O22" s="21">
        <v>0.81</v>
      </c>
      <c r="P22" s="21">
        <v>0.81</v>
      </c>
      <c r="Q22" s="21">
        <v>0.15</v>
      </c>
      <c r="R22" s="21">
        <v>1</v>
      </c>
      <c r="U22" s="22">
        <v>0</v>
      </c>
      <c r="W22" s="22">
        <v>2</v>
      </c>
      <c r="X22" s="22">
        <v>2</v>
      </c>
      <c r="Y22" s="28">
        <f t="shared" si="0"/>
        <v>1.95</v>
      </c>
      <c r="Z22" s="30">
        <v>1</v>
      </c>
      <c r="AA22" s="23">
        <v>3.89</v>
      </c>
      <c r="AB22" s="23">
        <v>50</v>
      </c>
      <c r="AC22" s="28">
        <f t="shared" si="6"/>
        <v>0.98</v>
      </c>
      <c r="AD22" s="28">
        <f t="shared" si="7"/>
        <v>0.5</v>
      </c>
      <c r="AE22" s="22">
        <v>36</v>
      </c>
      <c r="AF22" s="28">
        <f t="shared" si="4"/>
        <v>144</v>
      </c>
      <c r="AG22" s="22">
        <v>5.0000000000000001E-3</v>
      </c>
      <c r="AH22" s="22">
        <v>5.0000000000000001E-3</v>
      </c>
      <c r="AI22" s="22">
        <v>20</v>
      </c>
      <c r="AJ22" s="28">
        <f t="shared" si="8"/>
        <v>50</v>
      </c>
      <c r="AM22" s="22">
        <v>7320</v>
      </c>
      <c r="AN22" s="22">
        <v>244000</v>
      </c>
      <c r="AO22" s="32">
        <f t="shared" si="5"/>
        <v>7.5009138873610326E-2</v>
      </c>
      <c r="AP22" s="21">
        <v>40</v>
      </c>
      <c r="AQ22">
        <v>7.0000000000000007E-2</v>
      </c>
    </row>
    <row r="23" spans="1:46" x14ac:dyDescent="0.25">
      <c r="A23" t="s">
        <v>76</v>
      </c>
      <c r="B23">
        <v>1</v>
      </c>
      <c r="C23" t="s">
        <v>181</v>
      </c>
      <c r="D23" t="s">
        <v>182</v>
      </c>
      <c r="J23" t="s">
        <v>17</v>
      </c>
      <c r="K23" t="s">
        <v>31</v>
      </c>
      <c r="O23" s="21">
        <v>0.88</v>
      </c>
      <c r="P23" s="21">
        <v>0.88</v>
      </c>
      <c r="Q23" s="21">
        <v>0.2</v>
      </c>
      <c r="R23" s="21">
        <v>1</v>
      </c>
      <c r="U23" s="21">
        <v>0.5</v>
      </c>
      <c r="W23" s="22">
        <v>4</v>
      </c>
      <c r="X23" s="31">
        <v>10</v>
      </c>
      <c r="Y23" s="28">
        <f t="shared" si="0"/>
        <v>1.95</v>
      </c>
      <c r="Z23" s="30">
        <v>5</v>
      </c>
      <c r="AA23" s="23">
        <v>3.89</v>
      </c>
      <c r="AB23" s="23">
        <v>150</v>
      </c>
      <c r="AC23" s="28">
        <f t="shared" si="6"/>
        <v>0.98</v>
      </c>
      <c r="AD23" s="28">
        <f t="shared" si="7"/>
        <v>2.5</v>
      </c>
      <c r="AE23" s="22">
        <v>36</v>
      </c>
      <c r="AF23" s="28">
        <f t="shared" si="4"/>
        <v>144</v>
      </c>
      <c r="AG23" s="22">
        <v>0.01</v>
      </c>
      <c r="AH23" s="22">
        <v>0.01</v>
      </c>
      <c r="AI23" s="31">
        <v>100</v>
      </c>
      <c r="AJ23" s="28">
        <f t="shared" si="8"/>
        <v>150</v>
      </c>
      <c r="AM23" s="21">
        <v>27000</v>
      </c>
      <c r="AN23" s="21">
        <v>489000</v>
      </c>
      <c r="AO23" s="32">
        <f t="shared" si="5"/>
        <v>7.2459849539607671E-2</v>
      </c>
      <c r="AP23" s="21">
        <v>50</v>
      </c>
      <c r="AQ23">
        <v>7.0000000000000007E-2</v>
      </c>
    </row>
    <row r="24" spans="1:46" x14ac:dyDescent="0.25">
      <c r="A24" t="s">
        <v>77</v>
      </c>
      <c r="B24">
        <v>1</v>
      </c>
      <c r="C24" t="s">
        <v>181</v>
      </c>
      <c r="D24" t="s">
        <v>182</v>
      </c>
      <c r="J24" t="s">
        <v>17</v>
      </c>
      <c r="K24" t="s">
        <v>31</v>
      </c>
      <c r="O24" s="21">
        <v>0.9</v>
      </c>
      <c r="P24" s="21">
        <v>0.9</v>
      </c>
      <c r="Q24" s="21">
        <v>0.4</v>
      </c>
      <c r="R24" s="21">
        <v>1</v>
      </c>
      <c r="U24" s="21">
        <v>1</v>
      </c>
      <c r="W24" s="22">
        <v>6</v>
      </c>
      <c r="X24" s="31">
        <v>12</v>
      </c>
      <c r="Y24" s="28">
        <f t="shared" si="0"/>
        <v>1.95</v>
      </c>
      <c r="Z24" s="30">
        <v>11</v>
      </c>
      <c r="AA24" s="23">
        <v>3.89</v>
      </c>
      <c r="AB24" s="23">
        <v>250</v>
      </c>
      <c r="AC24" s="28">
        <f t="shared" si="6"/>
        <v>0.98</v>
      </c>
      <c r="AD24" s="28">
        <f t="shared" si="7"/>
        <v>5.5</v>
      </c>
      <c r="AE24" s="22">
        <v>36</v>
      </c>
      <c r="AF24" s="28">
        <f t="shared" si="4"/>
        <v>144</v>
      </c>
      <c r="AG24" s="22">
        <v>0.03</v>
      </c>
      <c r="AH24" s="22">
        <v>0.03</v>
      </c>
      <c r="AI24" s="31">
        <v>150</v>
      </c>
      <c r="AJ24" s="28">
        <f t="shared" si="8"/>
        <v>250</v>
      </c>
      <c r="AM24" s="21">
        <v>33000</v>
      </c>
      <c r="AN24" s="21">
        <v>978000</v>
      </c>
      <c r="AO24" s="32">
        <f t="shared" si="5"/>
        <v>7.122922550001945E-2</v>
      </c>
      <c r="AP24" s="21">
        <v>60</v>
      </c>
      <c r="AQ24">
        <v>7.0000000000000007E-2</v>
      </c>
      <c r="AT24" t="s">
        <v>206</v>
      </c>
    </row>
    <row r="25" spans="1:46" x14ac:dyDescent="0.25">
      <c r="A25" t="s">
        <v>78</v>
      </c>
      <c r="B25">
        <v>1</v>
      </c>
      <c r="C25" t="s">
        <v>181</v>
      </c>
      <c r="D25" t="s">
        <v>182</v>
      </c>
      <c r="J25" t="s">
        <v>17</v>
      </c>
      <c r="K25" t="s">
        <v>31</v>
      </c>
      <c r="O25" s="21">
        <v>0.92</v>
      </c>
      <c r="P25" s="21">
        <v>0.92</v>
      </c>
      <c r="Q25" s="21">
        <v>0.5</v>
      </c>
      <c r="R25" s="21">
        <v>1</v>
      </c>
      <c r="U25" s="21">
        <v>2</v>
      </c>
      <c r="W25" s="22">
        <v>48</v>
      </c>
      <c r="X25" s="31">
        <v>48</v>
      </c>
      <c r="Y25" s="28">
        <f t="shared" si="0"/>
        <v>1.95</v>
      </c>
      <c r="Z25" s="30">
        <v>21</v>
      </c>
      <c r="AA25" s="23">
        <v>3.89</v>
      </c>
      <c r="AB25" s="23">
        <v>350</v>
      </c>
      <c r="AC25" s="28">
        <f t="shared" si="6"/>
        <v>0.98</v>
      </c>
      <c r="AD25" s="28">
        <f t="shared" si="7"/>
        <v>10.5</v>
      </c>
      <c r="AE25" s="22">
        <v>36</v>
      </c>
      <c r="AF25" s="28">
        <f t="shared" si="4"/>
        <v>144</v>
      </c>
      <c r="AG25" s="22">
        <v>0.05</v>
      </c>
      <c r="AH25" s="22">
        <v>0.05</v>
      </c>
      <c r="AI25" s="31">
        <v>200</v>
      </c>
      <c r="AJ25" s="28">
        <f t="shared" si="8"/>
        <v>350</v>
      </c>
      <c r="AM25" s="21">
        <v>40000</v>
      </c>
      <c r="AN25" s="21">
        <v>1466000</v>
      </c>
      <c r="AO25" s="32">
        <f t="shared" si="5"/>
        <v>7.0619527184264883E-2</v>
      </c>
      <c r="AP25" s="22">
        <v>70</v>
      </c>
      <c r="AQ25">
        <v>7.0000000000000007E-2</v>
      </c>
    </row>
    <row r="26" spans="1:46" x14ac:dyDescent="0.25">
      <c r="A26" t="s">
        <v>192</v>
      </c>
      <c r="B26">
        <v>1</v>
      </c>
      <c r="C26" t="s">
        <v>181</v>
      </c>
      <c r="D26" t="s">
        <v>182</v>
      </c>
      <c r="J26" t="s">
        <v>17</v>
      </c>
      <c r="K26" t="s">
        <v>31</v>
      </c>
      <c r="O26" s="21">
        <v>0.94</v>
      </c>
      <c r="P26" s="21">
        <v>0.94</v>
      </c>
      <c r="Q26" s="21">
        <v>0.95</v>
      </c>
      <c r="R26" s="21">
        <v>1</v>
      </c>
      <c r="U26" s="31">
        <v>6.3</v>
      </c>
      <c r="W26" s="22">
        <v>96</v>
      </c>
      <c r="X26" s="22">
        <v>96</v>
      </c>
      <c r="Y26" s="28">
        <f>ROUND(AA26/2,2)</f>
        <v>1.95</v>
      </c>
      <c r="Z26" s="30">
        <v>50</v>
      </c>
      <c r="AA26" s="23">
        <v>3.89</v>
      </c>
      <c r="AB26" s="23">
        <v>1000</v>
      </c>
      <c r="AC26" s="28">
        <f t="shared" si="6"/>
        <v>0.98</v>
      </c>
      <c r="AD26" s="28">
        <f t="shared" si="7"/>
        <v>25</v>
      </c>
      <c r="AE26" s="22">
        <v>36</v>
      </c>
      <c r="AF26" s="28">
        <f t="shared" si="4"/>
        <v>144</v>
      </c>
      <c r="AG26" s="22">
        <v>0.1</v>
      </c>
      <c r="AH26" s="22">
        <v>0.2</v>
      </c>
      <c r="AI26" s="22">
        <v>300</v>
      </c>
      <c r="AJ26" s="28">
        <f t="shared" si="8"/>
        <v>1000</v>
      </c>
      <c r="AM26" s="22">
        <v>67500</v>
      </c>
      <c r="AN26" s="22">
        <v>2250000</v>
      </c>
      <c r="AO26" s="32">
        <f t="shared" si="5"/>
        <v>7.0313571760871663E-2</v>
      </c>
      <c r="AP26" s="22">
        <v>80</v>
      </c>
      <c r="AQ26">
        <v>7.0000000000000007E-2</v>
      </c>
    </row>
    <row r="27" spans="1:46" x14ac:dyDescent="0.25">
      <c r="A27" t="s">
        <v>193</v>
      </c>
      <c r="B27">
        <v>1</v>
      </c>
      <c r="C27" t="s">
        <v>184</v>
      </c>
      <c r="D27" t="s">
        <v>83</v>
      </c>
      <c r="J27" t="s">
        <v>17</v>
      </c>
      <c r="K27" t="s">
        <v>19</v>
      </c>
      <c r="O27" s="22">
        <v>0.23</v>
      </c>
      <c r="P27" s="22">
        <v>0.23</v>
      </c>
      <c r="Q27" s="22">
        <v>0.15</v>
      </c>
      <c r="R27" s="22">
        <v>1</v>
      </c>
      <c r="U27" s="23">
        <v>1.2</v>
      </c>
      <c r="W27" s="23">
        <v>1</v>
      </c>
      <c r="X27" s="23">
        <v>1</v>
      </c>
      <c r="Y27" s="28">
        <f t="shared" si="0"/>
        <v>1.95</v>
      </c>
      <c r="Z27" s="30">
        <v>5</v>
      </c>
      <c r="AA27" s="23">
        <v>3.89</v>
      </c>
      <c r="AB27" s="23">
        <v>300</v>
      </c>
      <c r="AC27" s="28">
        <f t="shared" si="6"/>
        <v>0.98</v>
      </c>
      <c r="AD27" s="28">
        <f t="shared" si="7"/>
        <v>2.5</v>
      </c>
      <c r="AE27" s="23">
        <v>18</v>
      </c>
      <c r="AF27" s="28">
        <f t="shared" si="4"/>
        <v>72</v>
      </c>
      <c r="AG27" s="22">
        <v>5.0000000000000001E-3</v>
      </c>
      <c r="AH27" s="22">
        <v>5.0000000000000001E-3</v>
      </c>
      <c r="AI27" s="21">
        <v>1</v>
      </c>
      <c r="AJ27" s="28">
        <f t="shared" si="8"/>
        <v>300</v>
      </c>
      <c r="AM27" s="23">
        <f>150000*AS27</f>
        <v>135000</v>
      </c>
      <c r="AN27" s="21">
        <f>4000000*AS27</f>
        <v>3600000</v>
      </c>
      <c r="AO27" s="32">
        <f t="shared" si="5"/>
        <v>7.5009138873610326E-2</v>
      </c>
      <c r="AP27" s="21">
        <v>40</v>
      </c>
      <c r="AQ27">
        <v>7.0000000000000007E-2</v>
      </c>
      <c r="AS27">
        <v>0.9</v>
      </c>
    </row>
    <row r="28" spans="1:46" x14ac:dyDescent="0.25">
      <c r="A28" t="s">
        <v>76</v>
      </c>
      <c r="B28">
        <v>1</v>
      </c>
      <c r="C28" t="s">
        <v>184</v>
      </c>
      <c r="D28" t="s">
        <v>83</v>
      </c>
      <c r="J28" t="s">
        <v>17</v>
      </c>
      <c r="K28" t="s">
        <v>19</v>
      </c>
      <c r="O28" s="22">
        <v>0.31</v>
      </c>
      <c r="P28" s="22">
        <v>0.31</v>
      </c>
      <c r="Q28" s="22">
        <v>0.2</v>
      </c>
      <c r="R28" s="22">
        <v>1</v>
      </c>
      <c r="U28" s="23">
        <v>2.2000000000000002</v>
      </c>
      <c r="W28" s="23">
        <v>2</v>
      </c>
      <c r="X28" s="30">
        <v>5</v>
      </c>
      <c r="Y28" s="28">
        <f t="shared" si="0"/>
        <v>1.95</v>
      </c>
      <c r="Z28" s="30">
        <v>11</v>
      </c>
      <c r="AA28" s="23">
        <v>3.89</v>
      </c>
      <c r="AB28" s="23">
        <v>400</v>
      </c>
      <c r="AC28" s="28">
        <f t="shared" si="6"/>
        <v>0.98</v>
      </c>
      <c r="AD28" s="28">
        <f t="shared" si="7"/>
        <v>5.5</v>
      </c>
      <c r="AE28" s="23">
        <v>18</v>
      </c>
      <c r="AF28" s="28">
        <f t="shared" si="4"/>
        <v>72</v>
      </c>
      <c r="AG28" s="22">
        <v>0.01</v>
      </c>
      <c r="AH28" s="22">
        <v>0.01</v>
      </c>
      <c r="AI28" s="31">
        <v>5</v>
      </c>
      <c r="AJ28" s="28">
        <f t="shared" si="8"/>
        <v>400</v>
      </c>
      <c r="AM28" s="21">
        <f>250000*AS28</f>
        <v>225000</v>
      </c>
      <c r="AN28" s="21">
        <f>10000000*AS28</f>
        <v>9000000</v>
      </c>
      <c r="AO28" s="32">
        <f t="shared" si="5"/>
        <v>7.2459849539607671E-2</v>
      </c>
      <c r="AP28" s="21">
        <v>50</v>
      </c>
      <c r="AQ28">
        <v>7.0000000000000007E-2</v>
      </c>
      <c r="AS28">
        <v>0.9</v>
      </c>
    </row>
    <row r="29" spans="1:46" x14ac:dyDescent="0.25">
      <c r="A29" t="s">
        <v>77</v>
      </c>
      <c r="B29">
        <v>1</v>
      </c>
      <c r="C29" t="s">
        <v>184</v>
      </c>
      <c r="D29" t="s">
        <v>83</v>
      </c>
      <c r="J29" t="s">
        <v>17</v>
      </c>
      <c r="K29" t="s">
        <v>19</v>
      </c>
      <c r="O29" s="22">
        <v>0.33</v>
      </c>
      <c r="P29" s="22">
        <v>0.33</v>
      </c>
      <c r="Q29" s="22">
        <v>0.4</v>
      </c>
      <c r="R29" s="22">
        <v>1</v>
      </c>
      <c r="U29" s="23">
        <v>2.6</v>
      </c>
      <c r="W29" s="23">
        <v>3</v>
      </c>
      <c r="X29" s="30">
        <v>6</v>
      </c>
      <c r="Y29" s="28">
        <f t="shared" si="0"/>
        <v>1.95</v>
      </c>
      <c r="Z29" s="30">
        <v>21</v>
      </c>
      <c r="AA29" s="23">
        <v>3.89</v>
      </c>
      <c r="AB29" s="23">
        <v>500</v>
      </c>
      <c r="AC29" s="28">
        <f t="shared" si="6"/>
        <v>0.98</v>
      </c>
      <c r="AD29" s="28">
        <f t="shared" si="7"/>
        <v>10.5</v>
      </c>
      <c r="AE29" s="23">
        <v>18</v>
      </c>
      <c r="AF29" s="28">
        <f t="shared" si="4"/>
        <v>72</v>
      </c>
      <c r="AG29" s="22">
        <v>0.03</v>
      </c>
      <c r="AH29" s="22">
        <v>0.03</v>
      </c>
      <c r="AI29" s="31">
        <v>10</v>
      </c>
      <c r="AJ29" s="28">
        <f t="shared" si="8"/>
        <v>500</v>
      </c>
      <c r="AM29" s="21">
        <f>350000*AS29</f>
        <v>315000</v>
      </c>
      <c r="AN29" s="21">
        <f>15000000*AS29</f>
        <v>13500000</v>
      </c>
      <c r="AO29" s="32">
        <f t="shared" si="5"/>
        <v>7.122922550001945E-2</v>
      </c>
      <c r="AP29" s="21">
        <v>60</v>
      </c>
      <c r="AQ29">
        <v>7.0000000000000007E-2</v>
      </c>
      <c r="AS29">
        <v>0.9</v>
      </c>
      <c r="AT29" t="s">
        <v>207</v>
      </c>
    </row>
    <row r="30" spans="1:46" x14ac:dyDescent="0.25">
      <c r="A30" t="s">
        <v>78</v>
      </c>
      <c r="B30">
        <v>1</v>
      </c>
      <c r="C30" t="s">
        <v>184</v>
      </c>
      <c r="D30" t="s">
        <v>83</v>
      </c>
      <c r="J30" t="s">
        <v>17</v>
      </c>
      <c r="K30" t="s">
        <v>19</v>
      </c>
      <c r="O30" s="22">
        <v>0.35</v>
      </c>
      <c r="P30" s="22">
        <v>0.35</v>
      </c>
      <c r="Q30" s="22">
        <v>0.5</v>
      </c>
      <c r="R30" s="22">
        <v>1</v>
      </c>
      <c r="U30" s="23">
        <v>2.8</v>
      </c>
      <c r="W30" s="23">
        <v>24</v>
      </c>
      <c r="X30" s="30">
        <v>24</v>
      </c>
      <c r="Y30" s="28">
        <f t="shared" si="0"/>
        <v>1.95</v>
      </c>
      <c r="Z30" s="30">
        <v>31</v>
      </c>
      <c r="AA30" s="23">
        <v>3.89</v>
      </c>
      <c r="AB30" s="23">
        <v>600</v>
      </c>
      <c r="AC30" s="28">
        <f t="shared" si="6"/>
        <v>0.98</v>
      </c>
      <c r="AD30" s="28">
        <f t="shared" si="7"/>
        <v>15.5</v>
      </c>
      <c r="AE30" s="23">
        <v>18</v>
      </c>
      <c r="AF30" s="28">
        <f t="shared" si="4"/>
        <v>72</v>
      </c>
      <c r="AG30" s="22">
        <v>0.05</v>
      </c>
      <c r="AH30" s="22">
        <v>0.05</v>
      </c>
      <c r="AI30" s="31">
        <v>15</v>
      </c>
      <c r="AJ30" s="28">
        <f t="shared" si="8"/>
        <v>600</v>
      </c>
      <c r="AM30" s="21">
        <f>450000*AS30</f>
        <v>405000</v>
      </c>
      <c r="AN30" s="21">
        <f>20000000*AS30</f>
        <v>18000000</v>
      </c>
      <c r="AO30" s="32">
        <f t="shared" si="5"/>
        <v>7.0619527184264883E-2</v>
      </c>
      <c r="AP30" s="22">
        <v>70</v>
      </c>
      <c r="AQ30">
        <v>7.0000000000000007E-2</v>
      </c>
      <c r="AS30">
        <v>0.9</v>
      </c>
    </row>
    <row r="31" spans="1:46" x14ac:dyDescent="0.25">
      <c r="A31" t="s">
        <v>192</v>
      </c>
      <c r="B31">
        <v>1</v>
      </c>
      <c r="C31" t="s">
        <v>184</v>
      </c>
      <c r="D31" t="s">
        <v>83</v>
      </c>
      <c r="J31" t="s">
        <v>17</v>
      </c>
      <c r="K31" t="s">
        <v>19</v>
      </c>
      <c r="O31" s="22">
        <v>0.42</v>
      </c>
      <c r="P31" s="22">
        <v>0.42</v>
      </c>
      <c r="Q31" s="22">
        <v>0.95</v>
      </c>
      <c r="R31" s="22">
        <v>1</v>
      </c>
      <c r="U31" s="30">
        <v>16.399999999999999</v>
      </c>
      <c r="W31" s="23">
        <v>48</v>
      </c>
      <c r="X31" s="23">
        <v>48</v>
      </c>
      <c r="Y31" s="28">
        <f t="shared" si="0"/>
        <v>1.95</v>
      </c>
      <c r="Z31" s="30">
        <v>100</v>
      </c>
      <c r="AA31" s="23">
        <v>3.89</v>
      </c>
      <c r="AB31" s="23">
        <v>2000</v>
      </c>
      <c r="AC31" s="28">
        <f t="shared" si="6"/>
        <v>0.98</v>
      </c>
      <c r="AD31" s="28">
        <f t="shared" si="7"/>
        <v>50</v>
      </c>
      <c r="AE31" s="23">
        <v>18</v>
      </c>
      <c r="AF31" s="28">
        <f t="shared" si="4"/>
        <v>72</v>
      </c>
      <c r="AG31" s="22">
        <v>0.1</v>
      </c>
      <c r="AH31" s="22">
        <v>0.2</v>
      </c>
      <c r="AI31" s="21">
        <v>20</v>
      </c>
      <c r="AJ31" s="28">
        <f t="shared" si="8"/>
        <v>2000</v>
      </c>
      <c r="AM31" s="23">
        <v>550000</v>
      </c>
      <c r="AN31" s="23">
        <f>30000000*AS31</f>
        <v>27000000</v>
      </c>
      <c r="AO31" s="32">
        <f t="shared" si="5"/>
        <v>7.0313571760871663E-2</v>
      </c>
      <c r="AP31" s="22">
        <v>80</v>
      </c>
      <c r="AQ31">
        <v>7.0000000000000007E-2</v>
      </c>
      <c r="AS31">
        <v>0.9</v>
      </c>
    </row>
    <row r="32" spans="1:46" x14ac:dyDescent="0.25">
      <c r="A32" t="s">
        <v>193</v>
      </c>
      <c r="B32">
        <v>1</v>
      </c>
      <c r="C32" t="s">
        <v>185</v>
      </c>
      <c r="D32" t="s">
        <v>84</v>
      </c>
      <c r="J32" t="s">
        <v>17</v>
      </c>
      <c r="K32" t="s">
        <v>19</v>
      </c>
      <c r="L32" t="s">
        <v>31</v>
      </c>
      <c r="O32" s="22">
        <v>0.81</v>
      </c>
      <c r="P32" s="22">
        <v>0.81</v>
      </c>
      <c r="Q32" s="22">
        <v>0.15</v>
      </c>
      <c r="R32" s="22">
        <v>1</v>
      </c>
      <c r="S32" s="30">
        <v>0.2</v>
      </c>
      <c r="T32" s="23">
        <v>-0.17</v>
      </c>
      <c r="U32" s="28">
        <f>ROUND(U27*AR32,2)</f>
        <v>1.2</v>
      </c>
      <c r="W32" s="23">
        <v>1</v>
      </c>
      <c r="X32" s="23">
        <v>1</v>
      </c>
      <c r="Y32" s="28">
        <f t="shared" si="0"/>
        <v>1.95</v>
      </c>
      <c r="Z32" s="28">
        <f>Z27*AR32</f>
        <v>5</v>
      </c>
      <c r="AA32" s="23">
        <v>3.89</v>
      </c>
      <c r="AB32" s="28">
        <f>AB27*AR32</f>
        <v>300</v>
      </c>
      <c r="AC32" s="28">
        <f t="shared" si="6"/>
        <v>0.98</v>
      </c>
      <c r="AD32" s="28">
        <f t="shared" si="7"/>
        <v>2.5</v>
      </c>
      <c r="AE32" s="23">
        <v>18</v>
      </c>
      <c r="AF32" s="28">
        <f>AE32*4</f>
        <v>72</v>
      </c>
      <c r="AG32" s="22">
        <v>5.0000000000000001E-3</v>
      </c>
      <c r="AH32" s="22">
        <v>5.0000000000000001E-3</v>
      </c>
      <c r="AI32" s="21">
        <v>1</v>
      </c>
      <c r="AJ32" s="28">
        <f t="shared" ref="AJ32:AJ36" si="9">AB32</f>
        <v>300</v>
      </c>
      <c r="AM32" s="28">
        <f>AM27*AR32</f>
        <v>135000</v>
      </c>
      <c r="AN32" s="28">
        <f>AN27*AR32</f>
        <v>3600000</v>
      </c>
      <c r="AO32" s="32">
        <f t="shared" si="5"/>
        <v>7.5009138873610326E-2</v>
      </c>
      <c r="AP32" s="21">
        <v>40</v>
      </c>
      <c r="AQ32">
        <v>7.0000000000000007E-2</v>
      </c>
      <c r="AR32">
        <v>1</v>
      </c>
    </row>
    <row r="33" spans="1:46" x14ac:dyDescent="0.25">
      <c r="A33" t="s">
        <v>76</v>
      </c>
      <c r="B33">
        <v>1</v>
      </c>
      <c r="C33" t="s">
        <v>185</v>
      </c>
      <c r="D33" t="s">
        <v>84</v>
      </c>
      <c r="J33" t="s">
        <v>17</v>
      </c>
      <c r="K33" t="s">
        <v>19</v>
      </c>
      <c r="L33" t="s">
        <v>31</v>
      </c>
      <c r="O33" s="22">
        <v>0.86</v>
      </c>
      <c r="P33" s="22">
        <v>0.86</v>
      </c>
      <c r="Q33" s="22">
        <v>0.2</v>
      </c>
      <c r="R33" s="22">
        <v>1</v>
      </c>
      <c r="S33" s="30">
        <v>0.3</v>
      </c>
      <c r="T33" s="30">
        <v>-0.16</v>
      </c>
      <c r="U33" s="28">
        <f>ROUND(U28*AR33,2)</f>
        <v>2.33</v>
      </c>
      <c r="W33" s="23">
        <v>2</v>
      </c>
      <c r="X33" s="30">
        <v>5</v>
      </c>
      <c r="Y33" s="28">
        <f t="shared" si="0"/>
        <v>1.95</v>
      </c>
      <c r="Z33" s="28">
        <f>Z28*AR33</f>
        <v>11.66</v>
      </c>
      <c r="AA33" s="23">
        <v>3.89</v>
      </c>
      <c r="AB33" s="28">
        <f>AB28*AR33</f>
        <v>424</v>
      </c>
      <c r="AC33" s="28">
        <f t="shared" si="6"/>
        <v>0.98</v>
      </c>
      <c r="AD33" s="28">
        <f t="shared" si="7"/>
        <v>5.83</v>
      </c>
      <c r="AE33" s="23">
        <v>18</v>
      </c>
      <c r="AF33" s="28">
        <f t="shared" si="4"/>
        <v>72</v>
      </c>
      <c r="AG33" s="22">
        <v>0.01</v>
      </c>
      <c r="AH33" s="22">
        <v>0.01</v>
      </c>
      <c r="AI33" s="31">
        <v>5</v>
      </c>
      <c r="AJ33" s="28">
        <f t="shared" si="9"/>
        <v>424</v>
      </c>
      <c r="AM33" s="28">
        <f>AM28*AR33</f>
        <v>238500</v>
      </c>
      <c r="AN33" s="28">
        <f>AN28*AR33</f>
        <v>9540000</v>
      </c>
      <c r="AO33" s="32">
        <f t="shared" si="5"/>
        <v>7.2459849539607671E-2</v>
      </c>
      <c r="AP33" s="21">
        <v>50</v>
      </c>
      <c r="AQ33">
        <v>7.0000000000000007E-2</v>
      </c>
      <c r="AR33">
        <v>1.06</v>
      </c>
    </row>
    <row r="34" spans="1:46" x14ac:dyDescent="0.25">
      <c r="A34" t="s">
        <v>77</v>
      </c>
      <c r="B34">
        <v>1</v>
      </c>
      <c r="C34" t="s">
        <v>185</v>
      </c>
      <c r="D34" t="s">
        <v>84</v>
      </c>
      <c r="J34" t="s">
        <v>17</v>
      </c>
      <c r="K34" t="s">
        <v>19</v>
      </c>
      <c r="L34" t="s">
        <v>31</v>
      </c>
      <c r="O34" s="22">
        <v>0.9</v>
      </c>
      <c r="P34" s="22">
        <v>0.9</v>
      </c>
      <c r="Q34" s="22">
        <v>0.4</v>
      </c>
      <c r="R34" s="22">
        <v>1</v>
      </c>
      <c r="S34" s="30">
        <v>0.4</v>
      </c>
      <c r="T34" s="30">
        <v>-0.15</v>
      </c>
      <c r="U34" s="28">
        <f>ROUND(U29*AR34,2)</f>
        <v>2.89</v>
      </c>
      <c r="W34" s="23">
        <v>3</v>
      </c>
      <c r="X34" s="30">
        <v>6</v>
      </c>
      <c r="Y34" s="28">
        <f t="shared" si="0"/>
        <v>1.95</v>
      </c>
      <c r="Z34" s="28">
        <f>Z29*AR34</f>
        <v>23.310000000000002</v>
      </c>
      <c r="AA34" s="23">
        <v>3.89</v>
      </c>
      <c r="AB34" s="28">
        <f>AB29*AR34</f>
        <v>555</v>
      </c>
      <c r="AC34" s="28">
        <f t="shared" si="6"/>
        <v>0.98</v>
      </c>
      <c r="AD34" s="28">
        <f t="shared" si="7"/>
        <v>11.66</v>
      </c>
      <c r="AE34" s="23">
        <v>18</v>
      </c>
      <c r="AF34" s="28">
        <f t="shared" si="4"/>
        <v>72</v>
      </c>
      <c r="AG34" s="22">
        <v>0.03</v>
      </c>
      <c r="AH34" s="22">
        <v>0.03</v>
      </c>
      <c r="AI34" s="31">
        <v>10</v>
      </c>
      <c r="AJ34" s="28">
        <f t="shared" si="9"/>
        <v>555</v>
      </c>
      <c r="AM34" s="28">
        <f>AM29*AR34</f>
        <v>349650.00000000006</v>
      </c>
      <c r="AN34" s="28">
        <f>AN29*AR34</f>
        <v>14985000.000000002</v>
      </c>
      <c r="AO34" s="32">
        <f t="shared" si="5"/>
        <v>7.122922550001945E-2</v>
      </c>
      <c r="AP34" s="21">
        <v>60</v>
      </c>
      <c r="AQ34">
        <v>7.0000000000000007E-2</v>
      </c>
      <c r="AR34">
        <v>1.1100000000000001</v>
      </c>
      <c r="AT34" t="s">
        <v>204</v>
      </c>
    </row>
    <row r="35" spans="1:46" x14ac:dyDescent="0.25">
      <c r="A35" t="s">
        <v>78</v>
      </c>
      <c r="B35">
        <v>1</v>
      </c>
      <c r="C35" t="s">
        <v>185</v>
      </c>
      <c r="D35" t="s">
        <v>84</v>
      </c>
      <c r="J35" t="s">
        <v>17</v>
      </c>
      <c r="K35" t="s">
        <v>19</v>
      </c>
      <c r="L35" t="s">
        <v>31</v>
      </c>
      <c r="O35" s="22">
        <v>0.93</v>
      </c>
      <c r="P35" s="22">
        <v>0.93</v>
      </c>
      <c r="Q35" s="22">
        <v>0.5</v>
      </c>
      <c r="R35" s="22">
        <v>1</v>
      </c>
      <c r="S35" s="30">
        <v>0.5</v>
      </c>
      <c r="T35" s="30">
        <v>-0.14000000000000001</v>
      </c>
      <c r="U35" s="28">
        <f>ROUND(U30*AR35,2)</f>
        <v>3.22</v>
      </c>
      <c r="W35" s="23">
        <v>24</v>
      </c>
      <c r="X35" s="30">
        <v>24</v>
      </c>
      <c r="Y35" s="28">
        <f t="shared" si="0"/>
        <v>1.95</v>
      </c>
      <c r="Z35" s="28">
        <f>Z30*AR35</f>
        <v>35.65</v>
      </c>
      <c r="AA35" s="23">
        <v>3.89</v>
      </c>
      <c r="AB35" s="28">
        <f>AB30*AR35</f>
        <v>690</v>
      </c>
      <c r="AC35" s="28">
        <f t="shared" si="6"/>
        <v>0.98</v>
      </c>
      <c r="AD35" s="28">
        <f t="shared" si="7"/>
        <v>17.829999999999998</v>
      </c>
      <c r="AE35" s="23">
        <v>18</v>
      </c>
      <c r="AF35" s="28">
        <f t="shared" si="4"/>
        <v>72</v>
      </c>
      <c r="AG35" s="22">
        <v>0.05</v>
      </c>
      <c r="AH35" s="22">
        <v>0.05</v>
      </c>
      <c r="AI35" s="31">
        <v>15</v>
      </c>
      <c r="AJ35" s="28">
        <f t="shared" si="9"/>
        <v>690</v>
      </c>
      <c r="AM35" s="28">
        <f>AM30*AR35</f>
        <v>465749.99999999994</v>
      </c>
      <c r="AN35" s="28">
        <f>AN30*AR35</f>
        <v>20700000</v>
      </c>
      <c r="AO35" s="32">
        <f t="shared" si="5"/>
        <v>7.0619527184264883E-2</v>
      </c>
      <c r="AP35" s="22">
        <v>70</v>
      </c>
      <c r="AQ35">
        <v>7.0000000000000007E-2</v>
      </c>
      <c r="AR35">
        <v>1.1499999999999999</v>
      </c>
    </row>
    <row r="36" spans="1:46" x14ac:dyDescent="0.25">
      <c r="A36" t="s">
        <v>192</v>
      </c>
      <c r="B36">
        <v>1</v>
      </c>
      <c r="C36" t="s">
        <v>185</v>
      </c>
      <c r="D36" t="s">
        <v>84</v>
      </c>
      <c r="J36" t="s">
        <v>17</v>
      </c>
      <c r="K36" t="s">
        <v>19</v>
      </c>
      <c r="L36" t="s">
        <v>31</v>
      </c>
      <c r="O36" s="22">
        <v>0.94</v>
      </c>
      <c r="P36" s="22">
        <v>0.94</v>
      </c>
      <c r="Q36" s="22">
        <v>0.95</v>
      </c>
      <c r="R36" s="22">
        <v>1</v>
      </c>
      <c r="S36" s="30">
        <v>0.6</v>
      </c>
      <c r="T36" s="30">
        <v>-0.13</v>
      </c>
      <c r="U36" s="28">
        <f>ROUND(U31*AR36,2)</f>
        <v>20.010000000000002</v>
      </c>
      <c r="W36" s="23">
        <v>48</v>
      </c>
      <c r="X36" s="23">
        <v>48</v>
      </c>
      <c r="Y36" s="28">
        <f t="shared" si="0"/>
        <v>1.95</v>
      </c>
      <c r="Z36" s="28">
        <f>Z31*AR36</f>
        <v>122</v>
      </c>
      <c r="AA36" s="23">
        <v>3.89</v>
      </c>
      <c r="AB36" s="28">
        <f>AB31*AR36</f>
        <v>2440</v>
      </c>
      <c r="AC36" s="28">
        <f t="shared" si="6"/>
        <v>0.98</v>
      </c>
      <c r="AD36" s="28">
        <f t="shared" si="7"/>
        <v>61</v>
      </c>
      <c r="AE36" s="23">
        <v>18</v>
      </c>
      <c r="AF36" s="28">
        <f t="shared" si="4"/>
        <v>72</v>
      </c>
      <c r="AG36" s="22">
        <v>0.1</v>
      </c>
      <c r="AH36" s="22">
        <v>0.2</v>
      </c>
      <c r="AI36" s="21">
        <v>20</v>
      </c>
      <c r="AJ36" s="28">
        <f t="shared" si="9"/>
        <v>2440</v>
      </c>
      <c r="AM36" s="28">
        <f>AM31*AR36</f>
        <v>671000</v>
      </c>
      <c r="AN36" s="28">
        <f>AN31*AR36</f>
        <v>32940000</v>
      </c>
      <c r="AO36" s="32">
        <f t="shared" si="5"/>
        <v>7.0313571760871663E-2</v>
      </c>
      <c r="AP36" s="22">
        <v>80</v>
      </c>
      <c r="AQ36">
        <v>7.0000000000000007E-2</v>
      </c>
      <c r="AR36">
        <v>1.22</v>
      </c>
    </row>
    <row r="37" spans="1:46" x14ac:dyDescent="0.25">
      <c r="A37" t="s">
        <v>193</v>
      </c>
      <c r="B37">
        <v>1</v>
      </c>
      <c r="C37" t="s">
        <v>186</v>
      </c>
      <c r="D37" t="s">
        <v>187</v>
      </c>
      <c r="J37" t="s">
        <v>17</v>
      </c>
      <c r="K37" t="s">
        <v>31</v>
      </c>
      <c r="O37" s="22">
        <v>0.81</v>
      </c>
      <c r="P37" s="22">
        <v>0.81</v>
      </c>
      <c r="Q37" s="22">
        <v>0.15</v>
      </c>
      <c r="R37" s="22">
        <v>1</v>
      </c>
      <c r="U37" s="23">
        <v>0</v>
      </c>
      <c r="W37" s="23">
        <v>1</v>
      </c>
      <c r="X37" s="23">
        <v>1</v>
      </c>
      <c r="Y37" s="28">
        <f t="shared" si="0"/>
        <v>1.95</v>
      </c>
      <c r="Z37" s="30">
        <v>1</v>
      </c>
      <c r="AA37" s="23">
        <v>3.89</v>
      </c>
      <c r="AB37" s="23">
        <v>50</v>
      </c>
      <c r="AC37" s="28">
        <f t="shared" si="6"/>
        <v>0.98</v>
      </c>
      <c r="AD37" s="28">
        <f t="shared" si="7"/>
        <v>0.5</v>
      </c>
      <c r="AE37" s="23">
        <v>18</v>
      </c>
      <c r="AF37" s="28">
        <f t="shared" si="4"/>
        <v>72</v>
      </c>
      <c r="AG37" s="22">
        <v>5.0000000000000001E-3</v>
      </c>
      <c r="AH37" s="22">
        <v>5.0000000000000001E-3</v>
      </c>
      <c r="AI37" s="22">
        <v>1</v>
      </c>
      <c r="AJ37" s="28">
        <f t="shared" ref="AJ37:AJ41" si="10">AB37</f>
        <v>50</v>
      </c>
      <c r="AM37" s="23">
        <v>7320</v>
      </c>
      <c r="AN37" s="23">
        <v>244000</v>
      </c>
      <c r="AO37" s="32">
        <f t="shared" si="5"/>
        <v>7.5009138873610326E-2</v>
      </c>
      <c r="AP37" s="21">
        <v>40</v>
      </c>
      <c r="AQ37">
        <v>7.0000000000000007E-2</v>
      </c>
    </row>
    <row r="38" spans="1:46" x14ac:dyDescent="0.25">
      <c r="A38" t="s">
        <v>76</v>
      </c>
      <c r="B38">
        <v>1</v>
      </c>
      <c r="C38" t="s">
        <v>186</v>
      </c>
      <c r="D38" t="s">
        <v>187</v>
      </c>
      <c r="J38" t="s">
        <v>17</v>
      </c>
      <c r="K38" t="s">
        <v>31</v>
      </c>
      <c r="O38" s="22">
        <v>0.88</v>
      </c>
      <c r="P38" s="22">
        <v>0.88</v>
      </c>
      <c r="Q38" s="22">
        <v>0.2</v>
      </c>
      <c r="R38" s="22">
        <v>1</v>
      </c>
      <c r="U38" s="23">
        <v>0.5</v>
      </c>
      <c r="W38" s="23">
        <v>2</v>
      </c>
      <c r="X38" s="30">
        <v>5</v>
      </c>
      <c r="Y38" s="28">
        <f t="shared" si="0"/>
        <v>1.95</v>
      </c>
      <c r="Z38" s="30">
        <v>5</v>
      </c>
      <c r="AA38" s="23">
        <v>3.89</v>
      </c>
      <c r="AB38" s="23">
        <v>150</v>
      </c>
      <c r="AC38" s="28">
        <f t="shared" si="6"/>
        <v>0.98</v>
      </c>
      <c r="AD38" s="28">
        <f t="shared" si="7"/>
        <v>2.5</v>
      </c>
      <c r="AE38" s="23">
        <v>18</v>
      </c>
      <c r="AF38" s="28">
        <f t="shared" si="4"/>
        <v>72</v>
      </c>
      <c r="AG38" s="22">
        <v>0.01</v>
      </c>
      <c r="AH38" s="22">
        <v>0.01</v>
      </c>
      <c r="AI38" s="31">
        <v>10</v>
      </c>
      <c r="AJ38" s="28">
        <f t="shared" si="10"/>
        <v>150</v>
      </c>
      <c r="AM38" s="23">
        <v>27000</v>
      </c>
      <c r="AN38" s="23">
        <v>489000</v>
      </c>
      <c r="AO38" s="32">
        <f t="shared" si="5"/>
        <v>7.2459849539607671E-2</v>
      </c>
      <c r="AP38" s="21">
        <v>50</v>
      </c>
      <c r="AQ38">
        <v>7.0000000000000007E-2</v>
      </c>
    </row>
    <row r="39" spans="1:46" x14ac:dyDescent="0.25">
      <c r="A39" t="s">
        <v>77</v>
      </c>
      <c r="B39">
        <v>1</v>
      </c>
      <c r="C39" t="s">
        <v>186</v>
      </c>
      <c r="D39" t="s">
        <v>187</v>
      </c>
      <c r="J39" t="s">
        <v>17</v>
      </c>
      <c r="K39" t="s">
        <v>31</v>
      </c>
      <c r="O39" s="22">
        <v>0.92</v>
      </c>
      <c r="P39" s="22">
        <v>0.92</v>
      </c>
      <c r="Q39" s="22">
        <v>0.4</v>
      </c>
      <c r="R39" s="22">
        <v>1</v>
      </c>
      <c r="U39" s="23">
        <v>1</v>
      </c>
      <c r="W39" s="23">
        <v>3</v>
      </c>
      <c r="X39" s="30">
        <v>6</v>
      </c>
      <c r="Y39" s="28">
        <f t="shared" si="0"/>
        <v>1.95</v>
      </c>
      <c r="Z39" s="30">
        <v>11</v>
      </c>
      <c r="AA39" s="23">
        <v>3.89</v>
      </c>
      <c r="AB39" s="23">
        <v>250</v>
      </c>
      <c r="AC39" s="28">
        <f t="shared" si="6"/>
        <v>0.98</v>
      </c>
      <c r="AD39" s="28">
        <f t="shared" si="7"/>
        <v>5.5</v>
      </c>
      <c r="AE39" s="23">
        <v>18</v>
      </c>
      <c r="AF39" s="28">
        <f t="shared" si="4"/>
        <v>72</v>
      </c>
      <c r="AG39" s="22">
        <v>0.03</v>
      </c>
      <c r="AH39" s="22">
        <v>0.03</v>
      </c>
      <c r="AI39" s="31">
        <v>25</v>
      </c>
      <c r="AJ39" s="28">
        <f t="shared" si="10"/>
        <v>250</v>
      </c>
      <c r="AM39" s="23">
        <v>33000</v>
      </c>
      <c r="AN39" s="23">
        <v>978000</v>
      </c>
      <c r="AO39" s="32">
        <f t="shared" si="5"/>
        <v>7.122922550001945E-2</v>
      </c>
      <c r="AP39" s="21">
        <v>60</v>
      </c>
      <c r="AQ39">
        <v>7.0000000000000007E-2</v>
      </c>
      <c r="AT39" t="s">
        <v>207</v>
      </c>
    </row>
    <row r="40" spans="1:46" x14ac:dyDescent="0.25">
      <c r="A40" t="s">
        <v>78</v>
      </c>
      <c r="B40">
        <v>1</v>
      </c>
      <c r="C40" t="s">
        <v>186</v>
      </c>
      <c r="D40" t="s">
        <v>187</v>
      </c>
      <c r="J40" t="s">
        <v>17</v>
      </c>
      <c r="K40" t="s">
        <v>31</v>
      </c>
      <c r="O40" s="22">
        <v>0.94</v>
      </c>
      <c r="P40" s="22">
        <v>0.94</v>
      </c>
      <c r="Q40" s="22">
        <v>0.5</v>
      </c>
      <c r="R40" s="22">
        <v>1</v>
      </c>
      <c r="U40" s="23">
        <v>2</v>
      </c>
      <c r="W40" s="23">
        <v>24</v>
      </c>
      <c r="X40" s="30">
        <v>24</v>
      </c>
      <c r="Y40" s="28">
        <f t="shared" si="0"/>
        <v>1.95</v>
      </c>
      <c r="Z40" s="30">
        <v>21</v>
      </c>
      <c r="AA40" s="23">
        <v>3.89</v>
      </c>
      <c r="AB40" s="23">
        <v>350</v>
      </c>
      <c r="AC40" s="28">
        <f t="shared" si="6"/>
        <v>0.98</v>
      </c>
      <c r="AD40" s="28">
        <f t="shared" si="7"/>
        <v>10.5</v>
      </c>
      <c r="AE40" s="23">
        <v>18</v>
      </c>
      <c r="AF40" s="28">
        <f t="shared" si="4"/>
        <v>72</v>
      </c>
      <c r="AG40" s="22">
        <v>0.05</v>
      </c>
      <c r="AH40" s="22">
        <v>0.05</v>
      </c>
      <c r="AI40" s="31">
        <v>40</v>
      </c>
      <c r="AJ40" s="28">
        <f t="shared" si="10"/>
        <v>350</v>
      </c>
      <c r="AM40" s="23">
        <v>40000</v>
      </c>
      <c r="AN40" s="23">
        <v>1466000</v>
      </c>
      <c r="AO40" s="32">
        <f t="shared" si="5"/>
        <v>7.0619527184264883E-2</v>
      </c>
      <c r="AP40" s="22">
        <v>70</v>
      </c>
      <c r="AQ40">
        <v>7.0000000000000007E-2</v>
      </c>
    </row>
    <row r="41" spans="1:46" x14ac:dyDescent="0.25">
      <c r="A41" t="s">
        <v>192</v>
      </c>
      <c r="B41">
        <v>1</v>
      </c>
      <c r="C41" t="s">
        <v>186</v>
      </c>
      <c r="D41" t="s">
        <v>187</v>
      </c>
      <c r="J41" t="s">
        <v>17</v>
      </c>
      <c r="K41" t="s">
        <v>31</v>
      </c>
      <c r="O41" s="22">
        <v>0.95</v>
      </c>
      <c r="P41" s="22">
        <v>0.95</v>
      </c>
      <c r="Q41" s="22">
        <v>0.95</v>
      </c>
      <c r="R41" s="22">
        <v>1</v>
      </c>
      <c r="U41" s="30">
        <v>6.3</v>
      </c>
      <c r="W41" s="23">
        <v>48</v>
      </c>
      <c r="X41" s="23">
        <v>48</v>
      </c>
      <c r="Y41" s="28">
        <f t="shared" si="0"/>
        <v>1.95</v>
      </c>
      <c r="Z41" s="30">
        <v>50</v>
      </c>
      <c r="AA41" s="23">
        <v>3.89</v>
      </c>
      <c r="AB41" s="23">
        <v>1000</v>
      </c>
      <c r="AC41" s="28">
        <f t="shared" si="6"/>
        <v>0.98</v>
      </c>
      <c r="AD41" s="28">
        <f t="shared" si="7"/>
        <v>25</v>
      </c>
      <c r="AE41" s="23">
        <v>18</v>
      </c>
      <c r="AF41" s="28">
        <f t="shared" si="4"/>
        <v>72</v>
      </c>
      <c r="AG41" s="22">
        <v>0.1</v>
      </c>
      <c r="AH41" s="22">
        <v>0.2</v>
      </c>
      <c r="AI41" s="22">
        <v>50</v>
      </c>
      <c r="AJ41" s="28">
        <f t="shared" si="10"/>
        <v>1000</v>
      </c>
      <c r="AM41" s="23">
        <v>67500</v>
      </c>
      <c r="AN41" s="23">
        <v>2250000</v>
      </c>
      <c r="AO41" s="32">
        <f t="shared" si="5"/>
        <v>7.0313571760871663E-2</v>
      </c>
      <c r="AP41" s="22">
        <v>80</v>
      </c>
      <c r="AQ41">
        <v>7.0000000000000007E-2</v>
      </c>
    </row>
    <row r="42" spans="1:46" s="8" customFormat="1" x14ac:dyDescent="0.25">
      <c r="A42" s="9"/>
      <c r="B42" s="9"/>
      <c r="C42" s="2"/>
      <c r="D42"/>
      <c r="E42" s="2"/>
      <c r="F42" s="2"/>
      <c r="G42" s="2"/>
      <c r="H42" s="2"/>
      <c r="I42"/>
      <c r="J42" s="2"/>
      <c r="K42"/>
      <c r="L42" s="2"/>
      <c r="M42" s="2"/>
      <c r="N42" s="2"/>
      <c r="O42" s="2"/>
      <c r="P42" s="2"/>
      <c r="Q42" s="2"/>
      <c r="R42"/>
      <c r="S42"/>
      <c r="T42"/>
      <c r="U42" s="2"/>
      <c r="V42" s="2"/>
      <c r="W42" s="2"/>
      <c r="X42" s="2"/>
      <c r="Y42" s="2"/>
      <c r="Z42" s="2"/>
      <c r="AA42" s="2"/>
      <c r="AB42" s="2"/>
      <c r="AC42" s="2"/>
      <c r="AD42" s="2"/>
      <c r="AE42" s="2"/>
      <c r="AF42" s="2"/>
      <c r="AG42" s="2"/>
      <c r="AH42" s="2"/>
      <c r="AI42" s="2"/>
      <c r="AJ42" s="2"/>
      <c r="AK42" s="2"/>
      <c r="AL42" s="2"/>
      <c r="AM42" s="2"/>
      <c r="AN42" s="2"/>
      <c r="AO42" s="2"/>
      <c r="AP42" s="2"/>
      <c r="AQ42" s="2"/>
      <c r="AR42" s="2"/>
      <c r="AS42" s="2"/>
    </row>
    <row r="43" spans="1:46" s="7" customFormat="1" x14ac:dyDescent="0.25">
      <c r="A43" s="9"/>
      <c r="B43" s="9"/>
      <c r="C43" s="6"/>
      <c r="D43"/>
      <c r="E43" s="6"/>
      <c r="F43" s="6"/>
      <c r="G43" s="6"/>
      <c r="H43" s="6"/>
      <c r="I43" s="6"/>
      <c r="J43" s="6"/>
      <c r="K43" s="6"/>
      <c r="L43" s="6"/>
      <c r="M43" s="6"/>
      <c r="N43" s="6"/>
      <c r="O43" s="6"/>
      <c r="P43" s="6"/>
      <c r="Q43" s="6"/>
      <c r="R43"/>
      <c r="S43"/>
      <c r="T43"/>
      <c r="U43" s="6"/>
      <c r="V43" s="6"/>
      <c r="W43" s="6"/>
      <c r="X43" s="6"/>
      <c r="Y43" s="6"/>
      <c r="Z43" s="6"/>
      <c r="AA43" s="6"/>
      <c r="AB43" s="6"/>
      <c r="AC43" s="6"/>
      <c r="AD43" s="6"/>
      <c r="AE43" s="6"/>
      <c r="AF43" s="6"/>
      <c r="AG43" s="6"/>
      <c r="AH43" s="6"/>
      <c r="AI43" s="6"/>
      <c r="AJ43" s="6"/>
      <c r="AK43" s="6"/>
      <c r="AL43" s="6"/>
      <c r="AM43" s="6"/>
      <c r="AN43" s="6"/>
      <c r="AO43" s="6"/>
      <c r="AP43" s="6"/>
      <c r="AQ43" s="6"/>
      <c r="AR43" s="6"/>
      <c r="AS43" s="6"/>
    </row>
    <row r="44" spans="1:46" s="6" customFormat="1" x14ac:dyDescent="0.25">
      <c r="A44" s="9"/>
      <c r="B44" s="9"/>
      <c r="D44"/>
      <c r="R44"/>
      <c r="S44"/>
      <c r="T44"/>
    </row>
    <row r="45" spans="1:46" s="7" customFormat="1" x14ac:dyDescent="0.25">
      <c r="A45" s="9"/>
      <c r="B45" s="9"/>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row>
    <row r="46" spans="1:46" s="7" customFormat="1" x14ac:dyDescent="0.25">
      <c r="A46" s="9"/>
      <c r="B46" s="9"/>
      <c r="C46" s="2"/>
      <c r="D46"/>
      <c r="E46" s="2"/>
      <c r="F46" s="2"/>
      <c r="G46" s="2"/>
      <c r="H46" s="2"/>
      <c r="I46" s="2"/>
      <c r="J46" s="2"/>
      <c r="K46"/>
      <c r="L46" s="2"/>
      <c r="M46" s="2"/>
      <c r="N46" s="2"/>
      <c r="O46" s="2"/>
      <c r="P46" s="2"/>
      <c r="Q46" s="2"/>
      <c r="R46"/>
      <c r="S46"/>
      <c r="T46"/>
      <c r="U46" s="2"/>
      <c r="V46" s="2"/>
      <c r="W46" s="2"/>
      <c r="X46" s="2"/>
      <c r="Y46" s="2"/>
      <c r="Z46" s="2"/>
      <c r="AA46" s="2"/>
      <c r="AB46" s="2"/>
      <c r="AC46" s="2"/>
      <c r="AD46" s="2"/>
      <c r="AE46" s="2"/>
      <c r="AF46" s="2"/>
      <c r="AG46" s="2"/>
      <c r="AH46" s="2"/>
      <c r="AI46" s="2"/>
      <c r="AJ46" s="2"/>
      <c r="AK46" s="2"/>
      <c r="AL46" s="2"/>
      <c r="AM46" s="2"/>
      <c r="AN46" s="2"/>
      <c r="AO46" s="2"/>
      <c r="AP46" s="2"/>
      <c r="AQ46" s="2"/>
      <c r="AR46" s="2"/>
      <c r="AS46" s="2"/>
    </row>
    <row r="47" spans="1:46" x14ac:dyDescent="0.25">
      <c r="A47" s="9"/>
      <c r="B47" s="9"/>
      <c r="C47" s="2"/>
      <c r="E47" s="2"/>
      <c r="F47" s="2"/>
      <c r="G47" s="2"/>
      <c r="H47" s="2"/>
      <c r="J47" s="2"/>
      <c r="L47" s="2"/>
      <c r="M47" s="2"/>
      <c r="N47" s="2"/>
      <c r="O47" s="2"/>
      <c r="P47" s="2"/>
      <c r="Q47" s="2"/>
      <c r="U47" s="2"/>
      <c r="V47" s="2"/>
      <c r="W47" s="2"/>
      <c r="X47" s="2"/>
      <c r="Y47" s="2"/>
      <c r="Z47" s="2"/>
      <c r="AA47" s="2"/>
      <c r="AB47" s="2"/>
      <c r="AC47" s="2"/>
      <c r="AD47" s="2"/>
      <c r="AE47" s="2"/>
      <c r="AF47" s="2"/>
      <c r="AG47" s="2"/>
      <c r="AH47" s="2"/>
      <c r="AI47" s="2"/>
      <c r="AJ47" s="2"/>
      <c r="AK47" s="2"/>
      <c r="AL47" s="2"/>
      <c r="AM47" s="2"/>
      <c r="AN47" s="2"/>
      <c r="AO47" s="2"/>
      <c r="AP47" s="2"/>
      <c r="AQ47" s="2"/>
      <c r="AR47" s="2"/>
      <c r="AS47" s="2"/>
    </row>
    <row r="48" spans="1:46" x14ac:dyDescent="0.25">
      <c r="A48" s="9"/>
      <c r="B48" s="9"/>
      <c r="C48" s="2"/>
      <c r="E48" s="2"/>
      <c r="F48" s="2"/>
      <c r="G48" s="2"/>
      <c r="H48" s="2"/>
      <c r="I48" s="2"/>
      <c r="J48" s="2"/>
      <c r="K48" s="2"/>
      <c r="L48" s="2"/>
      <c r="M48" s="2"/>
      <c r="N48" s="2"/>
      <c r="O48" s="2"/>
      <c r="P48" s="2"/>
      <c r="Q48" s="2"/>
      <c r="U48" s="2"/>
      <c r="V48" s="2"/>
      <c r="W48" s="2"/>
      <c r="X48" s="2"/>
      <c r="Y48" s="2"/>
      <c r="Z48" s="2"/>
      <c r="AA48" s="2"/>
      <c r="AB48" s="2"/>
      <c r="AC48" s="2"/>
      <c r="AD48" s="2"/>
      <c r="AE48" s="2"/>
      <c r="AF48" s="2"/>
      <c r="AG48" s="2"/>
      <c r="AH48" s="2"/>
      <c r="AI48" s="2"/>
      <c r="AJ48" s="2"/>
      <c r="AK48" s="2"/>
      <c r="AL48" s="2"/>
      <c r="AM48" s="2"/>
      <c r="AN48" s="2"/>
      <c r="AO48" s="2"/>
      <c r="AP48" s="2"/>
      <c r="AQ48" s="2"/>
      <c r="AR48" s="2"/>
      <c r="AS48" s="2"/>
    </row>
    <row r="49" spans="1:45" x14ac:dyDescent="0.25">
      <c r="A49" s="9"/>
      <c r="B49" s="9"/>
      <c r="C49" s="2"/>
      <c r="E49" s="2"/>
      <c r="F49" s="2"/>
      <c r="G49" s="2"/>
      <c r="H49" s="2"/>
      <c r="I49" s="2"/>
      <c r="J49" s="2"/>
      <c r="K49" s="2"/>
      <c r="L49" s="2"/>
      <c r="M49" s="2"/>
      <c r="N49" s="2"/>
      <c r="O49" s="2"/>
      <c r="P49" s="2"/>
      <c r="Q49" s="2"/>
      <c r="U49" s="2"/>
      <c r="V49" s="2"/>
      <c r="W49" s="2"/>
      <c r="X49" s="2"/>
      <c r="Y49" s="2"/>
      <c r="Z49" s="2"/>
      <c r="AA49" s="2"/>
      <c r="AB49" s="2"/>
      <c r="AC49" s="2"/>
      <c r="AD49" s="2"/>
      <c r="AE49" s="2"/>
      <c r="AF49" s="2"/>
      <c r="AG49" s="2"/>
      <c r="AH49" s="2"/>
      <c r="AI49" s="2"/>
      <c r="AJ49" s="2"/>
      <c r="AK49" s="2"/>
      <c r="AL49" s="2"/>
      <c r="AM49" s="2"/>
      <c r="AN49" s="2"/>
      <c r="AO49" s="2"/>
      <c r="AP49" s="2"/>
      <c r="AQ49" s="2"/>
      <c r="AR49" s="2"/>
      <c r="AS49" s="2"/>
    </row>
    <row r="50" spans="1:45" x14ac:dyDescent="0.25">
      <c r="A50" s="9"/>
      <c r="B50" s="9"/>
      <c r="C50" s="2"/>
      <c r="E50" s="2"/>
      <c r="G50" s="2"/>
      <c r="H50" s="2"/>
      <c r="I50" s="2"/>
      <c r="J50" s="2"/>
      <c r="K50" s="2"/>
      <c r="L50" s="2"/>
      <c r="M50" s="2"/>
      <c r="N50" s="2"/>
      <c r="O50" s="2"/>
      <c r="P50" s="2"/>
      <c r="Q50" s="2"/>
      <c r="U50" s="2"/>
      <c r="V50" s="2"/>
      <c r="W50" s="2"/>
      <c r="X50" s="2"/>
      <c r="Y50" s="2"/>
      <c r="Z50" s="2"/>
      <c r="AA50" s="2"/>
      <c r="AB50" s="2"/>
      <c r="AC50" s="2"/>
      <c r="AD50" s="2"/>
      <c r="AE50" s="2"/>
      <c r="AF50" s="2"/>
      <c r="AG50" s="2"/>
      <c r="AH50" s="2"/>
      <c r="AI50" s="2"/>
      <c r="AJ50" s="2"/>
      <c r="AK50" s="2"/>
      <c r="AL50" s="2"/>
      <c r="AM50" s="2"/>
      <c r="AN50" s="2"/>
      <c r="AO50" s="2"/>
      <c r="AP50" s="2"/>
      <c r="AQ50" s="2"/>
      <c r="AR50" s="2"/>
      <c r="AS50" s="2"/>
    </row>
    <row r="51" spans="1:45" x14ac:dyDescent="0.25">
      <c r="A51" s="9"/>
      <c r="B51" s="9"/>
      <c r="C51" s="3"/>
      <c r="E51" s="5"/>
      <c r="F51" s="5"/>
      <c r="G51" s="5"/>
      <c r="H51" s="5"/>
      <c r="J51" s="5"/>
      <c r="L51" s="5"/>
      <c r="M51" s="5"/>
      <c r="N51" s="5"/>
      <c r="O51" s="3"/>
      <c r="P51" s="3"/>
      <c r="Q51" s="3"/>
      <c r="U51" s="3"/>
      <c r="V51" s="3"/>
      <c r="W51" s="3"/>
      <c r="X51" s="3"/>
      <c r="Y51" s="3"/>
      <c r="Z51" s="3"/>
      <c r="AA51" s="3"/>
      <c r="AB51" s="3"/>
      <c r="AC51" s="3"/>
      <c r="AD51" s="3"/>
      <c r="AE51" s="3"/>
      <c r="AF51" s="3"/>
      <c r="AG51" s="3"/>
      <c r="AH51" s="3"/>
      <c r="AI51" s="3"/>
      <c r="AJ51" s="3"/>
      <c r="AL51" s="2"/>
      <c r="AM51" s="2"/>
      <c r="AN51" s="2"/>
      <c r="AO51" s="2"/>
      <c r="AP51" s="2"/>
      <c r="AQ51" s="2"/>
      <c r="AR51" s="2"/>
      <c r="AS51" s="2"/>
    </row>
    <row r="52" spans="1:45" x14ac:dyDescent="0.25">
      <c r="A52" s="9"/>
      <c r="B52" s="9"/>
      <c r="C52" s="3"/>
      <c r="E52" s="5"/>
      <c r="F52" s="5"/>
      <c r="G52" s="5"/>
      <c r="H52" s="5"/>
      <c r="I52" s="5"/>
      <c r="J52" s="5"/>
      <c r="L52" s="5"/>
      <c r="M52" s="5"/>
      <c r="N52" s="5"/>
      <c r="O52" s="3"/>
      <c r="P52" s="3"/>
      <c r="Q52" s="3"/>
      <c r="U52" s="3"/>
      <c r="V52" s="3"/>
      <c r="W52" s="3"/>
      <c r="X52" s="3"/>
      <c r="Y52" s="3"/>
      <c r="Z52" s="3"/>
      <c r="AA52" s="3"/>
      <c r="AB52" s="3"/>
      <c r="AC52" s="3"/>
      <c r="AD52" s="3"/>
      <c r="AE52" s="3"/>
      <c r="AF52" s="3"/>
      <c r="AG52" s="3"/>
      <c r="AH52" s="3"/>
      <c r="AI52" s="3"/>
      <c r="AJ52" s="3"/>
    </row>
    <row r="53" spans="1:45" x14ac:dyDescent="0.25">
      <c r="A53" s="9"/>
      <c r="B53" s="9"/>
      <c r="C53" s="6"/>
      <c r="E53" s="6"/>
      <c r="F53" s="6"/>
      <c r="G53" s="6"/>
      <c r="H53" s="6"/>
      <c r="I53" s="6"/>
      <c r="J53" s="6"/>
      <c r="K53" s="6"/>
      <c r="L53" s="6"/>
      <c r="M53" s="6"/>
      <c r="N53" s="6"/>
      <c r="O53" s="6"/>
      <c r="P53" s="6"/>
      <c r="Q53" s="6"/>
      <c r="U53" s="6"/>
      <c r="V53" s="6"/>
      <c r="W53" s="6"/>
      <c r="X53" s="6"/>
      <c r="Y53" s="6"/>
      <c r="Z53" s="6"/>
      <c r="AA53" s="6"/>
      <c r="AB53" s="6"/>
      <c r="AC53" s="6"/>
      <c r="AD53" s="6"/>
      <c r="AE53" s="6"/>
      <c r="AF53" s="6"/>
      <c r="AG53" s="6"/>
      <c r="AH53" s="6"/>
      <c r="AI53" s="6"/>
      <c r="AJ53" s="6"/>
      <c r="AK53" s="6"/>
      <c r="AL53" s="6"/>
      <c r="AM53" s="6"/>
      <c r="AN53" s="6"/>
      <c r="AO53" s="6"/>
      <c r="AP53" s="6"/>
      <c r="AQ53" s="6"/>
      <c r="AR53" s="6"/>
      <c r="AS53" s="6"/>
    </row>
    <row r="54" spans="1:45" s="2" customFormat="1" x14ac:dyDescent="0.25">
      <c r="A54" s="9"/>
      <c r="B54" s="9"/>
      <c r="C54" s="6"/>
      <c r="D54"/>
      <c r="E54" s="6"/>
      <c r="F54" s="6"/>
      <c r="G54" s="6"/>
      <c r="H54" s="6"/>
      <c r="I54" s="6"/>
      <c r="J54" s="6"/>
      <c r="K54" s="6"/>
      <c r="L54" s="6"/>
      <c r="M54" s="6"/>
      <c r="N54" s="6"/>
      <c r="O54" s="6"/>
      <c r="P54" s="6"/>
      <c r="Q54" s="6"/>
      <c r="R54"/>
      <c r="S54"/>
      <c r="T54"/>
      <c r="U54" s="6"/>
      <c r="V54" s="6"/>
      <c r="W54" s="6"/>
      <c r="X54" s="6"/>
      <c r="Y54" s="6"/>
      <c r="Z54" s="6"/>
      <c r="AA54" s="6"/>
      <c r="AB54" s="6"/>
      <c r="AC54" s="6"/>
      <c r="AD54" s="6"/>
      <c r="AE54" s="6"/>
      <c r="AF54" s="6"/>
      <c r="AG54" s="6"/>
      <c r="AH54" s="6"/>
      <c r="AI54" s="6"/>
      <c r="AJ54" s="6"/>
      <c r="AK54" s="6"/>
      <c r="AL54" s="6"/>
      <c r="AM54" s="6"/>
      <c r="AN54" s="6"/>
      <c r="AO54" s="6"/>
      <c r="AP54" s="6"/>
      <c r="AQ54" s="6"/>
      <c r="AR54" s="6"/>
      <c r="AS54" s="6"/>
    </row>
    <row r="55" spans="1:45" s="3" customFormat="1" x14ac:dyDescent="0.25">
      <c r="A55" s="9"/>
      <c r="B55" s="9"/>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row>
    <row r="56" spans="1:45" s="2" customFormat="1" x14ac:dyDescent="0.25">
      <c r="A56" s="9"/>
      <c r="B56" s="9"/>
      <c r="D56"/>
      <c r="K56"/>
      <c r="R56"/>
      <c r="S56"/>
      <c r="T56"/>
    </row>
    <row r="57" spans="1:45" s="3" customFormat="1" x14ac:dyDescent="0.25">
      <c r="A57" s="9"/>
      <c r="B57" s="9"/>
      <c r="C57" s="2"/>
      <c r="D57"/>
      <c r="E57" s="2"/>
      <c r="F57" s="2"/>
      <c r="G57" s="2"/>
      <c r="H57" s="2"/>
      <c r="I57"/>
      <c r="J57" s="2"/>
      <c r="K57"/>
      <c r="L57" s="2"/>
      <c r="M57" s="2"/>
      <c r="N57" s="2"/>
      <c r="O57" s="2"/>
      <c r="P57" s="2"/>
      <c r="Q57" s="2"/>
      <c r="R57"/>
      <c r="S57"/>
      <c r="T57"/>
      <c r="U57" s="2"/>
      <c r="V57" s="2"/>
      <c r="W57" s="2"/>
      <c r="X57" s="2"/>
      <c r="Y57" s="2"/>
      <c r="Z57" s="2"/>
      <c r="AA57" s="2"/>
      <c r="AB57" s="2"/>
      <c r="AC57" s="2"/>
      <c r="AD57" s="2"/>
      <c r="AE57" s="2"/>
      <c r="AF57" s="2"/>
      <c r="AG57" s="2"/>
      <c r="AH57" s="2"/>
      <c r="AI57" s="2"/>
      <c r="AJ57" s="2"/>
      <c r="AK57" s="2"/>
      <c r="AL57" s="2"/>
      <c r="AM57" s="2"/>
      <c r="AN57" s="2"/>
      <c r="AO57" s="2"/>
      <c r="AP57" s="2"/>
      <c r="AQ57" s="2"/>
      <c r="AR57" s="2"/>
      <c r="AS57" s="2"/>
    </row>
    <row r="58" spans="1:45" x14ac:dyDescent="0.25">
      <c r="A58" s="9"/>
      <c r="B58" s="9"/>
    </row>
    <row r="59" spans="1:45" x14ac:dyDescent="0.25">
      <c r="A59" s="9"/>
      <c r="B59" s="9"/>
      <c r="C59" s="2"/>
      <c r="E59" s="2"/>
      <c r="F59" s="2"/>
      <c r="G59" s="2"/>
      <c r="H59" s="2"/>
      <c r="I59" s="17"/>
      <c r="J59" s="2"/>
      <c r="L59" s="2"/>
      <c r="M59" s="2"/>
      <c r="N59" s="2"/>
      <c r="O59" s="2"/>
      <c r="P59" s="2"/>
      <c r="Q59" s="2"/>
      <c r="U59" s="2"/>
      <c r="V59" s="2"/>
      <c r="W59" s="2"/>
      <c r="X59" s="2"/>
      <c r="Y59" s="2"/>
      <c r="Z59" s="2"/>
      <c r="AA59" s="2"/>
      <c r="AB59" s="2"/>
      <c r="AC59" s="2"/>
      <c r="AD59" s="2"/>
      <c r="AE59" s="2"/>
      <c r="AF59" s="2"/>
      <c r="AG59" s="2"/>
      <c r="AH59" s="2"/>
      <c r="AI59" s="2"/>
      <c r="AJ59" s="2"/>
      <c r="AK59" s="2"/>
      <c r="AL59" s="2"/>
      <c r="AM59" s="2"/>
      <c r="AN59" s="2"/>
      <c r="AO59" s="2"/>
      <c r="AP59" s="2"/>
      <c r="AQ59" s="2"/>
      <c r="AR59" s="2"/>
      <c r="AS59" s="2"/>
    </row>
    <row r="60" spans="1:45" s="3" customFormat="1" x14ac:dyDescent="0.25">
      <c r="A60" s="9"/>
      <c r="B60" s="9"/>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row>
    <row r="61" spans="1:45" s="3" customFormat="1" x14ac:dyDescent="0.25">
      <c r="A61" s="9"/>
      <c r="B61" s="9"/>
      <c r="C61" s="2"/>
      <c r="D61"/>
      <c r="E61" s="2"/>
      <c r="F61" s="2"/>
      <c r="G61" s="2"/>
      <c r="H61" s="2"/>
      <c r="I61" s="17"/>
      <c r="J61" s="2"/>
      <c r="K61"/>
      <c r="L61" s="2"/>
      <c r="M61" s="2"/>
      <c r="N61" s="2"/>
      <c r="O61" s="2"/>
      <c r="P61" s="2"/>
      <c r="Q61" s="2"/>
      <c r="R61"/>
      <c r="S61"/>
      <c r="T61"/>
      <c r="U61" s="2"/>
      <c r="V61" s="2"/>
      <c r="W61" s="2"/>
      <c r="X61" s="2"/>
      <c r="Y61" s="2"/>
      <c r="Z61" s="2"/>
      <c r="AA61" s="2"/>
      <c r="AB61" s="2"/>
      <c r="AC61" s="2"/>
      <c r="AD61" s="2"/>
      <c r="AE61" s="2"/>
      <c r="AF61" s="2"/>
      <c r="AG61" s="2"/>
      <c r="AH61" s="2"/>
      <c r="AI61" s="2"/>
      <c r="AJ61" s="2"/>
      <c r="AK61" s="2"/>
      <c r="AL61" s="2"/>
      <c r="AM61" s="2"/>
      <c r="AN61" s="2"/>
      <c r="AO61" s="2"/>
      <c r="AP61" s="2"/>
      <c r="AQ61" s="2"/>
      <c r="AR61" s="2"/>
      <c r="AS61" s="2"/>
    </row>
    <row r="62" spans="1:45" s="2" customFormat="1" x14ac:dyDescent="0.25">
      <c r="A62" s="9"/>
      <c r="B62" s="9"/>
      <c r="C62" s="3"/>
      <c r="D62"/>
      <c r="E62" s="3"/>
      <c r="F62" s="3"/>
      <c r="G62" s="3"/>
      <c r="H62" s="3"/>
      <c r="I62" s="3"/>
      <c r="J62" s="3"/>
      <c r="K62" s="3"/>
      <c r="L62" s="3"/>
      <c r="M62" s="3"/>
      <c r="N62" s="3"/>
      <c r="O62" s="3"/>
      <c r="P62" s="3"/>
      <c r="Q62" s="3"/>
      <c r="R62"/>
      <c r="S62"/>
      <c r="T62"/>
      <c r="U62" s="3"/>
      <c r="V62" s="3"/>
      <c r="W62" s="3"/>
      <c r="X62" s="3"/>
      <c r="Y62" s="3"/>
      <c r="Z62" s="3"/>
      <c r="AA62" s="3"/>
      <c r="AB62" s="3"/>
      <c r="AC62" s="3"/>
      <c r="AD62" s="3"/>
      <c r="AE62" s="3"/>
      <c r="AF62" s="3"/>
      <c r="AG62" s="3"/>
      <c r="AH62" s="3"/>
      <c r="AI62" s="3"/>
      <c r="AJ62" s="3"/>
      <c r="AK62" s="4"/>
      <c r="AL62" s="3"/>
      <c r="AM62" s="3"/>
      <c r="AN62" s="3"/>
      <c r="AO62" s="3"/>
      <c r="AP62" s="3"/>
      <c r="AQ62" s="3"/>
      <c r="AR62" s="3"/>
      <c r="AS62" s="3"/>
    </row>
    <row r="63" spans="1:45" s="3" customFormat="1" x14ac:dyDescent="0.25">
      <c r="A63" s="9"/>
      <c r="B63" s="9"/>
      <c r="D63"/>
      <c r="R63"/>
      <c r="S63"/>
      <c r="T63"/>
      <c r="AK63" s="4"/>
    </row>
    <row r="64" spans="1:45" s="2" customFormat="1" x14ac:dyDescent="0.25">
      <c r="A64" s="9"/>
      <c r="B64" s="9"/>
      <c r="D64"/>
      <c r="R64"/>
      <c r="S64"/>
      <c r="T64"/>
    </row>
    <row r="65" spans="1:48" s="2" customFormat="1" x14ac:dyDescent="0.25">
      <c r="A65" s="9"/>
      <c r="B65" s="9"/>
      <c r="D65"/>
      <c r="R65"/>
      <c r="S65"/>
      <c r="T65"/>
    </row>
    <row r="66" spans="1:48" s="2" customFormat="1" x14ac:dyDescent="0.25">
      <c r="A66" s="9"/>
      <c r="B66" s="9"/>
      <c r="C66"/>
      <c r="D66"/>
      <c r="E66"/>
      <c r="F66"/>
      <c r="G66"/>
      <c r="H66"/>
      <c r="I66"/>
      <c r="J66"/>
      <c r="K66"/>
      <c r="L66"/>
      <c r="M66"/>
      <c r="N66"/>
      <c r="O66" s="1"/>
      <c r="P66" s="1"/>
      <c r="Q66"/>
      <c r="R66"/>
      <c r="S66"/>
      <c r="T66"/>
      <c r="U66" s="1"/>
      <c r="V66" s="1"/>
      <c r="W66" s="1"/>
      <c r="X66" s="1"/>
      <c r="Y66" s="1"/>
      <c r="Z66" s="1"/>
      <c r="AA66" s="1"/>
      <c r="AB66" s="1"/>
      <c r="AC66" s="1"/>
      <c r="AD66" s="1"/>
      <c r="AE66" s="1"/>
      <c r="AF66" s="1"/>
      <c r="AG66"/>
      <c r="AH66"/>
      <c r="AI66"/>
      <c r="AJ66" s="1"/>
      <c r="AK66"/>
      <c r="AL66"/>
      <c r="AM66"/>
      <c r="AN66"/>
      <c r="AO66"/>
      <c r="AP66"/>
      <c r="AQ66"/>
      <c r="AR66"/>
      <c r="AS66"/>
    </row>
    <row r="67" spans="1:48" s="3" customFormat="1" x14ac:dyDescent="0.25">
      <c r="A67" s="9"/>
      <c r="B67" s="9"/>
      <c r="C67"/>
      <c r="D67"/>
      <c r="E67"/>
      <c r="F67"/>
      <c r="G67"/>
      <c r="H67"/>
      <c r="I67"/>
      <c r="J67" s="7"/>
      <c r="K67"/>
      <c r="L67"/>
      <c r="M67"/>
      <c r="N67"/>
      <c r="O67"/>
      <c r="P67"/>
      <c r="Q67"/>
      <c r="R67"/>
      <c r="S67"/>
      <c r="T67"/>
      <c r="U67"/>
      <c r="V67"/>
      <c r="W67"/>
      <c r="X67"/>
      <c r="Y67"/>
      <c r="Z67"/>
      <c r="AA67"/>
      <c r="AB67"/>
      <c r="AC67"/>
      <c r="AD67"/>
      <c r="AE67"/>
      <c r="AF67"/>
      <c r="AG67"/>
      <c r="AH67"/>
      <c r="AI67"/>
      <c r="AJ67"/>
      <c r="AK67"/>
      <c r="AL67"/>
      <c r="AM67"/>
      <c r="AN67"/>
      <c r="AO67"/>
      <c r="AP67"/>
      <c r="AQ67"/>
      <c r="AR67"/>
      <c r="AS67"/>
    </row>
    <row r="68" spans="1:48" s="3" customFormat="1" x14ac:dyDescent="0.25">
      <c r="A68" s="9"/>
      <c r="B68" s="9"/>
      <c r="C68" s="7"/>
      <c r="D68"/>
      <c r="E68" s="7"/>
      <c r="F68" s="7"/>
      <c r="G68" s="7"/>
      <c r="H68" s="7"/>
      <c r="I68"/>
      <c r="J68" s="7"/>
      <c r="K68"/>
      <c r="L68" s="7"/>
      <c r="M68" s="7"/>
      <c r="N68" s="7"/>
      <c r="O68" s="7"/>
      <c r="P68" s="7"/>
      <c r="Q68" s="7"/>
      <c r="R68"/>
      <c r="S68"/>
      <c r="T68"/>
      <c r="U68" s="7"/>
      <c r="V68" s="7"/>
      <c r="W68" s="7"/>
      <c r="X68" s="7"/>
      <c r="Y68" s="7"/>
      <c r="Z68" s="7"/>
      <c r="AA68" s="7"/>
      <c r="AB68" s="7"/>
      <c r="AC68" s="7"/>
      <c r="AD68" s="7"/>
      <c r="AE68" s="7"/>
      <c r="AF68" s="7"/>
      <c r="AG68" s="7"/>
      <c r="AH68" s="7"/>
      <c r="AI68" s="7"/>
      <c r="AJ68" s="7"/>
      <c r="AK68" s="7"/>
      <c r="AL68" s="7"/>
      <c r="AM68" s="7"/>
      <c r="AN68" s="7"/>
      <c r="AO68" s="7"/>
      <c r="AP68" s="7"/>
      <c r="AQ68" s="7"/>
      <c r="AR68" s="7"/>
      <c r="AS68" s="7"/>
    </row>
    <row r="69" spans="1:48" s="3" customFormat="1" x14ac:dyDescent="0.25">
      <c r="A69" s="9"/>
      <c r="B69" s="9"/>
      <c r="C69" s="2"/>
      <c r="D69"/>
      <c r="E69" s="2"/>
      <c r="F69" s="2"/>
      <c r="G69" s="2"/>
      <c r="H69" s="2"/>
      <c r="I69"/>
      <c r="J69" s="2"/>
      <c r="K69"/>
      <c r="L69" s="2"/>
      <c r="M69" s="2"/>
      <c r="N69" s="2"/>
      <c r="O69" s="2"/>
      <c r="P69" s="2"/>
      <c r="Q69" s="2"/>
      <c r="R69"/>
      <c r="S69"/>
      <c r="T69"/>
      <c r="U69" s="2"/>
      <c r="V69" s="2"/>
      <c r="W69" s="2"/>
      <c r="X69" s="2"/>
      <c r="Y69" s="2"/>
      <c r="Z69" s="2"/>
      <c r="AA69" s="2"/>
      <c r="AB69" s="2"/>
      <c r="AC69" s="2"/>
      <c r="AD69" s="2"/>
      <c r="AE69" s="2"/>
      <c r="AF69" s="2"/>
      <c r="AG69" s="2"/>
      <c r="AH69" s="2"/>
      <c r="AI69" s="2"/>
      <c r="AJ69" s="2"/>
      <c r="AK69" s="2"/>
      <c r="AL69" s="2"/>
      <c r="AM69" s="2"/>
      <c r="AN69" s="2"/>
      <c r="AO69" s="2"/>
      <c r="AP69" s="2"/>
      <c r="AQ69" s="2"/>
      <c r="AR69" s="2"/>
      <c r="AS69" s="2"/>
    </row>
    <row r="70" spans="1:48" s="3" customFormat="1" x14ac:dyDescent="0.25">
      <c r="A70" s="9"/>
      <c r="B70" s="9"/>
      <c r="C70"/>
      <c r="D70"/>
      <c r="E70"/>
      <c r="F70"/>
      <c r="G70"/>
      <c r="H70"/>
      <c r="I70"/>
      <c r="J70" s="2"/>
      <c r="K70"/>
      <c r="L70"/>
      <c r="M70"/>
      <c r="N70"/>
      <c r="O70"/>
      <c r="P70"/>
      <c r="Q70"/>
      <c r="R70"/>
      <c r="S70"/>
      <c r="T70"/>
      <c r="U70"/>
      <c r="V70"/>
      <c r="W70"/>
      <c r="X70"/>
      <c r="Y70"/>
      <c r="Z70"/>
      <c r="AA70"/>
      <c r="AB70"/>
      <c r="AC70"/>
      <c r="AD70"/>
      <c r="AE70"/>
      <c r="AF70"/>
      <c r="AG70"/>
      <c r="AH70"/>
      <c r="AI70"/>
      <c r="AJ70"/>
      <c r="AK70"/>
      <c r="AL70"/>
      <c r="AM70"/>
      <c r="AN70"/>
      <c r="AO70"/>
      <c r="AP70"/>
      <c r="AQ70"/>
      <c r="AR70"/>
      <c r="AS70"/>
    </row>
    <row r="71" spans="1:48" x14ac:dyDescent="0.25">
      <c r="A71" s="9"/>
      <c r="B71" s="9"/>
      <c r="C71" s="2"/>
      <c r="E71" s="2"/>
      <c r="F71" s="2"/>
      <c r="G71" s="2"/>
      <c r="H71" s="2"/>
      <c r="J71" s="2"/>
      <c r="L71" s="2"/>
      <c r="M71" s="2"/>
      <c r="N71" s="2"/>
      <c r="O71" s="2"/>
      <c r="P71" s="2"/>
      <c r="Q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3"/>
      <c r="AU71" s="3"/>
      <c r="AV71" s="3"/>
    </row>
    <row r="72" spans="1:48" x14ac:dyDescent="0.25">
      <c r="A72" s="9"/>
      <c r="B72" s="9"/>
      <c r="J72" s="7"/>
      <c r="AL72" s="2"/>
      <c r="AM72" s="2"/>
      <c r="AN72" s="2"/>
      <c r="AO72" s="2"/>
      <c r="AP72" s="2"/>
      <c r="AQ72" s="2"/>
      <c r="AR72" s="2"/>
      <c r="AS72" s="2"/>
    </row>
    <row r="73" spans="1:48" s="2" customFormat="1" x14ac:dyDescent="0.25">
      <c r="A73" s="9"/>
      <c r="B73" s="9"/>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row>
    <row r="74" spans="1:48" s="2" customFormat="1" x14ac:dyDescent="0.25">
      <c r="A74" s="9"/>
      <c r="B74" s="9"/>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row>
    <row r="75" spans="1:48" s="2" customFormat="1" x14ac:dyDescent="0.25">
      <c r="A75" s="9"/>
      <c r="B75" s="9"/>
      <c r="C75" s="3"/>
      <c r="D75"/>
      <c r="E75" s="3"/>
      <c r="F75" s="3"/>
      <c r="G75" s="3"/>
      <c r="H75" s="3"/>
      <c r="I75" s="3"/>
      <c r="J75" s="3"/>
      <c r="K75" s="3"/>
      <c r="L75" s="3"/>
      <c r="M75" s="3"/>
      <c r="N75" s="3"/>
      <c r="O75" s="3"/>
      <c r="P75" s="3"/>
      <c r="Q75" s="3"/>
      <c r="R75"/>
      <c r="S75"/>
      <c r="T75"/>
      <c r="U75" s="3"/>
      <c r="V75" s="3"/>
      <c r="W75" s="3"/>
      <c r="X75" s="3"/>
      <c r="Y75" s="3"/>
      <c r="Z75" s="3"/>
      <c r="AA75" s="3"/>
      <c r="AB75" s="3"/>
      <c r="AC75" s="3"/>
      <c r="AD75" s="3"/>
      <c r="AE75" s="3"/>
      <c r="AF75" s="3"/>
      <c r="AG75" s="3"/>
      <c r="AH75" s="3"/>
      <c r="AI75" s="3"/>
      <c r="AJ75" s="3"/>
      <c r="AK75" s="3"/>
      <c r="AL75" s="3"/>
      <c r="AM75" s="3"/>
      <c r="AN75" s="3"/>
      <c r="AO75" s="3"/>
      <c r="AP75" s="3"/>
      <c r="AQ75" s="3"/>
      <c r="AR75" s="3"/>
      <c r="AS75" s="3"/>
    </row>
    <row r="76" spans="1:48" x14ac:dyDescent="0.25">
      <c r="A76" s="9"/>
      <c r="B76" s="9"/>
      <c r="C76" s="3"/>
      <c r="E76" s="3"/>
      <c r="F76" s="3"/>
      <c r="G76" s="3"/>
      <c r="H76" s="3"/>
      <c r="I76" s="3"/>
      <c r="J76" s="3"/>
      <c r="L76" s="3"/>
      <c r="M76" s="3"/>
      <c r="N76" s="3"/>
      <c r="O76" s="3"/>
      <c r="P76" s="3"/>
      <c r="Q76" s="3"/>
      <c r="U76" s="3"/>
      <c r="V76" s="3"/>
      <c r="W76" s="3"/>
      <c r="X76" s="3"/>
      <c r="Y76" s="3"/>
      <c r="Z76" s="3"/>
      <c r="AA76" s="3"/>
      <c r="AB76" s="3"/>
      <c r="AC76" s="3"/>
      <c r="AD76" s="3"/>
      <c r="AE76" s="3"/>
      <c r="AF76" s="3"/>
      <c r="AG76" s="3"/>
      <c r="AH76" s="3"/>
      <c r="AI76" s="3"/>
      <c r="AJ76" s="3"/>
      <c r="AK76" s="3"/>
      <c r="AL76" s="3"/>
      <c r="AM76" s="3"/>
      <c r="AN76" s="3"/>
      <c r="AO76" s="3"/>
      <c r="AP76" s="3"/>
      <c r="AQ76" s="3"/>
      <c r="AR76" s="3"/>
      <c r="AS76" s="3"/>
    </row>
    <row r="77" spans="1:48" x14ac:dyDescent="0.25">
      <c r="A77" s="9"/>
      <c r="B77" s="9"/>
    </row>
    <row r="78" spans="1:48" x14ac:dyDescent="0.25">
      <c r="A78" s="9"/>
      <c r="B78" s="9"/>
      <c r="K78" s="2"/>
    </row>
    <row r="79" spans="1:48" s="2" customFormat="1" x14ac:dyDescent="0.25">
      <c r="A79" s="9"/>
      <c r="B79" s="9"/>
      <c r="C79"/>
      <c r="D79"/>
      <c r="E79"/>
      <c r="F79"/>
      <c r="G79"/>
      <c r="H79"/>
      <c r="I79"/>
      <c r="J79"/>
      <c r="L79"/>
      <c r="M79"/>
      <c r="N79"/>
      <c r="O79"/>
      <c r="P79"/>
      <c r="Q79"/>
      <c r="R79"/>
      <c r="S79"/>
      <c r="T79"/>
      <c r="U79"/>
      <c r="V79"/>
      <c r="W79"/>
      <c r="X79"/>
      <c r="Y79"/>
      <c r="Z79"/>
      <c r="AA79"/>
      <c r="AB79"/>
      <c r="AC79"/>
      <c r="AD79"/>
      <c r="AE79"/>
      <c r="AF79"/>
      <c r="AG79"/>
      <c r="AH79"/>
      <c r="AI79"/>
      <c r="AJ79"/>
      <c r="AK79"/>
      <c r="AL79"/>
      <c r="AM79"/>
      <c r="AN79"/>
      <c r="AO79"/>
      <c r="AP79"/>
      <c r="AQ79"/>
      <c r="AR79"/>
      <c r="AS79"/>
    </row>
    <row r="80" spans="1:48" s="2" customFormat="1" x14ac:dyDescent="0.25">
      <c r="A80" s="9"/>
      <c r="B80" s="9"/>
      <c r="C80"/>
      <c r="D80"/>
      <c r="E80"/>
      <c r="F80"/>
      <c r="G80"/>
      <c r="H80"/>
      <c r="I80"/>
      <c r="J80"/>
      <c r="L80"/>
      <c r="M80"/>
      <c r="N80"/>
      <c r="O80"/>
      <c r="P80"/>
      <c r="Q80"/>
      <c r="R80"/>
      <c r="S80"/>
      <c r="T80"/>
      <c r="U80"/>
      <c r="V80"/>
      <c r="W80"/>
      <c r="X80"/>
      <c r="Y80"/>
      <c r="Z80"/>
      <c r="AA80"/>
      <c r="AB80"/>
      <c r="AC80"/>
      <c r="AD80"/>
      <c r="AE80"/>
      <c r="AF80"/>
      <c r="AG80"/>
      <c r="AH80"/>
      <c r="AI80"/>
      <c r="AJ80"/>
      <c r="AK80"/>
      <c r="AL80"/>
      <c r="AM80"/>
      <c r="AN80"/>
      <c r="AO80"/>
      <c r="AP80"/>
      <c r="AQ80"/>
      <c r="AR80"/>
      <c r="AS80"/>
    </row>
    <row r="81" spans="1:45" s="6" customFormat="1" x14ac:dyDescent="0.25">
      <c r="A81" s="9"/>
      <c r="B81" s="9"/>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row>
    <row r="82" spans="1:45" s="6" customFormat="1" x14ac:dyDescent="0.25">
      <c r="A82" s="9"/>
      <c r="B82" s="9"/>
      <c r="D82"/>
      <c r="R82"/>
      <c r="S82"/>
      <c r="T82"/>
    </row>
    <row r="83" spans="1:45" s="6" customFormat="1" x14ac:dyDescent="0.25">
      <c r="A83" s="9"/>
      <c r="B83" s="9"/>
      <c r="D83"/>
      <c r="R83"/>
      <c r="S83"/>
      <c r="T83"/>
    </row>
    <row r="84" spans="1:45" s="6" customFormat="1" x14ac:dyDescent="0.25">
      <c r="A84" s="9"/>
      <c r="B84" s="9"/>
      <c r="C84" s="3"/>
      <c r="D84"/>
      <c r="E84" s="3"/>
      <c r="F84" s="3"/>
      <c r="G84" s="3"/>
      <c r="H84" s="3"/>
      <c r="I84" s="3"/>
      <c r="J84" s="3"/>
      <c r="K84" s="3"/>
      <c r="L84" s="3"/>
      <c r="M84" s="3"/>
      <c r="N84" s="3"/>
      <c r="O84" s="3"/>
      <c r="P84" s="3"/>
      <c r="Q84" s="3"/>
      <c r="R84"/>
      <c r="S84"/>
      <c r="T84"/>
      <c r="U84" s="3"/>
      <c r="V84" s="3"/>
      <c r="W84" s="3"/>
      <c r="X84" s="3"/>
      <c r="Y84" s="3"/>
      <c r="Z84" s="3"/>
      <c r="AA84" s="3"/>
      <c r="AB84" s="3"/>
      <c r="AC84" s="3"/>
      <c r="AD84" s="3"/>
      <c r="AE84" s="3"/>
      <c r="AF84" s="3"/>
      <c r="AG84" s="3"/>
      <c r="AH84" s="3"/>
      <c r="AI84" s="3"/>
      <c r="AJ84" s="3"/>
      <c r="AK84" s="4"/>
      <c r="AL84" s="3"/>
      <c r="AM84" s="3"/>
      <c r="AN84" s="3"/>
      <c r="AO84" s="3"/>
      <c r="AP84" s="3"/>
      <c r="AQ84" s="3"/>
      <c r="AR84" s="3"/>
      <c r="AS84" s="3"/>
    </row>
    <row r="85" spans="1:45" s="6" customFormat="1" x14ac:dyDescent="0.25">
      <c r="A85" s="9"/>
      <c r="B85" s="9"/>
      <c r="C85" s="3"/>
      <c r="D85"/>
      <c r="E85" s="3"/>
      <c r="F85" s="3"/>
      <c r="G85" s="3"/>
      <c r="H85" s="3"/>
      <c r="I85" s="3"/>
      <c r="J85" s="3"/>
      <c r="K85" s="3"/>
      <c r="L85" s="3"/>
      <c r="M85" s="3"/>
      <c r="N85" s="3"/>
      <c r="O85" s="3"/>
      <c r="P85" s="3"/>
      <c r="Q85" s="3"/>
      <c r="R85"/>
      <c r="S85"/>
      <c r="T85"/>
      <c r="U85" s="3"/>
      <c r="V85" s="3"/>
      <c r="W85" s="3"/>
      <c r="X85" s="3"/>
      <c r="Y85" s="3"/>
      <c r="Z85" s="3"/>
      <c r="AA85" s="3"/>
      <c r="AB85" s="3"/>
      <c r="AC85" s="3"/>
      <c r="AD85" s="3"/>
      <c r="AE85" s="3"/>
      <c r="AF85" s="3"/>
      <c r="AG85" s="3"/>
      <c r="AH85" s="3"/>
      <c r="AI85" s="3"/>
      <c r="AJ85" s="3"/>
      <c r="AK85" s="4"/>
      <c r="AL85" s="3"/>
      <c r="AM85" s="3"/>
      <c r="AN85" s="3"/>
      <c r="AO85" s="3"/>
      <c r="AP85" s="3"/>
      <c r="AQ85" s="3"/>
      <c r="AR85" s="3"/>
      <c r="AS85" s="3"/>
    </row>
    <row r="86" spans="1:45" s="6" customFormat="1" x14ac:dyDescent="0.25">
      <c r="A86" s="9"/>
      <c r="B86" s="9"/>
      <c r="C86"/>
      <c r="D86"/>
      <c r="E86"/>
      <c r="F86"/>
      <c r="G86"/>
      <c r="H86"/>
      <c r="I86"/>
      <c r="J86" s="7"/>
      <c r="K86"/>
      <c r="L86"/>
      <c r="M86"/>
      <c r="N86"/>
      <c r="O86"/>
      <c r="P86"/>
      <c r="Q86"/>
      <c r="R86"/>
      <c r="S86"/>
      <c r="T86"/>
      <c r="U86"/>
      <c r="V86"/>
      <c r="W86"/>
      <c r="X86"/>
      <c r="Y86"/>
      <c r="Z86"/>
      <c r="AA86"/>
      <c r="AB86"/>
      <c r="AC86"/>
      <c r="AD86"/>
      <c r="AE86"/>
      <c r="AF86"/>
      <c r="AG86"/>
      <c r="AH86"/>
      <c r="AI86"/>
      <c r="AJ86"/>
      <c r="AK86"/>
      <c r="AL86"/>
      <c r="AM86"/>
      <c r="AN86"/>
      <c r="AO86"/>
      <c r="AP86"/>
      <c r="AQ86"/>
      <c r="AR86"/>
      <c r="AS86"/>
    </row>
    <row r="87" spans="1:45" x14ac:dyDescent="0.25">
      <c r="A87" s="9"/>
      <c r="B87" s="9"/>
      <c r="C87" s="6"/>
      <c r="J87" s="6"/>
      <c r="K87" s="6"/>
      <c r="O87" s="6"/>
      <c r="P87" s="6"/>
      <c r="Q87" s="6"/>
    </row>
    <row r="88" spans="1:45" x14ac:dyDescent="0.25">
      <c r="A88" s="9"/>
      <c r="B88" s="9"/>
      <c r="C88" s="2"/>
      <c r="E88" s="2"/>
      <c r="F88" s="2"/>
      <c r="G88" s="2"/>
      <c r="H88" s="2"/>
      <c r="I88" s="2"/>
      <c r="J88" s="2"/>
      <c r="K88" s="2"/>
      <c r="L88" s="2"/>
      <c r="M88" s="2"/>
      <c r="N88" s="2"/>
      <c r="O88" s="2"/>
      <c r="P88" s="2"/>
      <c r="Q88" s="2"/>
      <c r="U88" s="2"/>
      <c r="V88" s="2"/>
      <c r="W88" s="2"/>
      <c r="X88" s="2"/>
      <c r="Y88" s="2"/>
      <c r="Z88" s="2"/>
      <c r="AA88" s="2"/>
      <c r="AB88" s="2"/>
      <c r="AC88" s="2"/>
      <c r="AD88" s="2"/>
      <c r="AE88" s="2"/>
      <c r="AF88" s="2"/>
      <c r="AG88" s="2"/>
      <c r="AH88" s="2"/>
      <c r="AI88" s="2"/>
      <c r="AJ88" s="2"/>
      <c r="AK88" s="2"/>
      <c r="AL88" s="2"/>
      <c r="AM88" s="2"/>
      <c r="AN88" s="2"/>
      <c r="AO88" s="2"/>
      <c r="AP88" s="2"/>
      <c r="AQ88" s="2"/>
      <c r="AR88" s="2"/>
      <c r="AS88" s="2"/>
    </row>
    <row r="89" spans="1:45" x14ac:dyDescent="0.25">
      <c r="A89" s="9"/>
      <c r="B89" s="9"/>
      <c r="C89" s="7"/>
      <c r="E89" s="7"/>
      <c r="F89" s="7"/>
      <c r="G89" s="7"/>
      <c r="H89" s="7"/>
      <c r="J89" s="7"/>
      <c r="L89" s="7"/>
      <c r="M89" s="7"/>
      <c r="N89" s="7"/>
      <c r="O89" s="7"/>
      <c r="P89" s="7"/>
      <c r="Q89" s="7"/>
      <c r="U89" s="7"/>
      <c r="V89" s="7"/>
      <c r="W89" s="7"/>
      <c r="X89" s="7"/>
      <c r="Y89" s="7"/>
      <c r="Z89" s="7"/>
      <c r="AA89" s="7"/>
      <c r="AB89" s="7"/>
      <c r="AC89" s="7"/>
      <c r="AD89" s="7"/>
      <c r="AE89" s="7"/>
      <c r="AF89" s="7"/>
      <c r="AG89" s="7"/>
      <c r="AH89" s="7"/>
      <c r="AI89" s="7"/>
      <c r="AJ89" s="7"/>
      <c r="AK89" s="7"/>
      <c r="AL89" s="7"/>
      <c r="AM89" s="7"/>
      <c r="AN89" s="7"/>
      <c r="AO89" s="7"/>
      <c r="AP89" s="7"/>
      <c r="AQ89" s="7"/>
      <c r="AR89" s="7"/>
      <c r="AS89" s="7"/>
    </row>
    <row r="90" spans="1:45" x14ac:dyDescent="0.25">
      <c r="A90" s="9"/>
      <c r="B90" s="9"/>
      <c r="C90" s="6"/>
      <c r="E90" s="6"/>
      <c r="F90" s="6"/>
      <c r="G90" s="6"/>
      <c r="H90" s="6"/>
      <c r="J90" s="6"/>
      <c r="L90" s="6"/>
      <c r="M90" s="6"/>
      <c r="N90" s="6"/>
      <c r="O90" s="6"/>
      <c r="P90" s="6"/>
      <c r="Q90" s="6"/>
      <c r="U90" s="6"/>
      <c r="V90" s="6"/>
      <c r="W90" s="6"/>
      <c r="X90" s="6"/>
      <c r="Y90" s="6"/>
      <c r="Z90" s="6"/>
      <c r="AA90" s="6"/>
      <c r="AB90" s="6"/>
      <c r="AC90" s="6"/>
      <c r="AD90" s="6"/>
      <c r="AE90" s="6"/>
      <c r="AF90" s="6"/>
      <c r="AG90" s="6"/>
      <c r="AH90" s="6"/>
      <c r="AI90" s="6"/>
      <c r="AJ90" s="6"/>
      <c r="AK90" s="6"/>
      <c r="AL90" s="6"/>
      <c r="AM90" s="6"/>
      <c r="AN90" s="6"/>
      <c r="AO90" s="6"/>
      <c r="AP90" s="6"/>
      <c r="AQ90" s="6"/>
      <c r="AR90" s="6"/>
      <c r="AS90" s="6"/>
    </row>
    <row r="91" spans="1:45" x14ac:dyDescent="0.25">
      <c r="A91" s="9"/>
      <c r="B91" s="9"/>
      <c r="C91" s="3"/>
      <c r="E91" s="5"/>
      <c r="F91" s="5"/>
      <c r="G91" s="5"/>
      <c r="H91" s="5"/>
      <c r="J91" s="5"/>
      <c r="L91" s="5"/>
      <c r="M91" s="5"/>
      <c r="N91" s="5"/>
      <c r="O91" s="3"/>
      <c r="P91" s="3"/>
      <c r="Q91" s="3"/>
      <c r="U91" s="3"/>
      <c r="V91" s="3"/>
      <c r="W91" s="3"/>
      <c r="X91" s="3"/>
      <c r="Y91" s="3"/>
      <c r="Z91" s="3"/>
      <c r="AA91" s="3"/>
      <c r="AB91" s="3"/>
      <c r="AC91" s="3"/>
      <c r="AD91" s="3"/>
      <c r="AE91" s="3"/>
      <c r="AF91" s="3"/>
      <c r="AG91" s="3"/>
      <c r="AH91" s="3"/>
      <c r="AI91" s="3"/>
      <c r="AJ91" s="3"/>
      <c r="AL91" s="2"/>
      <c r="AM91" s="2"/>
      <c r="AN91" s="2"/>
      <c r="AO91" s="2"/>
      <c r="AP91" s="2"/>
      <c r="AQ91" s="2"/>
      <c r="AR91" s="2"/>
      <c r="AS91" s="2"/>
    </row>
  </sheetData>
  <autoFilter ref="A1:AT41" xr:uid="{00000000-0001-0000-0000-000000000000}"/>
  <pageMargins left="0.7" right="0.7" top="0.75" bottom="0.75" header="0.511811023622047" footer="0.511811023622047"/>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11435</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sources</vt:lpstr>
      <vt:lpstr>unittypedata</vt:lpstr>
    </vt:vector>
  </TitlesOfParts>
  <Company>VTT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Ikäheimo Jussi</dc:creator>
  <dc:description/>
  <cp:lastModifiedBy>Rasku Topi</cp:lastModifiedBy>
  <cp:revision>92</cp:revision>
  <dcterms:created xsi:type="dcterms:W3CDTF">2022-03-22T09:20:16Z</dcterms:created>
  <dcterms:modified xsi:type="dcterms:W3CDTF">2025-09-10T07:36:09Z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0x0101002FD1B2F89F852E499A2B763E84397209</vt:lpwstr>
  </property>
</Properties>
</file>