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backbone\north_european_model\input\"/>
    </mc:Choice>
  </mc:AlternateContent>
  <xr:revisionPtr revIDLastSave="0" documentId="13_ncr:1_{B55F4018-C5A9-4C18-ACAB-F0E98CCD70A4}" xr6:coauthVersionLast="47" xr6:coauthVersionMax="47" xr10:uidLastSave="{00000000-0000-0000-0000-000000000000}"/>
  <bookViews>
    <workbookView xWindow="-28920" yWindow="-75" windowWidth="29040" windowHeight="17520" tabRatio="657" xr2:uid="{00000000-000D-0000-FFFF-FFFF00000000}"/>
  </bookViews>
  <sheets>
    <sheet name="Overview" sheetId="22" r:id="rId1"/>
    <sheet name="Demand" sheetId="15" r:id="rId2"/>
    <sheet name="Production" sheetId="16" r:id="rId3"/>
    <sheet name="Flexibility" sheetId="12" r:id="rId4"/>
    <sheet name="H2" sheetId="18" r:id="rId5"/>
    <sheet name="Transmission - El." sheetId="13" r:id="rId6"/>
    <sheet name="Transmission - H2" sheetId="20" r:id="rId7"/>
    <sheet name="Other (non)RES" sheetId="24" r:id="rId8"/>
    <sheet name="Heat" sheetId="21" r:id="rId9"/>
    <sheet name="Demand (old)" sheetId="1" r:id="rId10"/>
    <sheet name="Summary (old)" sheetId="14" r:id="rId11"/>
  </sheets>
  <definedNames>
    <definedName name="_xlnm._FilterDatabase" localSheetId="2" hidden="1">'Other (non)RES'!$A$16:$V$27</definedName>
    <definedName name="_xlnm._FilterDatabase" localSheetId="5" hidden="1">'Transmission - El.'!$T$12:$Y$53</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2" i="12" l="1"/>
  <c r="R91" i="12"/>
  <c r="R90" i="12"/>
  <c r="R89" i="12"/>
  <c r="R88" i="12"/>
  <c r="R87" i="12"/>
  <c r="R80" i="12"/>
  <c r="E65" i="24"/>
  <c r="F65" i="24"/>
  <c r="G65" i="24"/>
  <c r="H65" i="24"/>
  <c r="I65" i="24"/>
  <c r="J65" i="24"/>
  <c r="K65" i="24"/>
  <c r="L65" i="24"/>
  <c r="M65" i="24"/>
  <c r="N65" i="24"/>
  <c r="O65" i="24"/>
  <c r="P65" i="24"/>
  <c r="Q65" i="24"/>
  <c r="R65" i="24"/>
  <c r="S65" i="24"/>
  <c r="T65" i="24"/>
  <c r="U65" i="24"/>
  <c r="V65" i="24"/>
  <c r="W65" i="24"/>
  <c r="D65" i="24"/>
  <c r="E61" i="24"/>
  <c r="F61" i="24"/>
  <c r="G61" i="24"/>
  <c r="H61" i="24"/>
  <c r="I61" i="24"/>
  <c r="J61" i="24"/>
  <c r="K61" i="24"/>
  <c r="L61" i="24"/>
  <c r="M61" i="24"/>
  <c r="N61" i="24"/>
  <c r="O61" i="24"/>
  <c r="P61" i="24"/>
  <c r="Q61" i="24"/>
  <c r="R61" i="24"/>
  <c r="S61" i="24"/>
  <c r="T61" i="24"/>
  <c r="U61" i="24"/>
  <c r="V61" i="24"/>
  <c r="W61" i="24"/>
  <c r="D61" i="24"/>
  <c r="D52" i="24"/>
  <c r="C42" i="24"/>
  <c r="C44" i="24" l="1"/>
  <c r="D42" i="24" l="1"/>
  <c r="E42" i="24"/>
  <c r="F42" i="24"/>
  <c r="G42" i="24"/>
  <c r="H42" i="24"/>
  <c r="I42" i="24"/>
  <c r="J42" i="24"/>
  <c r="K42" i="24"/>
  <c r="L42" i="24"/>
  <c r="M42" i="24"/>
  <c r="N42" i="24"/>
  <c r="N43" i="24" s="1"/>
  <c r="O42" i="24"/>
  <c r="P42" i="24"/>
  <c r="Q42" i="24"/>
  <c r="R42" i="24"/>
  <c r="S42" i="24"/>
  <c r="T42" i="24"/>
  <c r="U42" i="24"/>
  <c r="V42" i="24"/>
  <c r="P43" i="24" l="1"/>
  <c r="P44" i="24"/>
  <c r="D43" i="24"/>
  <c r="D44" i="24"/>
  <c r="O43" i="24"/>
  <c r="O44" i="24"/>
  <c r="M43" i="24"/>
  <c r="M44" i="24"/>
  <c r="L43" i="24"/>
  <c r="L44" i="24"/>
  <c r="K43" i="24"/>
  <c r="K44" i="24"/>
  <c r="V43" i="24"/>
  <c r="V44" i="24"/>
  <c r="J43" i="24"/>
  <c r="J44" i="24"/>
  <c r="U43" i="24"/>
  <c r="U44" i="24"/>
  <c r="I43" i="24"/>
  <c r="I44" i="24"/>
  <c r="T43" i="24"/>
  <c r="T44" i="24"/>
  <c r="H43" i="24"/>
  <c r="H44" i="24"/>
  <c r="S43" i="24"/>
  <c r="S44" i="24"/>
  <c r="G43" i="24"/>
  <c r="G44" i="24"/>
  <c r="R43" i="24"/>
  <c r="R44" i="24"/>
  <c r="F43" i="24"/>
  <c r="F44" i="24"/>
  <c r="Q43" i="24"/>
  <c r="Q44" i="24"/>
  <c r="E43" i="24"/>
  <c r="E44" i="24"/>
  <c r="C43" i="24"/>
  <c r="W22" i="24"/>
  <c r="W18" i="24"/>
  <c r="W17" i="24"/>
  <c r="B202" i="16"/>
  <c r="C53" i="24" l="1"/>
  <c r="C54" i="24" s="1"/>
  <c r="G66" i="14"/>
  <c r="K64" i="14"/>
  <c r="P23" i="18"/>
  <c r="O23" i="18"/>
  <c r="L23" i="18"/>
  <c r="M23" i="18"/>
  <c r="N23" i="18"/>
  <c r="K23" i="18"/>
  <c r="D56" i="24" l="1"/>
  <c r="D62" i="24"/>
  <c r="V30" i="15"/>
  <c r="W30" i="15"/>
  <c r="X30" i="15"/>
  <c r="U30" i="15"/>
  <c r="P30" i="15"/>
  <c r="Q30" i="15"/>
  <c r="R30" i="15"/>
  <c r="S30" i="15"/>
  <c r="O30" i="15"/>
  <c r="S31" i="15"/>
  <c r="R31" i="15"/>
  <c r="Q31" i="15"/>
  <c r="P31" i="15"/>
  <c r="O31" i="15"/>
  <c r="F31" i="15"/>
  <c r="E31" i="15"/>
  <c r="F30" i="15"/>
  <c r="E30" i="15"/>
  <c r="P25" i="15"/>
  <c r="P26" i="15" s="1"/>
  <c r="P27" i="15" s="1"/>
  <c r="O25" i="15"/>
  <c r="O26" i="15" s="1"/>
  <c r="T31" i="15" s="1"/>
  <c r="N25" i="15"/>
  <c r="N26" i="15" s="1"/>
  <c r="M25" i="15"/>
  <c r="M26" i="15" s="1"/>
  <c r="L25" i="15"/>
  <c r="L26" i="15" s="1"/>
  <c r="K25" i="15"/>
  <c r="K26" i="15" s="1"/>
  <c r="J25" i="15"/>
  <c r="J26" i="15" s="1"/>
  <c r="I25" i="15"/>
  <c r="I26" i="15" s="1"/>
  <c r="H25" i="15"/>
  <c r="H26" i="15" s="1"/>
  <c r="G25" i="15"/>
  <c r="G26" i="15" s="1"/>
  <c r="F25" i="15"/>
  <c r="F26" i="15" s="1"/>
  <c r="E25" i="15"/>
  <c r="E26" i="15" s="1"/>
  <c r="E27" i="15" s="1"/>
  <c r="D25" i="15"/>
  <c r="D26" i="15" s="1"/>
  <c r="D31" i="15" s="1"/>
  <c r="C25" i="15"/>
  <c r="C26" i="15" s="1"/>
  <c r="C31" i="15" s="1"/>
  <c r="G31" i="15" l="1"/>
  <c r="F27" i="15"/>
  <c r="H31" i="15"/>
  <c r="G27" i="15"/>
  <c r="I31" i="15"/>
  <c r="H27" i="15"/>
  <c r="J31" i="15"/>
  <c r="I27" i="15"/>
  <c r="K31" i="15"/>
  <c r="J27" i="15"/>
  <c r="L31" i="15"/>
  <c r="K27" i="15"/>
  <c r="L27" i="15"/>
  <c r="M31" i="15"/>
  <c r="N31" i="15"/>
  <c r="M27" i="15"/>
  <c r="O27" i="15"/>
  <c r="C27" i="15"/>
  <c r="D27" i="15"/>
  <c r="X65" i="24" l="1"/>
  <c r="X61" i="24"/>
  <c r="W43" i="24"/>
  <c r="W42" i="24"/>
  <c r="W44" i="24" l="1"/>
  <c r="D54" i="24"/>
  <c r="O66" i="24"/>
  <c r="R62" i="24"/>
  <c r="F62" i="24"/>
  <c r="F69" i="24" s="1"/>
  <c r="N66" i="24"/>
  <c r="Q62" i="24"/>
  <c r="E62" i="24"/>
  <c r="E69" i="24" s="1"/>
  <c r="M66" i="24"/>
  <c r="P62" i="24"/>
  <c r="P69" i="24" s="1"/>
  <c r="L66" i="24"/>
  <c r="O62" i="24"/>
  <c r="O69" i="24" s="1"/>
  <c r="U66" i="24"/>
  <c r="E66" i="24"/>
  <c r="M62" i="24"/>
  <c r="T66" i="24"/>
  <c r="D66" i="24"/>
  <c r="D69" i="24" s="1"/>
  <c r="L62" i="24"/>
  <c r="S66" i="24"/>
  <c r="K62" i="24"/>
  <c r="K69" i="24" s="1"/>
  <c r="R66" i="24"/>
  <c r="J62" i="24"/>
  <c r="J69" i="24" s="1"/>
  <c r="Q66" i="24"/>
  <c r="I62" i="24"/>
  <c r="I69" i="24" s="1"/>
  <c r="P66" i="24"/>
  <c r="H62" i="24"/>
  <c r="K66" i="24"/>
  <c r="W62" i="24"/>
  <c r="G62" i="24"/>
  <c r="G69" i="24" s="1"/>
  <c r="J66" i="24"/>
  <c r="V62" i="24"/>
  <c r="V69" i="24" s="1"/>
  <c r="I66" i="24"/>
  <c r="U62" i="24"/>
  <c r="U69" i="24" s="1"/>
  <c r="H66" i="24"/>
  <c r="T62" i="24"/>
  <c r="T69" i="24" s="1"/>
  <c r="W66" i="24"/>
  <c r="G66" i="24"/>
  <c r="S62" i="24"/>
  <c r="V66" i="24"/>
  <c r="F66" i="24"/>
  <c r="N62" i="24"/>
  <c r="L69" i="24" l="1"/>
  <c r="N69" i="24"/>
  <c r="W69" i="24"/>
  <c r="M69" i="24"/>
  <c r="Q69" i="24"/>
  <c r="R69" i="24"/>
  <c r="S69" i="24"/>
  <c r="H69" i="24"/>
  <c r="X66" i="24"/>
  <c r="D55" i="24"/>
  <c r="D63" i="24" s="1"/>
  <c r="D64" i="24" s="1"/>
  <c r="X62" i="24"/>
  <c r="R67" i="24" l="1"/>
  <c r="R68" i="24" s="1"/>
  <c r="F67" i="24"/>
  <c r="F68" i="24" s="1"/>
  <c r="U63" i="24"/>
  <c r="U64" i="24" s="1"/>
  <c r="I63" i="24"/>
  <c r="I64" i="24" s="1"/>
  <c r="Q67" i="24"/>
  <c r="Q68" i="24" s="1"/>
  <c r="E67" i="24"/>
  <c r="E68" i="24" s="1"/>
  <c r="T63" i="24"/>
  <c r="T64" i="24" s="1"/>
  <c r="H63" i="24"/>
  <c r="H64" i="24" s="1"/>
  <c r="P67" i="24"/>
  <c r="P68" i="24" s="1"/>
  <c r="D67" i="24"/>
  <c r="S63" i="24"/>
  <c r="S64" i="24" s="1"/>
  <c r="G63" i="24"/>
  <c r="G64" i="24" s="1"/>
  <c r="O67" i="24"/>
  <c r="O68" i="24" s="1"/>
  <c r="R63" i="24"/>
  <c r="R64" i="24" s="1"/>
  <c r="F63" i="24"/>
  <c r="F64" i="24" s="1"/>
  <c r="N67" i="24"/>
  <c r="N68" i="24" s="1"/>
  <c r="U67" i="24"/>
  <c r="U68" i="24" s="1"/>
  <c r="L63" i="24"/>
  <c r="L64" i="24" s="1"/>
  <c r="T67" i="24"/>
  <c r="T68" i="24" s="1"/>
  <c r="K63" i="24"/>
  <c r="K64" i="24" s="1"/>
  <c r="S67" i="24"/>
  <c r="S68" i="24" s="1"/>
  <c r="J63" i="24"/>
  <c r="J64" i="24" s="1"/>
  <c r="M67" i="24"/>
  <c r="M68" i="24" s="1"/>
  <c r="E63" i="24"/>
  <c r="E64" i="24" s="1"/>
  <c r="L67" i="24"/>
  <c r="L68" i="24" s="1"/>
  <c r="K67" i="24"/>
  <c r="K68" i="24" s="1"/>
  <c r="W63" i="24"/>
  <c r="W64" i="24" s="1"/>
  <c r="J67" i="24"/>
  <c r="J68" i="24" s="1"/>
  <c r="V63" i="24"/>
  <c r="V64" i="24" s="1"/>
  <c r="I67" i="24"/>
  <c r="I68" i="24" s="1"/>
  <c r="Q63" i="24"/>
  <c r="Q64" i="24" s="1"/>
  <c r="H67" i="24"/>
  <c r="H68" i="24" s="1"/>
  <c r="P63" i="24"/>
  <c r="P64" i="24" s="1"/>
  <c r="G67" i="24"/>
  <c r="G68" i="24" s="1"/>
  <c r="O63" i="24"/>
  <c r="O64" i="24" s="1"/>
  <c r="W67" i="24"/>
  <c r="W68" i="24" s="1"/>
  <c r="N63" i="24"/>
  <c r="N64" i="24" s="1"/>
  <c r="V67" i="24"/>
  <c r="V68" i="24" s="1"/>
  <c r="M63" i="24"/>
  <c r="M64" i="24" s="1"/>
  <c r="X63" i="24" l="1"/>
  <c r="D68" i="24"/>
  <c r="X67" i="24"/>
  <c r="H31" i="12" l="1"/>
  <c r="D31" i="12"/>
  <c r="H5" i="12"/>
  <c r="E31" i="12"/>
  <c r="Q31" i="12"/>
  <c r="L81" i="12" s="1"/>
  <c r="J44" i="21"/>
  <c r="K44" i="21"/>
  <c r="L44" i="21"/>
  <c r="M44" i="21"/>
  <c r="N44" i="21"/>
  <c r="O44" i="21"/>
  <c r="P44" i="21"/>
  <c r="Q44" i="21"/>
  <c r="R44" i="21"/>
  <c r="S44" i="21"/>
  <c r="T44" i="21"/>
  <c r="U44" i="21"/>
  <c r="V44" i="21"/>
  <c r="W44" i="21"/>
  <c r="X44" i="21"/>
  <c r="K45" i="21"/>
  <c r="L45" i="21"/>
  <c r="M45" i="21"/>
  <c r="N45" i="21"/>
  <c r="O45" i="21"/>
  <c r="P45" i="21"/>
  <c r="Q45" i="21"/>
  <c r="R45" i="21"/>
  <c r="S45" i="21"/>
  <c r="T45" i="21"/>
  <c r="U45" i="21"/>
  <c r="V45" i="21"/>
  <c r="W45" i="21"/>
  <c r="X45" i="21"/>
  <c r="K46" i="21"/>
  <c r="L46" i="21"/>
  <c r="M46" i="21"/>
  <c r="N46" i="21"/>
  <c r="O46" i="21"/>
  <c r="P46" i="21"/>
  <c r="Q46" i="21"/>
  <c r="R46" i="21"/>
  <c r="S46" i="21"/>
  <c r="T46" i="21"/>
  <c r="U46" i="21"/>
  <c r="V46" i="21"/>
  <c r="W46" i="21"/>
  <c r="X46" i="21"/>
  <c r="K47" i="21"/>
  <c r="L47" i="21"/>
  <c r="M47" i="21"/>
  <c r="N47" i="21"/>
  <c r="O47" i="21"/>
  <c r="P47" i="21"/>
  <c r="Q47" i="21"/>
  <c r="R47" i="21"/>
  <c r="S47" i="21"/>
  <c r="T47" i="21"/>
  <c r="U47" i="21"/>
  <c r="V47" i="21"/>
  <c r="W47" i="21"/>
  <c r="X47" i="21"/>
  <c r="K48" i="21"/>
  <c r="L48" i="21"/>
  <c r="M48" i="21"/>
  <c r="N48" i="21"/>
  <c r="O48" i="21"/>
  <c r="P48" i="21"/>
  <c r="Q48" i="21"/>
  <c r="R48" i="21"/>
  <c r="S48" i="21"/>
  <c r="T48" i="21"/>
  <c r="U48" i="21"/>
  <c r="V48" i="21"/>
  <c r="W48" i="21"/>
  <c r="X48" i="21"/>
  <c r="K49" i="21"/>
  <c r="L49" i="21"/>
  <c r="M49" i="21"/>
  <c r="N49" i="21"/>
  <c r="O49" i="21"/>
  <c r="P49" i="21"/>
  <c r="Q49" i="21"/>
  <c r="R49" i="21"/>
  <c r="S49" i="21"/>
  <c r="T49" i="21"/>
  <c r="U49" i="21"/>
  <c r="V49" i="21"/>
  <c r="W49" i="21"/>
  <c r="X49" i="21"/>
  <c r="K50" i="21"/>
  <c r="L50" i="21"/>
  <c r="M50" i="21"/>
  <c r="N50" i="21"/>
  <c r="O50" i="21"/>
  <c r="P50" i="21"/>
  <c r="Q50" i="21"/>
  <c r="R50" i="21"/>
  <c r="S50" i="21"/>
  <c r="T50" i="21"/>
  <c r="U50" i="21"/>
  <c r="V50" i="21"/>
  <c r="W50" i="21"/>
  <c r="X50" i="21"/>
  <c r="K51" i="21"/>
  <c r="L51" i="21"/>
  <c r="M51" i="21"/>
  <c r="N51" i="21"/>
  <c r="O51" i="21"/>
  <c r="P51" i="21"/>
  <c r="Q51" i="21"/>
  <c r="R51" i="21"/>
  <c r="S51" i="21"/>
  <c r="T51" i="21"/>
  <c r="U51" i="21"/>
  <c r="V51" i="21"/>
  <c r="W51" i="21"/>
  <c r="X51" i="21"/>
  <c r="K52" i="21"/>
  <c r="L52" i="21"/>
  <c r="M52" i="21"/>
  <c r="N52" i="21"/>
  <c r="O52" i="21"/>
  <c r="P52" i="21"/>
  <c r="Q52" i="21"/>
  <c r="R52" i="21"/>
  <c r="S52" i="21"/>
  <c r="T52" i="21"/>
  <c r="U52" i="21"/>
  <c r="V52" i="21"/>
  <c r="W52" i="21"/>
  <c r="X52" i="21"/>
  <c r="K53" i="21"/>
  <c r="L53" i="21"/>
  <c r="M53" i="21"/>
  <c r="N53" i="21"/>
  <c r="O53" i="21"/>
  <c r="P53" i="21"/>
  <c r="Q53" i="21"/>
  <c r="R53" i="21"/>
  <c r="S53" i="21"/>
  <c r="T53" i="21"/>
  <c r="U53" i="21"/>
  <c r="V53" i="21"/>
  <c r="W53" i="21"/>
  <c r="X53" i="21"/>
  <c r="K54" i="21"/>
  <c r="L54" i="21"/>
  <c r="M54" i="21"/>
  <c r="N54" i="21"/>
  <c r="O54" i="21"/>
  <c r="P54" i="21"/>
  <c r="Q54" i="21"/>
  <c r="R54" i="21"/>
  <c r="S54" i="21"/>
  <c r="T54" i="21"/>
  <c r="U54" i="21"/>
  <c r="V54" i="21"/>
  <c r="W54" i="21"/>
  <c r="X54" i="21"/>
  <c r="K55" i="21"/>
  <c r="L55" i="21"/>
  <c r="M55" i="21"/>
  <c r="N55" i="21"/>
  <c r="O55" i="21"/>
  <c r="P55" i="21"/>
  <c r="Q55" i="21"/>
  <c r="R55" i="21"/>
  <c r="S55" i="21"/>
  <c r="T55" i="21"/>
  <c r="U55" i="21"/>
  <c r="V55" i="21"/>
  <c r="W55" i="21"/>
  <c r="X55" i="21"/>
  <c r="K56" i="21"/>
  <c r="L56" i="21"/>
  <c r="M56" i="21"/>
  <c r="N56" i="21"/>
  <c r="O56" i="21"/>
  <c r="P56" i="21"/>
  <c r="Q56" i="21"/>
  <c r="R56" i="21"/>
  <c r="S56" i="21"/>
  <c r="T56" i="21"/>
  <c r="U56" i="21"/>
  <c r="V56" i="21"/>
  <c r="W56" i="21"/>
  <c r="X56" i="21"/>
  <c r="K57" i="21"/>
  <c r="L57" i="21"/>
  <c r="M57" i="21"/>
  <c r="N57" i="21"/>
  <c r="O57" i="21"/>
  <c r="P57" i="21"/>
  <c r="Q57" i="21"/>
  <c r="R57" i="21"/>
  <c r="S57" i="21"/>
  <c r="T57" i="21"/>
  <c r="U57" i="21"/>
  <c r="V57" i="21"/>
  <c r="W57" i="21"/>
  <c r="X57" i="21"/>
  <c r="K58" i="21"/>
  <c r="L58" i="21"/>
  <c r="M58" i="21"/>
  <c r="N58" i="21"/>
  <c r="O58" i="21"/>
  <c r="P58" i="21"/>
  <c r="Q58" i="21"/>
  <c r="R58" i="21"/>
  <c r="S58" i="21"/>
  <c r="T58" i="21"/>
  <c r="U58" i="21"/>
  <c r="V58" i="21"/>
  <c r="W58" i="21"/>
  <c r="X58" i="21"/>
  <c r="K59" i="21"/>
  <c r="L59" i="21"/>
  <c r="M59" i="21"/>
  <c r="N59" i="21"/>
  <c r="O59" i="21"/>
  <c r="P59" i="21"/>
  <c r="Q59" i="21"/>
  <c r="R59" i="21"/>
  <c r="S59" i="21"/>
  <c r="T59" i="21"/>
  <c r="U59" i="21"/>
  <c r="V59" i="21"/>
  <c r="W59" i="21"/>
  <c r="X59" i="21"/>
  <c r="J45" i="21"/>
  <c r="J46" i="21"/>
  <c r="J47" i="21"/>
  <c r="J48" i="21"/>
  <c r="J49" i="21"/>
  <c r="J50" i="21"/>
  <c r="J51" i="21"/>
  <c r="J52" i="21"/>
  <c r="J53" i="21"/>
  <c r="J54" i="21"/>
  <c r="J55" i="21"/>
  <c r="J56" i="21"/>
  <c r="J57" i="21"/>
  <c r="J58" i="21"/>
  <c r="J59" i="21"/>
  <c r="C44" i="21"/>
  <c r="D44" i="21"/>
  <c r="E44" i="21"/>
  <c r="F44" i="21"/>
  <c r="G44" i="21"/>
  <c r="C45" i="21"/>
  <c r="D45" i="21"/>
  <c r="E45" i="21"/>
  <c r="F45" i="21"/>
  <c r="G45" i="21"/>
  <c r="C46" i="21"/>
  <c r="D46" i="21"/>
  <c r="E46" i="21"/>
  <c r="F46" i="21"/>
  <c r="G46" i="21"/>
  <c r="C47" i="21"/>
  <c r="D47" i="21"/>
  <c r="E47" i="21"/>
  <c r="F47" i="21"/>
  <c r="G47" i="21"/>
  <c r="C48" i="21"/>
  <c r="D48" i="21"/>
  <c r="E48" i="21"/>
  <c r="F48" i="21"/>
  <c r="G48" i="21"/>
  <c r="C49" i="21"/>
  <c r="D49" i="21"/>
  <c r="E49" i="21"/>
  <c r="F49" i="21"/>
  <c r="G49" i="21"/>
  <c r="C50" i="21"/>
  <c r="D50" i="21"/>
  <c r="E50" i="21"/>
  <c r="F50" i="21"/>
  <c r="G50" i="21"/>
  <c r="H50" i="21"/>
  <c r="C51" i="21"/>
  <c r="D51" i="21"/>
  <c r="E51" i="21"/>
  <c r="F51" i="21"/>
  <c r="G51" i="21"/>
  <c r="C52" i="21"/>
  <c r="D52" i="21"/>
  <c r="E52" i="21"/>
  <c r="F52" i="21"/>
  <c r="G52" i="21"/>
  <c r="C53" i="21"/>
  <c r="D53" i="21"/>
  <c r="E53" i="21"/>
  <c r="F53" i="21"/>
  <c r="G53" i="21"/>
  <c r="C54" i="21"/>
  <c r="D54" i="21"/>
  <c r="E54" i="21"/>
  <c r="F54" i="21"/>
  <c r="G54" i="21"/>
  <c r="C55" i="21"/>
  <c r="D55" i="21"/>
  <c r="E55" i="21"/>
  <c r="F55" i="21"/>
  <c r="G55" i="21"/>
  <c r="C56" i="21"/>
  <c r="D56" i="21"/>
  <c r="E56" i="21"/>
  <c r="F56" i="21"/>
  <c r="G56" i="21"/>
  <c r="C57" i="21"/>
  <c r="D57" i="21"/>
  <c r="E57" i="21"/>
  <c r="F57" i="21"/>
  <c r="G57" i="21"/>
  <c r="C58" i="21"/>
  <c r="D58" i="21"/>
  <c r="E58" i="21"/>
  <c r="F58" i="21"/>
  <c r="G58" i="21"/>
  <c r="C59" i="21"/>
  <c r="D59" i="21"/>
  <c r="E59" i="21"/>
  <c r="F59" i="21"/>
  <c r="G59" i="21"/>
  <c r="B45" i="21"/>
  <c r="B46" i="21"/>
  <c r="B47" i="21"/>
  <c r="B48" i="21"/>
  <c r="B49" i="21"/>
  <c r="B50" i="21"/>
  <c r="B51" i="21"/>
  <c r="B52" i="21"/>
  <c r="B53" i="21"/>
  <c r="B54" i="21"/>
  <c r="B55" i="21"/>
  <c r="B56" i="21"/>
  <c r="B57" i="21"/>
  <c r="B58" i="21"/>
  <c r="B59" i="21"/>
  <c r="B44" i="21"/>
  <c r="Y40" i="21"/>
  <c r="Y39" i="21"/>
  <c r="Y38" i="21"/>
  <c r="Y37" i="21"/>
  <c r="Y36" i="21"/>
  <c r="Y35" i="21"/>
  <c r="Y34" i="21"/>
  <c r="Y33" i="21"/>
  <c r="Y32" i="21"/>
  <c r="Y31" i="21"/>
  <c r="Y30" i="21"/>
  <c r="Y49" i="21" s="1"/>
  <c r="Y29" i="21"/>
  <c r="Y28" i="21"/>
  <c r="Y27" i="21"/>
  <c r="Y26" i="21"/>
  <c r="Y45" i="21" s="1"/>
  <c r="Y25" i="21"/>
  <c r="Y7" i="21"/>
  <c r="Y8" i="21"/>
  <c r="Y9" i="21"/>
  <c r="Y10" i="21"/>
  <c r="Y11" i="21"/>
  <c r="Y12" i="21"/>
  <c r="Y13" i="21"/>
  <c r="Y14" i="21"/>
  <c r="Y15" i="21"/>
  <c r="Y16" i="21"/>
  <c r="Y17" i="21"/>
  <c r="Y18" i="21"/>
  <c r="Y19" i="21"/>
  <c r="Y20" i="21"/>
  <c r="Y21" i="21"/>
  <c r="Y6" i="21"/>
  <c r="H40" i="21"/>
  <c r="H39" i="21"/>
  <c r="H38" i="21"/>
  <c r="H37" i="21"/>
  <c r="H36" i="21"/>
  <c r="H55" i="21" s="1"/>
  <c r="H35" i="21"/>
  <c r="H54" i="21" s="1"/>
  <c r="H34" i="21"/>
  <c r="H33" i="21"/>
  <c r="H32" i="21"/>
  <c r="H31" i="21"/>
  <c r="H30" i="21"/>
  <c r="H29" i="21"/>
  <c r="H28" i="21"/>
  <c r="H27" i="21"/>
  <c r="H26" i="21"/>
  <c r="H25" i="21"/>
  <c r="H7" i="21"/>
  <c r="H8" i="21"/>
  <c r="H46" i="21" s="1"/>
  <c r="H9" i="21"/>
  <c r="H10" i="21"/>
  <c r="H11" i="21"/>
  <c r="H12" i="21"/>
  <c r="H13" i="21"/>
  <c r="H14" i="21"/>
  <c r="H15" i="21"/>
  <c r="H16" i="21"/>
  <c r="H17" i="21"/>
  <c r="H18" i="21"/>
  <c r="H19" i="21"/>
  <c r="H20" i="21"/>
  <c r="H58" i="21" s="1"/>
  <c r="H21" i="21"/>
  <c r="H6" i="21"/>
  <c r="Q36" i="13"/>
  <c r="B221" i="16"/>
  <c r="Q18"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13" i="13"/>
  <c r="R52" i="13"/>
  <c r="Y52" i="13" s="1"/>
  <c r="R51" i="13"/>
  <c r="Y51" i="13" s="1"/>
  <c r="R50" i="13"/>
  <c r="Y50" i="13" s="1"/>
  <c r="R49" i="13"/>
  <c r="Y49" i="13" s="1"/>
  <c r="R48" i="13"/>
  <c r="Y48" i="13" s="1"/>
  <c r="R47" i="13"/>
  <c r="Y47" i="13" s="1"/>
  <c r="R46" i="13"/>
  <c r="Y46" i="13" s="1"/>
  <c r="R45" i="13"/>
  <c r="Y45" i="13" s="1"/>
  <c r="R44" i="13"/>
  <c r="Y44" i="13" s="1"/>
  <c r="R43" i="13"/>
  <c r="Y43" i="13" s="1"/>
  <c r="R42" i="13"/>
  <c r="Y42" i="13" s="1"/>
  <c r="R41" i="13"/>
  <c r="Y41" i="13" s="1"/>
  <c r="R40" i="13"/>
  <c r="Y40" i="13" s="1"/>
  <c r="R39" i="13"/>
  <c r="Y39" i="13" s="1"/>
  <c r="R38" i="13"/>
  <c r="Y38" i="13" s="1"/>
  <c r="R37" i="13"/>
  <c r="Y37" i="13" s="1"/>
  <c r="R36" i="13"/>
  <c r="Y36" i="13" s="1"/>
  <c r="R35" i="13"/>
  <c r="Y35" i="13" s="1"/>
  <c r="R34" i="13"/>
  <c r="Y34" i="13" s="1"/>
  <c r="R33" i="13"/>
  <c r="Y33" i="13" s="1"/>
  <c r="R32" i="13"/>
  <c r="Y32" i="13" s="1"/>
  <c r="R31" i="13"/>
  <c r="Y31" i="13" s="1"/>
  <c r="R30" i="13"/>
  <c r="Y30" i="13" s="1"/>
  <c r="R29" i="13"/>
  <c r="Y29" i="13" s="1"/>
  <c r="R28" i="13"/>
  <c r="Y28" i="13" s="1"/>
  <c r="R27" i="13"/>
  <c r="Y27" i="13" s="1"/>
  <c r="R26" i="13"/>
  <c r="Y26" i="13" s="1"/>
  <c r="R25" i="13"/>
  <c r="Y25" i="13" s="1"/>
  <c r="R24" i="13"/>
  <c r="Y24" i="13" s="1"/>
  <c r="R23" i="13"/>
  <c r="Y23" i="13" s="1"/>
  <c r="R22" i="13"/>
  <c r="Y22" i="13" s="1"/>
  <c r="R21" i="13"/>
  <c r="Y21" i="13" s="1"/>
  <c r="R20" i="13"/>
  <c r="Y20" i="13" s="1"/>
  <c r="R18" i="13"/>
  <c r="Y18" i="13" s="1"/>
  <c r="R17" i="13"/>
  <c r="Y17" i="13" s="1"/>
  <c r="R16" i="13"/>
  <c r="Y16" i="13" s="1"/>
  <c r="R15" i="13"/>
  <c r="Y15" i="13" s="1"/>
  <c r="R14" i="13"/>
  <c r="Y14" i="13" s="1"/>
  <c r="R13" i="13"/>
  <c r="Y13" i="13" s="1"/>
  <c r="T17" i="20"/>
  <c r="S17" i="20"/>
  <c r="Y56" i="21" l="1"/>
  <c r="M60" i="21"/>
  <c r="H56" i="21"/>
  <c r="H48" i="21"/>
  <c r="Y52" i="21"/>
  <c r="H49" i="21"/>
  <c r="H52" i="21"/>
  <c r="Y44" i="21"/>
  <c r="H51" i="21"/>
  <c r="Y55" i="21"/>
  <c r="H44" i="21"/>
  <c r="Y57" i="21"/>
  <c r="W60" i="21"/>
  <c r="T60" i="21"/>
  <c r="J60" i="21"/>
  <c r="L60" i="21"/>
  <c r="Y59" i="21"/>
  <c r="H41" i="21"/>
  <c r="Y48" i="21"/>
  <c r="S60" i="21"/>
  <c r="V60" i="21"/>
  <c r="P60" i="21"/>
  <c r="Y54" i="21"/>
  <c r="Y58" i="21"/>
  <c r="Y47" i="21"/>
  <c r="H57" i="21"/>
  <c r="Y50" i="21"/>
  <c r="O60" i="21"/>
  <c r="Q60" i="21"/>
  <c r="X60" i="21"/>
  <c r="K60" i="21"/>
  <c r="Y41" i="21"/>
  <c r="U60" i="21"/>
  <c r="Y46" i="21"/>
  <c r="H22" i="21"/>
  <c r="H60" i="21" s="1"/>
  <c r="Y53" i="21"/>
  <c r="H45" i="21"/>
  <c r="R60" i="21"/>
  <c r="H53" i="21"/>
  <c r="H47" i="21"/>
  <c r="H59" i="21"/>
  <c r="Y51" i="21"/>
  <c r="N60" i="21"/>
  <c r="Y22" i="21"/>
  <c r="Y60" i="21" s="1"/>
  <c r="N26" i="20"/>
  <c r="S29" i="20" s="1"/>
  <c r="O26" i="20"/>
  <c r="T29" i="20" s="1"/>
  <c r="O23" i="20"/>
  <c r="T25" i="20" s="1"/>
  <c r="O20" i="20"/>
  <c r="T20" i="20" s="1"/>
  <c r="O16" i="20"/>
  <c r="T16" i="20" s="1"/>
  <c r="T27" i="20" s="1"/>
  <c r="O12" i="20"/>
  <c r="T12" i="20" s="1"/>
  <c r="O13" i="20"/>
  <c r="T13" i="20" s="1"/>
  <c r="O14" i="20"/>
  <c r="T14" i="20" s="1"/>
  <c r="O15" i="20"/>
  <c r="T15" i="20" s="1"/>
  <c r="O17" i="20"/>
  <c r="O18" i="20"/>
  <c r="T18" i="20" s="1"/>
  <c r="O19" i="20"/>
  <c r="T19" i="20" s="1"/>
  <c r="O21" i="20"/>
  <c r="T21" i="20" s="1"/>
  <c r="O22" i="20"/>
  <c r="T22" i="20" s="1"/>
  <c r="O24" i="20"/>
  <c r="T26" i="20" s="1"/>
  <c r="O25" i="20"/>
  <c r="T28" i="20" s="1"/>
  <c r="O27" i="20"/>
  <c r="T30" i="20" s="1"/>
  <c r="O28" i="20"/>
  <c r="T31" i="20" s="1"/>
  <c r="N23" i="20"/>
  <c r="S25" i="20" s="1"/>
  <c r="N22" i="20"/>
  <c r="S22" i="20" s="1"/>
  <c r="N20" i="20"/>
  <c r="S20" i="20" s="1"/>
  <c r="N16" i="20"/>
  <c r="S16" i="20" s="1"/>
  <c r="S27" i="20" s="1"/>
  <c r="N13" i="20"/>
  <c r="S13" i="20" s="1"/>
  <c r="N14" i="20"/>
  <c r="S14" i="20" s="1"/>
  <c r="N15" i="20"/>
  <c r="S15" i="20" s="1"/>
  <c r="N17" i="20"/>
  <c r="N18" i="20"/>
  <c r="S18" i="20" s="1"/>
  <c r="N19" i="20"/>
  <c r="S19" i="20" s="1"/>
  <c r="N21" i="20"/>
  <c r="S21" i="20" s="1"/>
  <c r="N24" i="20"/>
  <c r="S26" i="20" s="1"/>
  <c r="N25" i="20"/>
  <c r="S28" i="20" s="1"/>
  <c r="N27" i="20"/>
  <c r="S30" i="20" s="1"/>
  <c r="N28" i="20"/>
  <c r="S31" i="20" s="1"/>
  <c r="N12" i="20"/>
  <c r="S12" i="20" s="1"/>
  <c r="S24" i="20" l="1"/>
  <c r="S23" i="20"/>
  <c r="T23" i="20"/>
  <c r="T24" i="20"/>
  <c r="I28" i="20"/>
  <c r="J28" i="20"/>
  <c r="S96" i="13" l="1"/>
  <c r="Q48" i="13" l="1"/>
  <c r="X48" i="13" s="1"/>
  <c r="Q45" i="13"/>
  <c r="X45" i="13" s="1"/>
  <c r="Q40" i="13"/>
  <c r="X40" i="13" s="1"/>
  <c r="Q39" i="13"/>
  <c r="X39" i="13" s="1"/>
  <c r="Q37" i="13"/>
  <c r="X37" i="13" s="1"/>
  <c r="Q38" i="13"/>
  <c r="X38" i="13" s="1"/>
  <c r="Q35" i="13"/>
  <c r="X35" i="13" s="1"/>
  <c r="Q31" i="13"/>
  <c r="X31" i="13" s="1"/>
  <c r="Q27" i="13"/>
  <c r="X27" i="13" s="1"/>
  <c r="Q24" i="13"/>
  <c r="X24" i="13" s="1"/>
  <c r="Q23" i="13"/>
  <c r="X23" i="13" s="1"/>
  <c r="X18" i="13"/>
  <c r="Q16" i="13"/>
  <c r="X16" i="13" s="1"/>
  <c r="Q14" i="13"/>
  <c r="X14" i="13" s="1"/>
  <c r="Q15" i="13"/>
  <c r="X15" i="13" s="1"/>
  <c r="Q17" i="13"/>
  <c r="X17" i="13" s="1"/>
  <c r="Q20" i="13"/>
  <c r="X20" i="13" s="1"/>
  <c r="Q21" i="13"/>
  <c r="X21" i="13" s="1"/>
  <c r="Q22" i="13"/>
  <c r="X22" i="13" s="1"/>
  <c r="Q25" i="13"/>
  <c r="X25" i="13" s="1"/>
  <c r="Q26" i="13"/>
  <c r="X26" i="13" s="1"/>
  <c r="Q28" i="13"/>
  <c r="X28" i="13" s="1"/>
  <c r="Q29" i="13"/>
  <c r="X29" i="13" s="1"/>
  <c r="Q30" i="13"/>
  <c r="X30" i="13" s="1"/>
  <c r="Q32" i="13"/>
  <c r="X32" i="13" s="1"/>
  <c r="Q33" i="13"/>
  <c r="X33" i="13" s="1"/>
  <c r="Q34" i="13"/>
  <c r="X34" i="13" s="1"/>
  <c r="X36" i="13"/>
  <c r="Q41" i="13"/>
  <c r="X41" i="13" s="1"/>
  <c r="Q42" i="13"/>
  <c r="X42" i="13" s="1"/>
  <c r="Q43" i="13"/>
  <c r="X43" i="13" s="1"/>
  <c r="Q44" i="13"/>
  <c r="X44" i="13" s="1"/>
  <c r="Q46" i="13"/>
  <c r="X46" i="13" s="1"/>
  <c r="Q47" i="13"/>
  <c r="X47" i="13" s="1"/>
  <c r="Q49" i="13"/>
  <c r="X49" i="13" s="1"/>
  <c r="Q50" i="13"/>
  <c r="X50" i="13" s="1"/>
  <c r="Q51" i="13"/>
  <c r="X51" i="13" s="1"/>
  <c r="Q52" i="13"/>
  <c r="X52" i="13" s="1"/>
  <c r="Q13" i="13"/>
  <c r="X13" i="13" s="1"/>
  <c r="R96" i="13"/>
  <c r="N121" i="13" l="1"/>
  <c r="M121" i="13"/>
  <c r="V53" i="13"/>
  <c r="W53" i="13"/>
  <c r="C196" i="13"/>
  <c r="K19" i="13" l="1"/>
  <c r="J19" i="13"/>
  <c r="K26" i="13"/>
  <c r="J26" i="13"/>
  <c r="M19" i="13"/>
  <c r="R19" i="13" s="1"/>
  <c r="Y19" i="13" s="1"/>
  <c r="K25" i="13"/>
  <c r="J25" i="13"/>
  <c r="L19" i="13"/>
  <c r="Q19" i="13" s="1"/>
  <c r="D28" i="20"/>
  <c r="C28" i="20"/>
  <c r="Y53" i="13" l="1"/>
  <c r="R53" i="13"/>
  <c r="X19" i="13"/>
  <c r="X53" i="13" s="1"/>
  <c r="Q53" i="13"/>
  <c r="L53" i="13"/>
  <c r="M53" i="13"/>
  <c r="C221" i="16" l="1"/>
  <c r="D221" i="16"/>
  <c r="E221" i="16"/>
  <c r="F221" i="16"/>
  <c r="G221" i="16"/>
  <c r="H221" i="16"/>
  <c r="I221" i="16"/>
  <c r="J221" i="16"/>
  <c r="K221" i="16"/>
  <c r="L221" i="16"/>
  <c r="M221" i="16"/>
  <c r="N221" i="16"/>
  <c r="O221" i="16"/>
  <c r="P221" i="16"/>
  <c r="Q221" i="16"/>
  <c r="R221" i="16"/>
  <c r="S221" i="16"/>
  <c r="T221" i="16"/>
  <c r="U221" i="16"/>
  <c r="C202" i="16"/>
  <c r="D202" i="16"/>
  <c r="E202" i="16"/>
  <c r="F202" i="16"/>
  <c r="G202" i="16"/>
  <c r="H202" i="16"/>
  <c r="I202" i="16"/>
  <c r="J202" i="16"/>
  <c r="K202" i="16"/>
  <c r="L202" i="16"/>
  <c r="M202" i="16"/>
  <c r="N202" i="16"/>
  <c r="O202" i="16"/>
  <c r="P202" i="16"/>
  <c r="Q202" i="16"/>
  <c r="R202" i="16"/>
  <c r="S202" i="16"/>
  <c r="T202" i="16"/>
  <c r="U202" i="16"/>
  <c r="Q199" i="16" l="1"/>
  <c r="R199" i="16"/>
  <c r="P199" i="16"/>
  <c r="C196" i="16"/>
  <c r="D196" i="16"/>
  <c r="E196" i="16"/>
  <c r="F196" i="16"/>
  <c r="G196" i="16"/>
  <c r="H196" i="16"/>
  <c r="I196" i="16"/>
  <c r="J196" i="16"/>
  <c r="K196" i="16"/>
  <c r="L196" i="16"/>
  <c r="M196" i="16"/>
  <c r="N196" i="16"/>
  <c r="O196" i="16"/>
  <c r="P196" i="16"/>
  <c r="Q196" i="16"/>
  <c r="R196" i="16"/>
  <c r="S196" i="16"/>
  <c r="T196" i="16"/>
  <c r="U196" i="16"/>
  <c r="C197" i="16"/>
  <c r="D197" i="16"/>
  <c r="E197" i="16"/>
  <c r="F197" i="16"/>
  <c r="G197" i="16"/>
  <c r="H197" i="16"/>
  <c r="I197" i="16"/>
  <c r="J197" i="16"/>
  <c r="K197" i="16"/>
  <c r="L197" i="16"/>
  <c r="M197" i="16"/>
  <c r="N197" i="16"/>
  <c r="O197" i="16"/>
  <c r="P198" i="16"/>
  <c r="Q198" i="16"/>
  <c r="R198" i="16"/>
  <c r="S197" i="16"/>
  <c r="T197" i="16"/>
  <c r="U197" i="16"/>
  <c r="B197" i="16"/>
  <c r="B196" i="16"/>
  <c r="B176" i="16"/>
  <c r="C176" i="16"/>
  <c r="D176" i="16"/>
  <c r="E176" i="16"/>
  <c r="F176" i="16"/>
  <c r="G176" i="16"/>
  <c r="H176" i="16"/>
  <c r="I176" i="16"/>
  <c r="J176" i="16"/>
  <c r="K176" i="16"/>
  <c r="L176" i="16"/>
  <c r="M176" i="16"/>
  <c r="N176" i="16"/>
  <c r="O176" i="16"/>
  <c r="P176" i="16"/>
  <c r="Q176" i="16"/>
  <c r="R176" i="16"/>
  <c r="S176" i="16"/>
  <c r="U176" i="16"/>
  <c r="B177" i="16"/>
  <c r="C177" i="16"/>
  <c r="D177" i="16"/>
  <c r="E177" i="16"/>
  <c r="F177" i="16"/>
  <c r="G177" i="16"/>
  <c r="H177" i="16"/>
  <c r="I177" i="16"/>
  <c r="J177" i="16"/>
  <c r="K177" i="16"/>
  <c r="L177" i="16"/>
  <c r="M177" i="16"/>
  <c r="N177" i="16"/>
  <c r="O177" i="16"/>
  <c r="P177" i="16"/>
  <c r="Q177" i="16"/>
  <c r="R177" i="16"/>
  <c r="S177" i="16"/>
  <c r="T177" i="16"/>
  <c r="U177" i="16"/>
  <c r="B178" i="16"/>
  <c r="C178" i="16"/>
  <c r="D178" i="16"/>
  <c r="E178" i="16"/>
  <c r="F178" i="16"/>
  <c r="G178" i="16"/>
  <c r="H178" i="16"/>
  <c r="I178" i="16"/>
  <c r="J178" i="16"/>
  <c r="K178" i="16"/>
  <c r="L178" i="16"/>
  <c r="M178" i="16"/>
  <c r="N178" i="16"/>
  <c r="O178" i="16"/>
  <c r="P178" i="16"/>
  <c r="Q178" i="16"/>
  <c r="R178" i="16"/>
  <c r="S178" i="16"/>
  <c r="T178" i="16"/>
  <c r="U178" i="16"/>
  <c r="C175" i="16"/>
  <c r="D175" i="16"/>
  <c r="E175" i="16"/>
  <c r="F175" i="16"/>
  <c r="G175" i="16"/>
  <c r="H175" i="16"/>
  <c r="I175" i="16"/>
  <c r="J175" i="16"/>
  <c r="K175" i="16"/>
  <c r="L175" i="16"/>
  <c r="M175" i="16"/>
  <c r="N175" i="16"/>
  <c r="O175" i="16"/>
  <c r="P175" i="16"/>
  <c r="Q175" i="16"/>
  <c r="R175" i="16"/>
  <c r="S175" i="16"/>
  <c r="T175" i="16"/>
  <c r="U175" i="16"/>
  <c r="B175" i="16"/>
  <c r="V170" i="16"/>
  <c r="V171" i="16"/>
  <c r="V172" i="16"/>
  <c r="V163" i="16"/>
  <c r="V165" i="16"/>
  <c r="V166" i="16"/>
  <c r="V169" i="16"/>
  <c r="U167" i="16"/>
  <c r="S167" i="16"/>
  <c r="R167" i="16"/>
  <c r="Q167" i="16"/>
  <c r="P167" i="16"/>
  <c r="O167" i="16"/>
  <c r="N167" i="16"/>
  <c r="M167" i="16"/>
  <c r="L167" i="16"/>
  <c r="K167" i="16"/>
  <c r="J167" i="16"/>
  <c r="I167" i="16"/>
  <c r="H167" i="16"/>
  <c r="G167" i="16"/>
  <c r="F167" i="16"/>
  <c r="E167" i="16"/>
  <c r="D167" i="16"/>
  <c r="C167" i="16"/>
  <c r="B167" i="16"/>
  <c r="C173" i="16"/>
  <c r="D173" i="16"/>
  <c r="E173" i="16"/>
  <c r="F173" i="16"/>
  <c r="G173" i="16"/>
  <c r="H173" i="16"/>
  <c r="I173" i="16"/>
  <c r="J173" i="16"/>
  <c r="K173" i="16"/>
  <c r="L173" i="16"/>
  <c r="M173" i="16"/>
  <c r="N173" i="16"/>
  <c r="O173" i="16"/>
  <c r="P173" i="16"/>
  <c r="Q173" i="16"/>
  <c r="R173" i="16"/>
  <c r="S173" i="16"/>
  <c r="T173" i="16"/>
  <c r="U173" i="16"/>
  <c r="B173" i="16"/>
  <c r="T164" i="16"/>
  <c r="T176" i="16" s="1"/>
  <c r="B194" i="16"/>
  <c r="C194" i="16"/>
  <c r="D194" i="16"/>
  <c r="E194" i="16"/>
  <c r="F194" i="16"/>
  <c r="G194" i="16"/>
  <c r="H194" i="16"/>
  <c r="I194" i="16"/>
  <c r="J194" i="16"/>
  <c r="K194" i="16"/>
  <c r="L194" i="16"/>
  <c r="M194" i="16"/>
  <c r="N194" i="16"/>
  <c r="O194" i="16"/>
  <c r="P194" i="16"/>
  <c r="Q194" i="16"/>
  <c r="R194" i="16"/>
  <c r="S194" i="16"/>
  <c r="T194" i="16"/>
  <c r="U194" i="16"/>
  <c r="B195" i="16"/>
  <c r="C195" i="16"/>
  <c r="D195" i="16"/>
  <c r="E195" i="16"/>
  <c r="F195" i="16"/>
  <c r="G195" i="16"/>
  <c r="H195" i="16"/>
  <c r="I195" i="16"/>
  <c r="J195" i="16"/>
  <c r="K195" i="16"/>
  <c r="L195" i="16"/>
  <c r="M195" i="16"/>
  <c r="N195" i="16"/>
  <c r="O195" i="16"/>
  <c r="P195" i="16"/>
  <c r="Q195" i="16"/>
  <c r="R195" i="16"/>
  <c r="S195" i="16"/>
  <c r="T195" i="16"/>
  <c r="U195" i="16"/>
  <c r="B200" i="16"/>
  <c r="C200" i="16"/>
  <c r="D200" i="16"/>
  <c r="E200" i="16"/>
  <c r="F200" i="16"/>
  <c r="G200" i="16"/>
  <c r="H200" i="16"/>
  <c r="I200" i="16"/>
  <c r="J200" i="16"/>
  <c r="K200" i="16"/>
  <c r="L200" i="16"/>
  <c r="M200" i="16"/>
  <c r="N200" i="16"/>
  <c r="O200" i="16"/>
  <c r="P200" i="16"/>
  <c r="Q200" i="16"/>
  <c r="R200" i="16"/>
  <c r="S200" i="16"/>
  <c r="T200" i="16"/>
  <c r="U200" i="16"/>
  <c r="U201" i="16"/>
  <c r="B203" i="16"/>
  <c r="C203" i="16"/>
  <c r="D203" i="16"/>
  <c r="E203" i="16"/>
  <c r="F203" i="16"/>
  <c r="G203" i="16"/>
  <c r="H203" i="16"/>
  <c r="I203" i="16"/>
  <c r="J203" i="16"/>
  <c r="K203" i="16"/>
  <c r="L203" i="16"/>
  <c r="M203" i="16"/>
  <c r="N203" i="16"/>
  <c r="O203" i="16"/>
  <c r="P203" i="16"/>
  <c r="Q203" i="16"/>
  <c r="R203" i="16"/>
  <c r="S203" i="16"/>
  <c r="T203" i="16"/>
  <c r="U203" i="16"/>
  <c r="B204" i="16"/>
  <c r="C204" i="16"/>
  <c r="D204" i="16"/>
  <c r="E204" i="16"/>
  <c r="F204" i="16"/>
  <c r="G204" i="16"/>
  <c r="H204" i="16"/>
  <c r="I204" i="16"/>
  <c r="J204" i="16"/>
  <c r="K204" i="16"/>
  <c r="L204" i="16"/>
  <c r="M204" i="16"/>
  <c r="N204" i="16"/>
  <c r="O204" i="16"/>
  <c r="P204" i="16"/>
  <c r="Q204" i="16"/>
  <c r="R204" i="16"/>
  <c r="S204" i="16"/>
  <c r="T204" i="16"/>
  <c r="U204" i="16"/>
  <c r="B205" i="16"/>
  <c r="C205" i="16"/>
  <c r="D205" i="16"/>
  <c r="E205" i="16"/>
  <c r="F205" i="16"/>
  <c r="G205" i="16"/>
  <c r="H205" i="16"/>
  <c r="I205" i="16"/>
  <c r="J205" i="16"/>
  <c r="K205" i="16"/>
  <c r="L205" i="16"/>
  <c r="M205" i="16"/>
  <c r="N205" i="16"/>
  <c r="O205" i="16"/>
  <c r="P205" i="16"/>
  <c r="Q205" i="16"/>
  <c r="R205" i="16"/>
  <c r="S205" i="16"/>
  <c r="T205" i="16"/>
  <c r="U205" i="16"/>
  <c r="B206" i="16"/>
  <c r="C206" i="16"/>
  <c r="D206" i="16"/>
  <c r="E206" i="16"/>
  <c r="F206" i="16"/>
  <c r="G206" i="16"/>
  <c r="H206" i="16"/>
  <c r="I206" i="16"/>
  <c r="J206" i="16"/>
  <c r="K206" i="16"/>
  <c r="L206" i="16"/>
  <c r="M206" i="16"/>
  <c r="N206" i="16"/>
  <c r="O206" i="16"/>
  <c r="P206" i="16"/>
  <c r="Q206" i="16"/>
  <c r="R206" i="16"/>
  <c r="S206" i="16"/>
  <c r="T206" i="16"/>
  <c r="U206" i="16"/>
  <c r="B207" i="16"/>
  <c r="C207" i="16"/>
  <c r="D207" i="16"/>
  <c r="E207" i="16"/>
  <c r="F207" i="16"/>
  <c r="G207" i="16"/>
  <c r="H207" i="16"/>
  <c r="I207" i="16"/>
  <c r="J207" i="16"/>
  <c r="K207" i="16"/>
  <c r="L207" i="16"/>
  <c r="M207" i="16"/>
  <c r="N207" i="16"/>
  <c r="O207" i="16"/>
  <c r="P207" i="16"/>
  <c r="Q207" i="16"/>
  <c r="R207" i="16"/>
  <c r="S207" i="16"/>
  <c r="T207" i="16"/>
  <c r="U207" i="16"/>
  <c r="B208" i="16"/>
  <c r="C208" i="16"/>
  <c r="D208" i="16"/>
  <c r="E208" i="16"/>
  <c r="F208" i="16"/>
  <c r="G208" i="16"/>
  <c r="H208" i="16"/>
  <c r="I208" i="16"/>
  <c r="J208" i="16"/>
  <c r="K208" i="16"/>
  <c r="L208" i="16"/>
  <c r="M208" i="16"/>
  <c r="N208" i="16"/>
  <c r="O208" i="16"/>
  <c r="P208" i="16"/>
  <c r="Q208" i="16"/>
  <c r="R208" i="16"/>
  <c r="S208" i="16"/>
  <c r="T208" i="16"/>
  <c r="U208" i="16"/>
  <c r="B209" i="16"/>
  <c r="C209" i="16"/>
  <c r="D209" i="16"/>
  <c r="E209" i="16"/>
  <c r="F209" i="16"/>
  <c r="G209" i="16"/>
  <c r="H209" i="16"/>
  <c r="I209" i="16"/>
  <c r="J209" i="16"/>
  <c r="K209" i="16"/>
  <c r="L209" i="16"/>
  <c r="M209" i="16"/>
  <c r="N209" i="16"/>
  <c r="O209" i="16"/>
  <c r="P209" i="16"/>
  <c r="Q209" i="16"/>
  <c r="R209" i="16"/>
  <c r="S209" i="16"/>
  <c r="T209" i="16"/>
  <c r="U209" i="16"/>
  <c r="B210" i="16"/>
  <c r="C210" i="16"/>
  <c r="D210" i="16"/>
  <c r="E210" i="16"/>
  <c r="F210" i="16"/>
  <c r="G210" i="16"/>
  <c r="H210" i="16"/>
  <c r="I210" i="16"/>
  <c r="J210" i="16"/>
  <c r="K210" i="16"/>
  <c r="L210" i="16"/>
  <c r="M210" i="16"/>
  <c r="N210" i="16"/>
  <c r="O210" i="16"/>
  <c r="P210" i="16"/>
  <c r="Q210" i="16"/>
  <c r="R210" i="16"/>
  <c r="S210" i="16"/>
  <c r="T210" i="16"/>
  <c r="U210" i="16"/>
  <c r="B211" i="16"/>
  <c r="C211" i="16"/>
  <c r="D211" i="16"/>
  <c r="E211" i="16"/>
  <c r="F211" i="16"/>
  <c r="G211" i="16"/>
  <c r="H211" i="16"/>
  <c r="I211" i="16"/>
  <c r="J211" i="16"/>
  <c r="K211" i="16"/>
  <c r="L211" i="16"/>
  <c r="M211" i="16"/>
  <c r="N211" i="16"/>
  <c r="O211" i="16"/>
  <c r="P211" i="16"/>
  <c r="Q211" i="16"/>
  <c r="R211" i="16"/>
  <c r="S211" i="16"/>
  <c r="T211" i="16"/>
  <c r="U211" i="16"/>
  <c r="B212" i="16"/>
  <c r="C212" i="16"/>
  <c r="D212" i="16"/>
  <c r="E212" i="16"/>
  <c r="F212" i="16"/>
  <c r="G212" i="16"/>
  <c r="H212" i="16"/>
  <c r="I212" i="16"/>
  <c r="J212" i="16"/>
  <c r="K212" i="16"/>
  <c r="L212" i="16"/>
  <c r="M212" i="16"/>
  <c r="N212" i="16"/>
  <c r="O212" i="16"/>
  <c r="P212" i="16"/>
  <c r="Q212" i="16"/>
  <c r="R212" i="16"/>
  <c r="S212" i="16"/>
  <c r="T212" i="16"/>
  <c r="U212" i="16"/>
  <c r="B213" i="16"/>
  <c r="C213" i="16"/>
  <c r="D213" i="16"/>
  <c r="E213" i="16"/>
  <c r="F213" i="16"/>
  <c r="G213" i="16"/>
  <c r="H213" i="16"/>
  <c r="I213" i="16"/>
  <c r="J213" i="16"/>
  <c r="K213" i="16"/>
  <c r="L213" i="16"/>
  <c r="M213" i="16"/>
  <c r="N213" i="16"/>
  <c r="O213" i="16"/>
  <c r="P213" i="16"/>
  <c r="Q213" i="16"/>
  <c r="R213" i="16"/>
  <c r="S213" i="16"/>
  <c r="T213" i="16"/>
  <c r="U213" i="16"/>
  <c r="B214" i="16"/>
  <c r="C214" i="16"/>
  <c r="D214" i="16"/>
  <c r="E214" i="16"/>
  <c r="F214" i="16"/>
  <c r="G214" i="16"/>
  <c r="H214" i="16"/>
  <c r="I214" i="16"/>
  <c r="J214" i="16"/>
  <c r="K214" i="16"/>
  <c r="L214" i="16"/>
  <c r="M214" i="16"/>
  <c r="N214" i="16"/>
  <c r="O214" i="16"/>
  <c r="P214" i="16"/>
  <c r="Q214" i="16"/>
  <c r="R214" i="16"/>
  <c r="S214" i="16"/>
  <c r="T214" i="16"/>
  <c r="U214" i="16"/>
  <c r="B215" i="16"/>
  <c r="C215" i="16"/>
  <c r="D215" i="16"/>
  <c r="E215" i="16"/>
  <c r="F215" i="16"/>
  <c r="G215" i="16"/>
  <c r="H215" i="16"/>
  <c r="I215" i="16"/>
  <c r="J215" i="16"/>
  <c r="K215" i="16"/>
  <c r="L215" i="16"/>
  <c r="M215" i="16"/>
  <c r="N215" i="16"/>
  <c r="O215" i="16"/>
  <c r="P215" i="16"/>
  <c r="Q215" i="16"/>
  <c r="R215" i="16"/>
  <c r="S215" i="16"/>
  <c r="T215" i="16"/>
  <c r="U215" i="16"/>
  <c r="B216" i="16"/>
  <c r="C216" i="16"/>
  <c r="D216" i="16"/>
  <c r="E216" i="16"/>
  <c r="F216" i="16"/>
  <c r="G216" i="16"/>
  <c r="H216" i="16"/>
  <c r="I216" i="16"/>
  <c r="J216" i="16"/>
  <c r="K216" i="16"/>
  <c r="L216" i="16"/>
  <c r="M216" i="16"/>
  <c r="N216" i="16"/>
  <c r="O216" i="16"/>
  <c r="P216" i="16"/>
  <c r="Q216" i="16"/>
  <c r="R216" i="16"/>
  <c r="S216" i="16"/>
  <c r="T216" i="16"/>
  <c r="U216" i="16"/>
  <c r="B217" i="16"/>
  <c r="C217" i="16"/>
  <c r="D217" i="16"/>
  <c r="E217" i="16"/>
  <c r="F217" i="16"/>
  <c r="G217" i="16"/>
  <c r="H217" i="16"/>
  <c r="I217" i="16"/>
  <c r="J217" i="16"/>
  <c r="K217" i="16"/>
  <c r="L217" i="16"/>
  <c r="M217" i="16"/>
  <c r="N217" i="16"/>
  <c r="O217" i="16"/>
  <c r="P217" i="16"/>
  <c r="Q217" i="16"/>
  <c r="R217" i="16"/>
  <c r="S217" i="16"/>
  <c r="T217" i="16"/>
  <c r="U217" i="16"/>
  <c r="B218" i="16"/>
  <c r="C218" i="16"/>
  <c r="D218" i="16"/>
  <c r="E218" i="16"/>
  <c r="F218" i="16"/>
  <c r="G218" i="16"/>
  <c r="H218" i="16"/>
  <c r="I218" i="16"/>
  <c r="J218" i="16"/>
  <c r="K218" i="16"/>
  <c r="L218" i="16"/>
  <c r="M218" i="16"/>
  <c r="N218" i="16"/>
  <c r="O218" i="16"/>
  <c r="P218" i="16"/>
  <c r="Q218" i="16"/>
  <c r="R218" i="16"/>
  <c r="S218" i="16"/>
  <c r="T218" i="16"/>
  <c r="U218" i="16"/>
  <c r="V135" i="16"/>
  <c r="V131" i="16"/>
  <c r="B220" i="16"/>
  <c r="C220" i="16"/>
  <c r="D220" i="16"/>
  <c r="E220" i="16"/>
  <c r="F220" i="16"/>
  <c r="G220" i="16"/>
  <c r="H220" i="16"/>
  <c r="I220" i="16"/>
  <c r="J220" i="16"/>
  <c r="K220" i="16"/>
  <c r="L220" i="16"/>
  <c r="M220" i="16"/>
  <c r="N220" i="16"/>
  <c r="O220" i="16"/>
  <c r="P220" i="16"/>
  <c r="Q220" i="16"/>
  <c r="R220" i="16"/>
  <c r="S220" i="16"/>
  <c r="T220" i="16"/>
  <c r="U220" i="16"/>
  <c r="B219" i="16"/>
  <c r="C219" i="16"/>
  <c r="D219" i="16"/>
  <c r="E219" i="16"/>
  <c r="F219" i="16"/>
  <c r="G219" i="16"/>
  <c r="H219" i="16"/>
  <c r="I219" i="16"/>
  <c r="J219" i="16"/>
  <c r="K219" i="16"/>
  <c r="L219" i="16"/>
  <c r="M219" i="16"/>
  <c r="N219" i="16"/>
  <c r="O219" i="16"/>
  <c r="P219" i="16"/>
  <c r="Q219" i="16"/>
  <c r="R219" i="16"/>
  <c r="S219" i="16"/>
  <c r="T219" i="16"/>
  <c r="U219" i="16"/>
  <c r="H179" i="16" l="1"/>
  <c r="B179" i="16"/>
  <c r="I179" i="16"/>
  <c r="J179" i="16"/>
  <c r="V178" i="16"/>
  <c r="C179" i="16"/>
  <c r="O179" i="16"/>
  <c r="D179" i="16"/>
  <c r="P179" i="16"/>
  <c r="E179" i="16"/>
  <c r="Q179" i="16"/>
  <c r="F179" i="16"/>
  <c r="R179" i="16"/>
  <c r="U179" i="16"/>
  <c r="S179" i="16"/>
  <c r="G179" i="16"/>
  <c r="K179" i="16"/>
  <c r="V177" i="16"/>
  <c r="L179" i="16"/>
  <c r="V175" i="16"/>
  <c r="M179" i="16"/>
  <c r="N179" i="16"/>
  <c r="T167" i="16"/>
  <c r="T179" i="16" s="1"/>
  <c r="V173" i="16"/>
  <c r="V164" i="16"/>
  <c r="V176" i="16" s="1"/>
  <c r="C30" i="16"/>
  <c r="D30" i="16"/>
  <c r="E30" i="16"/>
  <c r="F30" i="16"/>
  <c r="G30" i="16"/>
  <c r="H30" i="16"/>
  <c r="I30" i="16"/>
  <c r="J30" i="16"/>
  <c r="K30" i="16"/>
  <c r="L30" i="16"/>
  <c r="M30" i="16"/>
  <c r="N30" i="16"/>
  <c r="O30" i="16"/>
  <c r="B30" i="16"/>
  <c r="J148" i="16"/>
  <c r="T150" i="16"/>
  <c r="J158" i="16"/>
  <c r="J147" i="16"/>
  <c r="N158" i="16"/>
  <c r="Q150" i="16"/>
  <c r="N150" i="16"/>
  <c r="G158" i="16"/>
  <c r="D158" i="16"/>
  <c r="G147" i="16"/>
  <c r="D147" i="16"/>
  <c r="V167" i="16" l="1"/>
  <c r="V179" i="16" s="1"/>
  <c r="Q159" i="16"/>
  <c r="N159" i="16"/>
  <c r="V34" i="16" l="1"/>
  <c r="S24" i="16" l="1"/>
  <c r="B191" i="16" s="1"/>
  <c r="D26" i="18" l="1"/>
  <c r="E47" i="18" l="1"/>
  <c r="F47" i="18"/>
  <c r="G47" i="18"/>
  <c r="H47" i="18"/>
  <c r="I47" i="18"/>
  <c r="J47" i="18"/>
  <c r="K47" i="18"/>
  <c r="O47" i="18"/>
  <c r="Q47" i="18"/>
  <c r="U47" i="18"/>
  <c r="V47" i="18"/>
  <c r="W47" i="18"/>
  <c r="D47" i="18"/>
  <c r="E46" i="18"/>
  <c r="G46" i="18"/>
  <c r="H46" i="18"/>
  <c r="I46" i="18"/>
  <c r="O46" i="18"/>
  <c r="V46" i="18"/>
  <c r="D46" i="18"/>
  <c r="K19" i="15" l="1"/>
  <c r="X72" i="18"/>
  <c r="X73" i="18"/>
  <c r="X74" i="18"/>
  <c r="X75" i="18"/>
  <c r="X76" i="18"/>
  <c r="X71" i="18"/>
  <c r="X11" i="18" l="1"/>
  <c r="X56" i="18" l="1"/>
  <c r="X57" i="18"/>
  <c r="X58" i="18"/>
  <c r="X55" i="18"/>
  <c r="D63" i="18" l="1"/>
  <c r="E63" i="18"/>
  <c r="D61" i="18"/>
  <c r="E61" i="18"/>
  <c r="X41" i="18" l="1"/>
  <c r="X43" i="18"/>
  <c r="E62" i="18" s="1"/>
  <c r="D24" i="18"/>
  <c r="X40" i="18"/>
  <c r="X39" i="18"/>
  <c r="X47" i="18" l="1"/>
  <c r="D50" i="18"/>
  <c r="D45" i="18" s="1"/>
  <c r="D49" i="18"/>
  <c r="D44" i="18" s="1"/>
  <c r="P45" i="18" l="1"/>
  <c r="O45" i="18"/>
  <c r="L45" i="18"/>
  <c r="M45" i="18"/>
  <c r="N45" i="18"/>
  <c r="K45" i="18"/>
  <c r="P44" i="18"/>
  <c r="O44" i="18"/>
  <c r="L44" i="18"/>
  <c r="K44" i="18"/>
  <c r="M44" i="18"/>
  <c r="N44" i="18"/>
  <c r="Q44" i="18"/>
  <c r="S44" i="18"/>
  <c r="T44" i="18"/>
  <c r="R44" i="18"/>
  <c r="I44" i="18"/>
  <c r="J44" i="18"/>
  <c r="E44" i="18"/>
  <c r="U44" i="18"/>
  <c r="F44" i="18"/>
  <c r="V44" i="18"/>
  <c r="G44" i="18"/>
  <c r="W44" i="18"/>
  <c r="H44" i="18"/>
  <c r="T45" i="18"/>
  <c r="F45" i="18"/>
  <c r="G45" i="18"/>
  <c r="E45" i="18"/>
  <c r="U45" i="18"/>
  <c r="V45" i="18"/>
  <c r="W45" i="18"/>
  <c r="S45" i="18"/>
  <c r="H45" i="18"/>
  <c r="I45" i="18"/>
  <c r="J45" i="18"/>
  <c r="Q45" i="18"/>
  <c r="R45" i="18"/>
  <c r="C72" i="13"/>
  <c r="D72" i="13"/>
  <c r="F72" i="13"/>
  <c r="E72" i="13"/>
  <c r="Q26" i="18" l="1"/>
  <c r="Q67" i="18" s="1"/>
  <c r="R98" i="12"/>
  <c r="R99" i="12"/>
  <c r="R97" i="12"/>
  <c r="R93" i="12"/>
  <c r="R81" i="12"/>
  <c r="R82" i="12"/>
  <c r="R83" i="12"/>
  <c r="R84" i="12"/>
  <c r="R85" i="12"/>
  <c r="R86" i="12"/>
  <c r="H83" i="12"/>
  <c r="N81" i="12" s="1"/>
  <c r="H84" i="12"/>
  <c r="H85" i="12"/>
  <c r="H86" i="12"/>
  <c r="N83" i="12" s="1"/>
  <c r="H87" i="12"/>
  <c r="H88" i="12"/>
  <c r="N85" i="12" s="1"/>
  <c r="H89" i="12"/>
  <c r="N86" i="12" s="1"/>
  <c r="H90" i="12"/>
  <c r="N87" i="12" s="1"/>
  <c r="H91" i="12"/>
  <c r="H92" i="12"/>
  <c r="H93" i="12"/>
  <c r="H94" i="12"/>
  <c r="H95" i="12"/>
  <c r="N89" i="12" s="1"/>
  <c r="H96" i="12"/>
  <c r="H97" i="12"/>
  <c r="H98" i="12"/>
  <c r="H99" i="12"/>
  <c r="H100" i="12"/>
  <c r="H101" i="12"/>
  <c r="H102" i="12"/>
  <c r="H103" i="12"/>
  <c r="H104" i="12"/>
  <c r="H82" i="12"/>
  <c r="N93" i="12"/>
  <c r="N84" i="12"/>
  <c r="N82" i="12"/>
  <c r="N90" i="12"/>
  <c r="N92" i="12"/>
  <c r="N94" i="12"/>
  <c r="N91" i="12" l="1"/>
  <c r="N95" i="12" s="1"/>
  <c r="N88" i="12"/>
  <c r="B84" i="12" l="1"/>
  <c r="M95" i="12" l="1"/>
  <c r="L72" i="12"/>
  <c r="L66" i="12"/>
  <c r="D68" i="12"/>
  <c r="L67" i="12" s="1"/>
  <c r="D69" i="12"/>
  <c r="L68" i="12" s="1"/>
  <c r="D70" i="12"/>
  <c r="L69" i="12" s="1"/>
  <c r="D71" i="12"/>
  <c r="L70" i="12" s="1"/>
  <c r="D72" i="12"/>
  <c r="L71" i="12" s="1"/>
  <c r="D73" i="12"/>
  <c r="D74" i="12"/>
  <c r="D75" i="12"/>
  <c r="D76" i="12"/>
  <c r="L73" i="12" s="1"/>
  <c r="D67" i="12"/>
  <c r="C77" i="12"/>
  <c r="B77" i="12"/>
  <c r="D77" i="12" l="1"/>
  <c r="O82" i="12" l="1"/>
  <c r="O83" i="12"/>
  <c r="O84" i="12"/>
  <c r="O85" i="12"/>
  <c r="O86" i="12"/>
  <c r="O87" i="12"/>
  <c r="O88" i="12"/>
  <c r="O89" i="12"/>
  <c r="O90" i="12"/>
  <c r="O91" i="12"/>
  <c r="O92" i="12"/>
  <c r="O93" i="12"/>
  <c r="O94" i="12"/>
  <c r="O81" i="12"/>
  <c r="N66" i="12"/>
  <c r="D62" i="12"/>
  <c r="E62" i="12"/>
  <c r="F62" i="12"/>
  <c r="G62" i="12"/>
  <c r="C62" i="12"/>
  <c r="N67" i="12"/>
  <c r="N68" i="12"/>
  <c r="N69" i="12"/>
  <c r="N70" i="12"/>
  <c r="N71" i="12"/>
  <c r="N73" i="12"/>
  <c r="K74" i="12"/>
  <c r="J74" i="12"/>
  <c r="G68" i="12"/>
  <c r="G69" i="12"/>
  <c r="G70" i="12"/>
  <c r="G71" i="12"/>
  <c r="G72" i="12"/>
  <c r="G73" i="12"/>
  <c r="G74" i="12"/>
  <c r="G75" i="12"/>
  <c r="G76" i="12"/>
  <c r="G67" i="12"/>
  <c r="F77" i="12"/>
  <c r="E77" i="12"/>
  <c r="O95" i="12" l="1"/>
  <c r="L74" i="12"/>
  <c r="M72" i="12"/>
  <c r="M74" i="12" s="1"/>
  <c r="N72" i="12"/>
  <c r="G77" i="12"/>
  <c r="P66" i="18"/>
  <c r="O66" i="18"/>
  <c r="N66" i="18"/>
  <c r="M66" i="18"/>
  <c r="L66" i="18"/>
  <c r="K66" i="18"/>
  <c r="D67" i="18"/>
  <c r="X37" i="18"/>
  <c r="X36" i="18"/>
  <c r="X42" i="18"/>
  <c r="X46" i="18" s="1"/>
  <c r="X38" i="18"/>
  <c r="E170" i="1"/>
  <c r="P9" i="15"/>
  <c r="B19" i="15"/>
  <c r="C19" i="15"/>
  <c r="D19" i="15"/>
  <c r="E19" i="15"/>
  <c r="F19" i="15"/>
  <c r="G19" i="15"/>
  <c r="H19" i="15"/>
  <c r="I19" i="15"/>
  <c r="J19" i="15"/>
  <c r="L19" i="15"/>
  <c r="M19" i="15"/>
  <c r="N19" i="15"/>
  <c r="O19" i="15"/>
  <c r="D48" i="18" l="1"/>
  <c r="D62" i="18"/>
  <c r="W24" i="18"/>
  <c r="P24" i="18"/>
  <c r="O24" i="18"/>
  <c r="P26" i="18"/>
  <c r="P67" i="18" s="1"/>
  <c r="O26" i="18"/>
  <c r="O67" i="18" s="1"/>
  <c r="L24" i="18"/>
  <c r="M24" i="18"/>
  <c r="N24" i="18"/>
  <c r="K24" i="18"/>
  <c r="L26" i="18"/>
  <c r="L67" i="18" s="1"/>
  <c r="M26" i="18"/>
  <c r="M67" i="18" s="1"/>
  <c r="N26" i="18"/>
  <c r="K26" i="18"/>
  <c r="K67" i="18" s="1"/>
  <c r="E26" i="18"/>
  <c r="E67" i="18" s="1"/>
  <c r="F26" i="18"/>
  <c r="F67" i="18" s="1"/>
  <c r="G26" i="18"/>
  <c r="G67" i="18" s="1"/>
  <c r="H26" i="18"/>
  <c r="H67" i="18" s="1"/>
  <c r="I26" i="18"/>
  <c r="I67" i="18" s="1"/>
  <c r="J26" i="18"/>
  <c r="J67" i="18" s="1"/>
  <c r="U26" i="18"/>
  <c r="U67" i="18" s="1"/>
  <c r="V26" i="18"/>
  <c r="V67" i="18" s="1"/>
  <c r="W26" i="18"/>
  <c r="W67" i="18" s="1"/>
  <c r="N67" i="18" l="1"/>
  <c r="E24" i="18"/>
  <c r="F24" i="18"/>
  <c r="G24" i="18"/>
  <c r="H24" i="18"/>
  <c r="I24" i="18"/>
  <c r="J24" i="18"/>
  <c r="Q24" i="18"/>
  <c r="U24" i="18"/>
  <c r="V24" i="18"/>
  <c r="G170" i="1"/>
  <c r="B157" i="1"/>
  <c r="P10" i="15"/>
  <c r="P12" i="15"/>
  <c r="P13" i="15"/>
  <c r="P14" i="15"/>
  <c r="P15" i="15"/>
  <c r="P16" i="15"/>
  <c r="P17" i="15"/>
  <c r="AF27" i="16"/>
  <c r="Y27" i="16"/>
  <c r="X27" i="16"/>
  <c r="T27" i="16"/>
  <c r="U27" i="16"/>
  <c r="V27" i="16"/>
  <c r="W27" i="16"/>
  <c r="AB27" i="16"/>
  <c r="S27" i="16"/>
  <c r="AJ26" i="16"/>
  <c r="S193" i="16" s="1"/>
  <c r="AK26" i="16"/>
  <c r="T193" i="16" s="1"/>
  <c r="AL26" i="16"/>
  <c r="U193" i="16" s="1"/>
  <c r="AK25" i="16"/>
  <c r="T192" i="16" s="1"/>
  <c r="AL25" i="16"/>
  <c r="U192" i="16" s="1"/>
  <c r="AJ25" i="16"/>
  <c r="S192" i="16" s="1"/>
  <c r="AK24" i="16"/>
  <c r="T191" i="16" s="1"/>
  <c r="AL24" i="16"/>
  <c r="U191" i="16" s="1"/>
  <c r="AJ24" i="16"/>
  <c r="S191" i="16" s="1"/>
  <c r="AF26" i="16"/>
  <c r="O193" i="16" s="1"/>
  <c r="AF25" i="16"/>
  <c r="O192" i="16" s="1"/>
  <c r="AF24" i="16"/>
  <c r="O191" i="16" s="1"/>
  <c r="S26" i="16"/>
  <c r="B193" i="16" s="1"/>
  <c r="T26" i="16"/>
  <c r="C193" i="16" s="1"/>
  <c r="U26" i="16"/>
  <c r="D193" i="16" s="1"/>
  <c r="V26" i="16"/>
  <c r="E193" i="16" s="1"/>
  <c r="W26" i="16"/>
  <c r="F193" i="16" s="1"/>
  <c r="X26" i="16"/>
  <c r="G193" i="16" s="1"/>
  <c r="Y26" i="16"/>
  <c r="H193" i="16" s="1"/>
  <c r="T25" i="16"/>
  <c r="C192" i="16" s="1"/>
  <c r="U25" i="16"/>
  <c r="D192" i="16" s="1"/>
  <c r="V25" i="16"/>
  <c r="E192" i="16" s="1"/>
  <c r="W25" i="16"/>
  <c r="F192" i="16" s="1"/>
  <c r="X25" i="16"/>
  <c r="G192" i="16" s="1"/>
  <c r="Y25" i="16"/>
  <c r="H192" i="16" s="1"/>
  <c r="S25" i="16"/>
  <c r="B192" i="16" s="1"/>
  <c r="T24" i="16"/>
  <c r="C191" i="16" s="1"/>
  <c r="U24" i="16"/>
  <c r="D191" i="16" s="1"/>
  <c r="V24" i="16"/>
  <c r="E191" i="16" s="1"/>
  <c r="W24" i="16"/>
  <c r="F191" i="16" s="1"/>
  <c r="X24" i="16"/>
  <c r="G191" i="16" s="1"/>
  <c r="Y24" i="16"/>
  <c r="H191" i="16" s="1"/>
  <c r="X24" i="18" l="1"/>
  <c r="AF19" i="16"/>
  <c r="Y19" i="16"/>
  <c r="AE17" i="16"/>
  <c r="AD17" i="16"/>
  <c r="AC17" i="16"/>
  <c r="AA17" i="16"/>
  <c r="Z17" i="16"/>
  <c r="X17" i="16"/>
  <c r="W17" i="16"/>
  <c r="V17" i="16"/>
  <c r="U17" i="16"/>
  <c r="V14" i="16"/>
  <c r="W14" i="16"/>
  <c r="X14" i="16"/>
  <c r="Z14" i="16"/>
  <c r="AA14" i="16"/>
  <c r="AC14" i="16"/>
  <c r="AD14" i="16"/>
  <c r="AE14" i="16"/>
  <c r="U14" i="16"/>
  <c r="AA19" i="16"/>
  <c r="Z19" i="16"/>
  <c r="AB19" i="16" l="1"/>
  <c r="AD26" i="16" s="1"/>
  <c r="M193" i="16" s="1"/>
  <c r="AF17" i="16"/>
  <c r="AH25" i="16" s="1"/>
  <c r="Q192" i="16" s="1"/>
  <c r="AB17" i="16"/>
  <c r="AE25" i="16" s="1"/>
  <c r="N192" i="16" s="1"/>
  <c r="AF14" i="16"/>
  <c r="AG24" i="16" s="1"/>
  <c r="P191" i="16" s="1"/>
  <c r="Y17" i="16"/>
  <c r="AC25" i="16" s="1"/>
  <c r="L192" i="16" s="1"/>
  <c r="AH26" i="16"/>
  <c r="Q193" i="16" s="1"/>
  <c r="AI26" i="16"/>
  <c r="R193" i="16" s="1"/>
  <c r="AG26" i="16"/>
  <c r="P193" i="16" s="1"/>
  <c r="AA26" i="16"/>
  <c r="J193" i="16" s="1"/>
  <c r="AB26" i="16"/>
  <c r="K193" i="16" s="1"/>
  <c r="AC26" i="16"/>
  <c r="L193" i="16" s="1"/>
  <c r="Z26" i="16"/>
  <c r="I193" i="16" s="1"/>
  <c r="AB14" i="16"/>
  <c r="AE24" i="16" s="1"/>
  <c r="N191" i="16" s="1"/>
  <c r="Y14" i="16"/>
  <c r="AA24" i="16" s="1"/>
  <c r="J191" i="16" s="1"/>
  <c r="AI25" i="16" l="1"/>
  <c r="R192" i="16" s="1"/>
  <c r="AE26" i="16"/>
  <c r="N193" i="16" s="1"/>
  <c r="Z25" i="16"/>
  <c r="I192" i="16" s="1"/>
  <c r="AG25" i="16"/>
  <c r="P192" i="16" s="1"/>
  <c r="Z24" i="16"/>
  <c r="I191" i="16" s="1"/>
  <c r="AH24" i="16"/>
  <c r="Q191" i="16" s="1"/>
  <c r="AD25" i="16"/>
  <c r="M192" i="16" s="1"/>
  <c r="AC24" i="16"/>
  <c r="L191" i="16" s="1"/>
  <c r="AB25" i="16"/>
  <c r="K192" i="16" s="1"/>
  <c r="AI24" i="16"/>
  <c r="R191" i="16" s="1"/>
  <c r="AA25" i="16"/>
  <c r="J192" i="16" s="1"/>
  <c r="AD24" i="16"/>
  <c r="M191" i="16" s="1"/>
  <c r="AB24" i="16"/>
  <c r="K191" i="16" s="1"/>
  <c r="P7" i="16"/>
  <c r="Y13" i="18" l="1"/>
  <c r="AA10" i="18" s="1"/>
  <c r="E21" i="18"/>
  <c r="F21" i="18"/>
  <c r="G21" i="18"/>
  <c r="H21" i="18"/>
  <c r="I21" i="18"/>
  <c r="J21" i="18"/>
  <c r="K21" i="18"/>
  <c r="O21" i="18"/>
  <c r="Q21" i="18"/>
  <c r="R21" i="18"/>
  <c r="U21" i="18"/>
  <c r="V21" i="18"/>
  <c r="W21" i="18"/>
  <c r="D21" i="18"/>
  <c r="E13" i="18"/>
  <c r="E14" i="18" s="1"/>
  <c r="F13" i="18"/>
  <c r="F14" i="18" s="1"/>
  <c r="G13" i="18"/>
  <c r="G14" i="18" s="1"/>
  <c r="H13" i="18"/>
  <c r="H14" i="18" s="1"/>
  <c r="I13" i="18"/>
  <c r="I14" i="18" s="1"/>
  <c r="J13" i="18"/>
  <c r="J14" i="18" s="1"/>
  <c r="K13" i="18"/>
  <c r="K14" i="18" s="1"/>
  <c r="O13" i="18"/>
  <c r="O14" i="18" s="1"/>
  <c r="Q13" i="18"/>
  <c r="Q14" i="18" s="1"/>
  <c r="R13" i="18"/>
  <c r="U13" i="18"/>
  <c r="V13" i="18"/>
  <c r="W13" i="18"/>
  <c r="D13" i="18"/>
  <c r="D14" i="18" s="1"/>
  <c r="X18" i="18"/>
  <c r="X19" i="18"/>
  <c r="X20" i="18"/>
  <c r="X17" i="18"/>
  <c r="X16" i="18"/>
  <c r="X15" i="18"/>
  <c r="X12" i="18"/>
  <c r="X10" i="18"/>
  <c r="X9" i="18"/>
  <c r="X8" i="18"/>
  <c r="X7" i="18"/>
  <c r="X22" i="18" l="1"/>
  <c r="U22" i="18"/>
  <c r="W22" i="18"/>
  <c r="Q22" i="18"/>
  <c r="O22" i="18"/>
  <c r="D22" i="18"/>
  <c r="V22" i="18"/>
  <c r="K22" i="18"/>
  <c r="J22" i="18"/>
  <c r="I22" i="18"/>
  <c r="I25" i="18"/>
  <c r="H22" i="18"/>
  <c r="G22" i="18"/>
  <c r="F22" i="18"/>
  <c r="E22" i="18"/>
  <c r="AA12" i="18"/>
  <c r="X21" i="18"/>
  <c r="D25" i="18" s="1"/>
  <c r="AA11" i="18"/>
  <c r="X13" i="18"/>
  <c r="AB11" i="18" s="1"/>
  <c r="C210" i="13"/>
  <c r="C209" i="13"/>
  <c r="C208" i="13"/>
  <c r="C207" i="13"/>
  <c r="C221" i="13"/>
  <c r="C220" i="13"/>
  <c r="D220" i="13" s="1"/>
  <c r="C219" i="13"/>
  <c r="C218" i="13"/>
  <c r="C217" i="13"/>
  <c r="C216" i="13"/>
  <c r="C215" i="13"/>
  <c r="C214" i="13"/>
  <c r="D219" i="13" s="1"/>
  <c r="C213" i="13"/>
  <c r="C212" i="13"/>
  <c r="C211" i="13"/>
  <c r="C206" i="13"/>
  <c r="C205" i="13"/>
  <c r="C204" i="13"/>
  <c r="C203" i="13"/>
  <c r="C202" i="13"/>
  <c r="C201" i="13"/>
  <c r="C200" i="13"/>
  <c r="C199" i="13"/>
  <c r="C198" i="13"/>
  <c r="C197" i="13"/>
  <c r="P8" i="16"/>
  <c r="P9" i="16"/>
  <c r="P11" i="16"/>
  <c r="P12" i="16"/>
  <c r="P10" i="16"/>
  <c r="P13" i="16"/>
  <c r="P14" i="16"/>
  <c r="P15" i="16"/>
  <c r="P16" i="16"/>
  <c r="P17" i="16"/>
  <c r="P18" i="16"/>
  <c r="P19" i="16"/>
  <c r="P28" i="16"/>
  <c r="P29" i="16"/>
  <c r="P20" i="16"/>
  <c r="P21" i="16"/>
  <c r="P22" i="16"/>
  <c r="P23" i="16"/>
  <c r="P24" i="16"/>
  <c r="P25" i="16"/>
  <c r="P26" i="16"/>
  <c r="P27" i="16"/>
  <c r="P6" i="16"/>
  <c r="W132" i="1"/>
  <c r="P8" i="15"/>
  <c r="Q10" i="15" s="1"/>
  <c r="P11" i="15"/>
  <c r="C18" i="15"/>
  <c r="D18" i="15"/>
  <c r="E18" i="15"/>
  <c r="F18" i="15"/>
  <c r="G18" i="15"/>
  <c r="H18" i="15"/>
  <c r="I18" i="15"/>
  <c r="J18" i="15"/>
  <c r="K18" i="15"/>
  <c r="L18" i="15"/>
  <c r="M18" i="15"/>
  <c r="N18" i="15"/>
  <c r="O18" i="15"/>
  <c r="B18" i="15"/>
  <c r="D203" i="13" l="1"/>
  <c r="D221" i="13"/>
  <c r="D212" i="13"/>
  <c r="D217" i="13"/>
  <c r="O25" i="18"/>
  <c r="H25" i="18"/>
  <c r="J25" i="18"/>
  <c r="K25" i="18"/>
  <c r="F25" i="18"/>
  <c r="N25" i="18"/>
  <c r="W25" i="18"/>
  <c r="L25" i="18"/>
  <c r="P25" i="18"/>
  <c r="Q25" i="18"/>
  <c r="G25" i="18"/>
  <c r="U25" i="18"/>
  <c r="E25" i="18"/>
  <c r="M25" i="18"/>
  <c r="V25" i="18"/>
  <c r="D216" i="13"/>
  <c r="Z10" i="18"/>
  <c r="Z12" i="18"/>
  <c r="Q12" i="15"/>
  <c r="Q17" i="15"/>
  <c r="Q16" i="15"/>
  <c r="Q15" i="15"/>
  <c r="Q14" i="15"/>
  <c r="Q13" i="15"/>
  <c r="Z11" i="18"/>
  <c r="P30" i="16"/>
  <c r="E159" i="1"/>
  <c r="E160" i="1"/>
  <c r="E161" i="1"/>
  <c r="E162" i="1"/>
  <c r="E163" i="1"/>
  <c r="E164" i="1"/>
  <c r="E165" i="1"/>
  <c r="E166" i="1"/>
  <c r="E167" i="1"/>
  <c r="E168" i="1"/>
  <c r="E169" i="1"/>
  <c r="E158" i="1"/>
  <c r="E157" i="1"/>
  <c r="C170" i="1"/>
  <c r="F170" i="1" s="1"/>
  <c r="B170" i="1"/>
  <c r="U31" i="15" l="1"/>
  <c r="X31" i="15"/>
  <c r="V31" i="15"/>
  <c r="W31" i="15"/>
  <c r="D222" i="13"/>
  <c r="X25" i="18"/>
  <c r="E60" i="18" s="1"/>
  <c r="C160" i="1"/>
  <c r="B160" i="1"/>
  <c r="AS32" i="1"/>
  <c r="AS33" i="1"/>
  <c r="AS34" i="1"/>
  <c r="AS35" i="1"/>
  <c r="AS36" i="1"/>
  <c r="AS37" i="1"/>
  <c r="AS38" i="1"/>
  <c r="AS39" i="1"/>
  <c r="AR33" i="1"/>
  <c r="AR34" i="1"/>
  <c r="AR35" i="1"/>
  <c r="AR36" i="1"/>
  <c r="AR37" i="1"/>
  <c r="AR38" i="1"/>
  <c r="AR39" i="1"/>
  <c r="AR32" i="1"/>
  <c r="D60" i="18" l="1"/>
  <c r="D160" i="1"/>
  <c r="G160" i="1"/>
  <c r="C164" i="1"/>
  <c r="C157" i="1"/>
  <c r="G158" i="1"/>
  <c r="G159" i="1"/>
  <c r="G161" i="1"/>
  <c r="G165" i="1"/>
  <c r="G169" i="1"/>
  <c r="B158" i="1"/>
  <c r="B159" i="1"/>
  <c r="B161" i="1"/>
  <c r="B162" i="1"/>
  <c r="B163" i="1"/>
  <c r="B164" i="1"/>
  <c r="B165" i="1"/>
  <c r="B166" i="1"/>
  <c r="B167" i="1"/>
  <c r="B168" i="1"/>
  <c r="B169" i="1"/>
  <c r="C158" i="1"/>
  <c r="C159" i="1"/>
  <c r="C161" i="1"/>
  <c r="C162" i="1"/>
  <c r="C163" i="1"/>
  <c r="C165" i="1"/>
  <c r="C166" i="1"/>
  <c r="C167" i="1"/>
  <c r="C168" i="1"/>
  <c r="C169" i="1"/>
  <c r="D170" i="1"/>
  <c r="C171" i="1" l="1"/>
  <c r="D158" i="1"/>
  <c r="D165" i="1"/>
  <c r="D169" i="1"/>
  <c r="D168" i="1"/>
  <c r="D167" i="1"/>
  <c r="D166" i="1"/>
  <c r="F157" i="1"/>
  <c r="F168" i="1"/>
  <c r="F164" i="1"/>
  <c r="G157" i="1"/>
  <c r="D161" i="1"/>
  <c r="F166" i="1"/>
  <c r="G168" i="1"/>
  <c r="F163" i="1"/>
  <c r="G166" i="1"/>
  <c r="F162" i="1"/>
  <c r="F167" i="1"/>
  <c r="F165" i="1"/>
  <c r="G167" i="1"/>
  <c r="G164" i="1"/>
  <c r="F159" i="1"/>
  <c r="G163" i="1"/>
  <c r="M161" i="1" s="1"/>
  <c r="G162" i="1"/>
  <c r="M158" i="1" s="1"/>
  <c r="F161" i="1"/>
  <c r="F158" i="1"/>
  <c r="F169" i="1"/>
  <c r="D163" i="1"/>
  <c r="D162" i="1"/>
  <c r="D164" i="1"/>
  <c r="B171" i="1"/>
  <c r="E171" i="1"/>
  <c r="F171" i="1" s="1"/>
  <c r="D159" i="1"/>
  <c r="D157" i="1"/>
  <c r="M157" i="1" l="1"/>
  <c r="M160" i="1"/>
  <c r="M162" i="1"/>
  <c r="M159" i="1"/>
  <c r="G171" i="1"/>
  <c r="D171" i="1"/>
  <c r="C43" i="14"/>
  <c r="E45" i="14"/>
  <c r="B54" i="14"/>
  <c r="G58" i="14" s="1"/>
  <c r="C46" i="14"/>
  <c r="E46" i="14"/>
  <c r="D51" i="14" l="1"/>
  <c r="D54" i="14" s="1"/>
  <c r="G60" i="14" s="1"/>
  <c r="C51" i="14"/>
  <c r="C54" i="14" s="1"/>
  <c r="G59" i="14" s="1"/>
  <c r="E51" i="14"/>
  <c r="E54" i="14" s="1"/>
  <c r="G61" i="14" s="1"/>
  <c r="G54" i="14" l="1"/>
  <c r="H54" i="14"/>
  <c r="I54" i="14"/>
  <c r="J54" i="14"/>
  <c r="K54" i="14"/>
  <c r="L54" i="14"/>
  <c r="M54" i="14"/>
  <c r="N54" i="14"/>
  <c r="O54" i="14"/>
  <c r="P54" i="14"/>
  <c r="Q54" i="14"/>
  <c r="F54" i="14"/>
  <c r="C36" i="14"/>
  <c r="D36" i="14"/>
  <c r="E36" i="14"/>
  <c r="F36" i="14"/>
  <c r="G36" i="14"/>
  <c r="H36" i="14"/>
  <c r="I36" i="14"/>
  <c r="J36" i="14"/>
  <c r="B36" i="14"/>
  <c r="K61" i="14" s="1"/>
  <c r="C20" i="14"/>
  <c r="D20" i="14"/>
  <c r="E20" i="14"/>
  <c r="F20" i="14"/>
  <c r="G20" i="14"/>
  <c r="H20" i="14"/>
  <c r="I20" i="14"/>
  <c r="J20" i="14"/>
  <c r="K20" i="14"/>
  <c r="L20" i="14"/>
  <c r="M20" i="14"/>
  <c r="N20" i="14"/>
  <c r="O20" i="14"/>
  <c r="P20" i="14"/>
  <c r="Q20" i="14"/>
  <c r="R20" i="14"/>
  <c r="S20" i="14"/>
  <c r="T20" i="14"/>
  <c r="U20" i="14"/>
  <c r="V20" i="14"/>
  <c r="B20" i="14"/>
  <c r="C67" i="14" l="1"/>
  <c r="G65" i="14"/>
  <c r="G64" i="14"/>
  <c r="C62" i="14"/>
  <c r="K62" i="14"/>
  <c r="G63" i="14"/>
  <c r="K63" i="14"/>
  <c r="G62" i="14"/>
  <c r="Q138" i="1"/>
  <c r="R138" i="1"/>
  <c r="S138" i="1"/>
  <c r="T138" i="1"/>
  <c r="U138" i="1"/>
  <c r="V138" i="1"/>
  <c r="Q139" i="1"/>
  <c r="R139" i="1"/>
  <c r="S139" i="1"/>
  <c r="T139" i="1"/>
  <c r="U139" i="1"/>
  <c r="V139" i="1"/>
  <c r="Q140" i="1"/>
  <c r="R140" i="1"/>
  <c r="S140" i="1"/>
  <c r="T140" i="1"/>
  <c r="U140" i="1"/>
  <c r="V140" i="1"/>
  <c r="Q141" i="1"/>
  <c r="R141" i="1"/>
  <c r="S141" i="1"/>
  <c r="T141" i="1"/>
  <c r="U141" i="1"/>
  <c r="V141" i="1"/>
  <c r="Q142" i="1"/>
  <c r="R142" i="1"/>
  <c r="S142" i="1"/>
  <c r="T142" i="1"/>
  <c r="U142" i="1"/>
  <c r="V142" i="1"/>
  <c r="Q143" i="1"/>
  <c r="R143" i="1"/>
  <c r="S143" i="1"/>
  <c r="T143" i="1"/>
  <c r="U143" i="1"/>
  <c r="V143" i="1"/>
  <c r="Q144" i="1"/>
  <c r="R144" i="1"/>
  <c r="S144" i="1"/>
  <c r="T144" i="1"/>
  <c r="U144" i="1"/>
  <c r="V144" i="1"/>
  <c r="Q145" i="1"/>
  <c r="R145" i="1"/>
  <c r="S145" i="1"/>
  <c r="T145" i="1"/>
  <c r="U145" i="1"/>
  <c r="V145" i="1"/>
  <c r="Q146" i="1"/>
  <c r="R146" i="1"/>
  <c r="S146" i="1"/>
  <c r="T146" i="1"/>
  <c r="U146" i="1"/>
  <c r="V146" i="1"/>
  <c r="Q147" i="1"/>
  <c r="R147" i="1"/>
  <c r="S147" i="1"/>
  <c r="T147" i="1"/>
  <c r="U147" i="1"/>
  <c r="V147" i="1"/>
  <c r="Q148" i="1"/>
  <c r="R148" i="1"/>
  <c r="S148" i="1"/>
  <c r="T148" i="1"/>
  <c r="U148" i="1"/>
  <c r="V148" i="1"/>
  <c r="Q149" i="1"/>
  <c r="R149" i="1"/>
  <c r="S149" i="1"/>
  <c r="T149" i="1"/>
  <c r="U149" i="1"/>
  <c r="V149" i="1"/>
  <c r="Q150" i="1"/>
  <c r="R150" i="1"/>
  <c r="S150" i="1"/>
  <c r="T150" i="1"/>
  <c r="U150" i="1"/>
  <c r="V150" i="1"/>
  <c r="Q151" i="1"/>
  <c r="R151" i="1"/>
  <c r="S151" i="1"/>
  <c r="T151" i="1"/>
  <c r="U151" i="1"/>
  <c r="V151" i="1"/>
  <c r="P139" i="1"/>
  <c r="P140" i="1"/>
  <c r="P141" i="1"/>
  <c r="P142" i="1"/>
  <c r="P143" i="1"/>
  <c r="P144" i="1"/>
  <c r="P145" i="1"/>
  <c r="P146" i="1"/>
  <c r="P147" i="1"/>
  <c r="P148" i="1"/>
  <c r="P149" i="1"/>
  <c r="P150" i="1"/>
  <c r="P151" i="1"/>
  <c r="W151" i="1" s="1"/>
  <c r="P138" i="1"/>
  <c r="B139" i="1"/>
  <c r="I139" i="1" s="1"/>
  <c r="C139" i="1"/>
  <c r="J139" i="1" s="1"/>
  <c r="D139" i="1"/>
  <c r="K139" i="1" s="1"/>
  <c r="E139" i="1"/>
  <c r="L139" i="1" s="1"/>
  <c r="F139" i="1"/>
  <c r="M139" i="1" s="1"/>
  <c r="G139" i="1"/>
  <c r="N139" i="1" s="1"/>
  <c r="H139" i="1"/>
  <c r="O139" i="1" s="1"/>
  <c r="B140" i="1"/>
  <c r="I140" i="1" s="1"/>
  <c r="C140" i="1"/>
  <c r="J140" i="1" s="1"/>
  <c r="D140" i="1"/>
  <c r="K140" i="1" s="1"/>
  <c r="E140" i="1"/>
  <c r="L140" i="1" s="1"/>
  <c r="F140" i="1"/>
  <c r="M140" i="1" s="1"/>
  <c r="G140" i="1"/>
  <c r="N140" i="1" s="1"/>
  <c r="H140" i="1"/>
  <c r="O140" i="1" s="1"/>
  <c r="B141" i="1"/>
  <c r="I141" i="1" s="1"/>
  <c r="C141" i="1"/>
  <c r="J141" i="1" s="1"/>
  <c r="D141" i="1"/>
  <c r="K141" i="1" s="1"/>
  <c r="E141" i="1"/>
  <c r="L141" i="1" s="1"/>
  <c r="F141" i="1"/>
  <c r="M141" i="1" s="1"/>
  <c r="G141" i="1"/>
  <c r="N141" i="1" s="1"/>
  <c r="H141" i="1"/>
  <c r="O141" i="1" s="1"/>
  <c r="B142" i="1"/>
  <c r="I142" i="1" s="1"/>
  <c r="C142" i="1"/>
  <c r="J142" i="1" s="1"/>
  <c r="D142" i="1"/>
  <c r="K142" i="1" s="1"/>
  <c r="E142" i="1"/>
  <c r="L142" i="1" s="1"/>
  <c r="F142" i="1"/>
  <c r="M142" i="1" s="1"/>
  <c r="G142" i="1"/>
  <c r="N142" i="1" s="1"/>
  <c r="H142" i="1"/>
  <c r="O142" i="1" s="1"/>
  <c r="B143" i="1"/>
  <c r="I143" i="1" s="1"/>
  <c r="C143" i="1"/>
  <c r="J143" i="1" s="1"/>
  <c r="D143" i="1"/>
  <c r="K143" i="1" s="1"/>
  <c r="E143" i="1"/>
  <c r="L143" i="1" s="1"/>
  <c r="F143" i="1"/>
  <c r="M143" i="1" s="1"/>
  <c r="G143" i="1"/>
  <c r="N143" i="1" s="1"/>
  <c r="H143" i="1"/>
  <c r="O143" i="1" s="1"/>
  <c r="B144" i="1"/>
  <c r="I144" i="1" s="1"/>
  <c r="C144" i="1"/>
  <c r="J144" i="1" s="1"/>
  <c r="D144" i="1"/>
  <c r="K144" i="1" s="1"/>
  <c r="E144" i="1"/>
  <c r="L144" i="1" s="1"/>
  <c r="F144" i="1"/>
  <c r="M144" i="1" s="1"/>
  <c r="G144" i="1"/>
  <c r="N144" i="1" s="1"/>
  <c r="H144" i="1"/>
  <c r="O144" i="1" s="1"/>
  <c r="B145" i="1"/>
  <c r="I145" i="1" s="1"/>
  <c r="C145" i="1"/>
  <c r="J145" i="1" s="1"/>
  <c r="D145" i="1"/>
  <c r="K145" i="1" s="1"/>
  <c r="E145" i="1"/>
  <c r="L145" i="1" s="1"/>
  <c r="F145" i="1"/>
  <c r="M145" i="1" s="1"/>
  <c r="G145" i="1"/>
  <c r="N145" i="1" s="1"/>
  <c r="H145" i="1"/>
  <c r="O145" i="1" s="1"/>
  <c r="B146" i="1"/>
  <c r="I146" i="1" s="1"/>
  <c r="C146" i="1"/>
  <c r="J146" i="1" s="1"/>
  <c r="D146" i="1"/>
  <c r="K146" i="1" s="1"/>
  <c r="E146" i="1"/>
  <c r="L146" i="1" s="1"/>
  <c r="F146" i="1"/>
  <c r="M146" i="1" s="1"/>
  <c r="G146" i="1"/>
  <c r="N146" i="1" s="1"/>
  <c r="H146" i="1"/>
  <c r="O146" i="1" s="1"/>
  <c r="B147" i="1"/>
  <c r="I147" i="1" s="1"/>
  <c r="C147" i="1"/>
  <c r="J147" i="1" s="1"/>
  <c r="D147" i="1"/>
  <c r="K147" i="1" s="1"/>
  <c r="E147" i="1"/>
  <c r="L147" i="1" s="1"/>
  <c r="F147" i="1"/>
  <c r="M147" i="1" s="1"/>
  <c r="G147" i="1"/>
  <c r="N147" i="1" s="1"/>
  <c r="H147" i="1"/>
  <c r="O147" i="1" s="1"/>
  <c r="B148" i="1"/>
  <c r="I148" i="1" s="1"/>
  <c r="C148" i="1"/>
  <c r="J148" i="1" s="1"/>
  <c r="D148" i="1"/>
  <c r="K148" i="1" s="1"/>
  <c r="E148" i="1"/>
  <c r="L148" i="1" s="1"/>
  <c r="F148" i="1"/>
  <c r="M148" i="1" s="1"/>
  <c r="G148" i="1"/>
  <c r="N148" i="1" s="1"/>
  <c r="H148" i="1"/>
  <c r="O148" i="1" s="1"/>
  <c r="B149" i="1"/>
  <c r="I149" i="1" s="1"/>
  <c r="C149" i="1"/>
  <c r="J149" i="1" s="1"/>
  <c r="D149" i="1"/>
  <c r="K149" i="1" s="1"/>
  <c r="E149" i="1"/>
  <c r="L149" i="1" s="1"/>
  <c r="F149" i="1"/>
  <c r="M149" i="1" s="1"/>
  <c r="G149" i="1"/>
  <c r="N149" i="1" s="1"/>
  <c r="H149" i="1"/>
  <c r="O149" i="1" s="1"/>
  <c r="B150" i="1"/>
  <c r="I150" i="1" s="1"/>
  <c r="C150" i="1"/>
  <c r="J150" i="1" s="1"/>
  <c r="D150" i="1"/>
  <c r="K150" i="1" s="1"/>
  <c r="E150" i="1"/>
  <c r="L150" i="1" s="1"/>
  <c r="F150" i="1"/>
  <c r="M150" i="1" s="1"/>
  <c r="G150" i="1"/>
  <c r="N150" i="1" s="1"/>
  <c r="H150" i="1"/>
  <c r="O150" i="1" s="1"/>
  <c r="B151" i="1"/>
  <c r="I151" i="1" s="1"/>
  <c r="C151" i="1"/>
  <c r="J151" i="1" s="1"/>
  <c r="D151" i="1"/>
  <c r="K151" i="1" s="1"/>
  <c r="E151" i="1"/>
  <c r="L151" i="1" s="1"/>
  <c r="F151" i="1"/>
  <c r="M151" i="1" s="1"/>
  <c r="G151" i="1"/>
  <c r="N151" i="1" s="1"/>
  <c r="H151" i="1"/>
  <c r="O151" i="1" s="1"/>
  <c r="C138" i="1"/>
  <c r="J138" i="1" s="1"/>
  <c r="D138" i="1"/>
  <c r="K138" i="1" s="1"/>
  <c r="E138" i="1"/>
  <c r="L138" i="1" s="1"/>
  <c r="F138" i="1"/>
  <c r="M138" i="1" s="1"/>
  <c r="G138" i="1"/>
  <c r="N138" i="1" s="1"/>
  <c r="H138" i="1"/>
  <c r="O138" i="1" s="1"/>
  <c r="B138" i="1"/>
  <c r="I138" i="1" s="1"/>
  <c r="AQ95" i="1" l="1"/>
  <c r="AP95" i="1"/>
  <c r="AQ94" i="1"/>
  <c r="AP94" i="1"/>
  <c r="AQ93" i="1"/>
  <c r="AP93" i="1"/>
  <c r="AQ92" i="1"/>
  <c r="AP92" i="1"/>
  <c r="AQ91" i="1"/>
  <c r="AP91" i="1"/>
  <c r="AQ90" i="1"/>
  <c r="AP90" i="1"/>
  <c r="AQ89" i="1"/>
  <c r="AP89" i="1"/>
  <c r="AN95" i="1"/>
  <c r="AM95" i="1"/>
  <c r="AN94" i="1"/>
  <c r="AM94" i="1"/>
  <c r="AN93" i="1"/>
  <c r="AM93" i="1"/>
  <c r="AN92" i="1"/>
  <c r="AM92" i="1"/>
  <c r="AN91" i="1"/>
  <c r="AM91" i="1"/>
  <c r="AN90" i="1"/>
  <c r="AM90" i="1"/>
  <c r="AN89" i="1"/>
  <c r="AM89" i="1"/>
  <c r="AK95" i="1"/>
  <c r="AJ95" i="1"/>
  <c r="AK94" i="1"/>
  <c r="AJ94" i="1"/>
  <c r="AK93" i="1"/>
  <c r="AJ93" i="1"/>
  <c r="AK92" i="1"/>
  <c r="AJ92" i="1"/>
  <c r="AK91" i="1"/>
  <c r="AJ91" i="1"/>
  <c r="AK90" i="1"/>
  <c r="AJ90" i="1"/>
  <c r="AK89" i="1"/>
  <c r="AJ89" i="1"/>
  <c r="AE95" i="1"/>
  <c r="AD95" i="1"/>
  <c r="AE94" i="1"/>
  <c r="AD94" i="1"/>
  <c r="AE93" i="1"/>
  <c r="AD93" i="1"/>
  <c r="AE92" i="1"/>
  <c r="AD92" i="1"/>
  <c r="AE91" i="1"/>
  <c r="AD91" i="1"/>
  <c r="AE90" i="1"/>
  <c r="AD90" i="1"/>
  <c r="AE89" i="1"/>
  <c r="AD89" i="1"/>
  <c r="AB95" i="1"/>
  <c r="AA95" i="1"/>
  <c r="AB94" i="1"/>
  <c r="AA94" i="1"/>
  <c r="AB93" i="1"/>
  <c r="AA93" i="1"/>
  <c r="AB92" i="1"/>
  <c r="AA92" i="1"/>
  <c r="AB91" i="1"/>
  <c r="AA91" i="1"/>
  <c r="AB90" i="1"/>
  <c r="AA90" i="1"/>
  <c r="AB89" i="1"/>
  <c r="AA89" i="1"/>
  <c r="Y95" i="1"/>
  <c r="X95" i="1"/>
  <c r="Y94" i="1"/>
  <c r="X94" i="1"/>
  <c r="Y93" i="1"/>
  <c r="X93" i="1"/>
  <c r="Y92" i="1"/>
  <c r="X92" i="1"/>
  <c r="Y91" i="1"/>
  <c r="X91" i="1"/>
  <c r="Y90" i="1"/>
  <c r="X90" i="1"/>
  <c r="Y89" i="1"/>
  <c r="X89" i="1"/>
  <c r="V95" i="1"/>
  <c r="U95" i="1"/>
  <c r="V94" i="1"/>
  <c r="U94" i="1"/>
  <c r="V93" i="1"/>
  <c r="U93" i="1"/>
  <c r="V92" i="1"/>
  <c r="U92" i="1"/>
  <c r="V91" i="1"/>
  <c r="U91" i="1"/>
  <c r="V90" i="1"/>
  <c r="U90" i="1"/>
  <c r="V89" i="1"/>
  <c r="U89" i="1"/>
  <c r="S95" i="1"/>
  <c r="R95" i="1"/>
  <c r="S94" i="1"/>
  <c r="R94" i="1"/>
  <c r="S93" i="1"/>
  <c r="R93" i="1"/>
  <c r="S92" i="1"/>
  <c r="R92" i="1"/>
  <c r="S91" i="1"/>
  <c r="R91" i="1"/>
  <c r="S90" i="1"/>
  <c r="R90" i="1"/>
  <c r="S89" i="1"/>
  <c r="R89" i="1"/>
  <c r="P95" i="1"/>
  <c r="O95" i="1"/>
  <c r="P94" i="1"/>
  <c r="O94" i="1"/>
  <c r="P93" i="1"/>
  <c r="O93" i="1"/>
  <c r="P92" i="1"/>
  <c r="O92" i="1"/>
  <c r="P91" i="1"/>
  <c r="O91" i="1"/>
  <c r="P90" i="1"/>
  <c r="O90" i="1"/>
  <c r="P89" i="1"/>
  <c r="O89" i="1"/>
  <c r="M95" i="1"/>
  <c r="L95" i="1"/>
  <c r="M94" i="1"/>
  <c r="L94" i="1"/>
  <c r="M93" i="1"/>
  <c r="L93" i="1"/>
  <c r="M92" i="1"/>
  <c r="L92" i="1"/>
  <c r="M91" i="1"/>
  <c r="L91" i="1"/>
  <c r="M90" i="1"/>
  <c r="L90" i="1"/>
  <c r="M89" i="1"/>
  <c r="L89" i="1"/>
  <c r="J95" i="1"/>
  <c r="I95" i="1"/>
  <c r="J94" i="1"/>
  <c r="I94" i="1"/>
  <c r="J93" i="1"/>
  <c r="I93" i="1"/>
  <c r="J92" i="1"/>
  <c r="I92" i="1"/>
  <c r="J91" i="1"/>
  <c r="I91" i="1"/>
  <c r="J90" i="1"/>
  <c r="I90" i="1"/>
  <c r="J89" i="1"/>
  <c r="I89" i="1"/>
  <c r="G95" i="1"/>
  <c r="F95" i="1"/>
  <c r="G94" i="1"/>
  <c r="F94" i="1"/>
  <c r="G93" i="1"/>
  <c r="F93" i="1"/>
  <c r="G92" i="1"/>
  <c r="F92" i="1"/>
  <c r="G91" i="1"/>
  <c r="F91" i="1"/>
  <c r="G90" i="1"/>
  <c r="F90" i="1"/>
  <c r="G89" i="1"/>
  <c r="F89" i="1"/>
  <c r="D90" i="1"/>
  <c r="D91" i="1"/>
  <c r="D92" i="1"/>
  <c r="D93" i="1"/>
  <c r="D94" i="1"/>
  <c r="D95" i="1"/>
  <c r="D89" i="1"/>
  <c r="C90" i="1"/>
  <c r="C91" i="1"/>
  <c r="C92" i="1"/>
  <c r="C93" i="1"/>
  <c r="C94" i="1"/>
  <c r="C95" i="1"/>
  <c r="C89" i="1"/>
  <c r="AO111" i="1"/>
  <c r="AL111" i="1"/>
  <c r="AI111" i="1"/>
  <c r="AC111" i="1"/>
  <c r="Z111" i="1"/>
  <c r="W111" i="1"/>
  <c r="T111" i="1"/>
  <c r="Q111" i="1"/>
  <c r="N111" i="1"/>
  <c r="K111" i="1"/>
  <c r="H111" i="1"/>
  <c r="E111" i="1"/>
  <c r="B111" i="1"/>
  <c r="AO96" i="1"/>
  <c r="AL96" i="1"/>
  <c r="AI96" i="1"/>
  <c r="AC96" i="1"/>
  <c r="Z96" i="1"/>
  <c r="W96" i="1"/>
  <c r="T96" i="1"/>
  <c r="Q96" i="1"/>
  <c r="N96" i="1"/>
  <c r="K96" i="1"/>
  <c r="H96" i="1"/>
  <c r="E96" i="1"/>
  <c r="B96" i="1"/>
  <c r="I72" i="1"/>
  <c r="H72" i="1"/>
  <c r="D107" i="1" s="1"/>
  <c r="G72" i="1"/>
  <c r="F72" i="1"/>
  <c r="C103" i="1" s="1"/>
  <c r="AP109" i="1" l="1"/>
  <c r="C104" i="1"/>
  <c r="C110" i="1"/>
  <c r="AM106" i="1"/>
  <c r="AN105" i="1"/>
  <c r="AN108" i="1"/>
  <c r="G107" i="1"/>
  <c r="S105" i="1"/>
  <c r="R106" i="1"/>
  <c r="S108" i="1"/>
  <c r="Y107" i="1"/>
  <c r="I106" i="1"/>
  <c r="AA106" i="1"/>
  <c r="J105" i="1"/>
  <c r="J108" i="1"/>
  <c r="AB108" i="1"/>
  <c r="P107" i="1"/>
  <c r="AK107" i="1"/>
  <c r="F108" i="1"/>
  <c r="G110" i="1"/>
  <c r="O108" i="1"/>
  <c r="AJ108" i="1"/>
  <c r="X108" i="1"/>
  <c r="Y110" i="1"/>
  <c r="AB105" i="1"/>
  <c r="P110" i="1"/>
  <c r="AK110" i="1"/>
  <c r="D105" i="1"/>
  <c r="M109" i="1"/>
  <c r="V109" i="1"/>
  <c r="AE109" i="1"/>
  <c r="AQ109" i="1"/>
  <c r="AQ96" i="1"/>
  <c r="D106" i="1"/>
  <c r="V106" i="1"/>
  <c r="AQ106" i="1"/>
  <c r="D104" i="1"/>
  <c r="L110" i="1"/>
  <c r="U110" i="1"/>
  <c r="AD110" i="1"/>
  <c r="AP110" i="1"/>
  <c r="M106" i="1"/>
  <c r="AE106" i="1"/>
  <c r="AK96" i="1"/>
  <c r="G104" i="1"/>
  <c r="P104" i="1"/>
  <c r="Y104" i="1"/>
  <c r="AK104" i="1"/>
  <c r="C109" i="1"/>
  <c r="F96" i="1"/>
  <c r="X96" i="1"/>
  <c r="M103" i="1"/>
  <c r="V103" i="1"/>
  <c r="AE103" i="1"/>
  <c r="AQ103" i="1"/>
  <c r="D103" i="1"/>
  <c r="L104" i="1"/>
  <c r="U104" i="1"/>
  <c r="AD104" i="1"/>
  <c r="AP104" i="1"/>
  <c r="G96" i="1"/>
  <c r="Y96" i="1"/>
  <c r="I96" i="1"/>
  <c r="AA96" i="1"/>
  <c r="C107" i="1"/>
  <c r="F103" i="1"/>
  <c r="F109" i="1"/>
  <c r="I107" i="1"/>
  <c r="L105" i="1"/>
  <c r="O103" i="1"/>
  <c r="O109" i="1"/>
  <c r="R107" i="1"/>
  <c r="U105" i="1"/>
  <c r="X103" i="1"/>
  <c r="X109" i="1"/>
  <c r="AA107" i="1"/>
  <c r="AD105" i="1"/>
  <c r="AJ103" i="1"/>
  <c r="AJ109" i="1"/>
  <c r="AM107" i="1"/>
  <c r="AP105" i="1"/>
  <c r="J96" i="1"/>
  <c r="M96" i="1"/>
  <c r="C106" i="1"/>
  <c r="G103" i="1"/>
  <c r="G109" i="1"/>
  <c r="J107" i="1"/>
  <c r="M105" i="1"/>
  <c r="P103" i="1"/>
  <c r="P109" i="1"/>
  <c r="S107" i="1"/>
  <c r="V105" i="1"/>
  <c r="Y103" i="1"/>
  <c r="Y109" i="1"/>
  <c r="AB107" i="1"/>
  <c r="AE105" i="1"/>
  <c r="AK103" i="1"/>
  <c r="AK109" i="1"/>
  <c r="AN107" i="1"/>
  <c r="AQ105" i="1"/>
  <c r="AB96" i="1"/>
  <c r="C108" i="1"/>
  <c r="G108" i="1"/>
  <c r="J106" i="1"/>
  <c r="M104" i="1"/>
  <c r="M110" i="1"/>
  <c r="P108" i="1"/>
  <c r="S106" i="1"/>
  <c r="V104" i="1"/>
  <c r="V110" i="1"/>
  <c r="Y108" i="1"/>
  <c r="AB106" i="1"/>
  <c r="AE104" i="1"/>
  <c r="AE110" i="1"/>
  <c r="AK108" i="1"/>
  <c r="AN106" i="1"/>
  <c r="AQ104" i="1"/>
  <c r="AQ110" i="1"/>
  <c r="L96" i="1"/>
  <c r="AD96" i="1"/>
  <c r="C105" i="1"/>
  <c r="F104" i="1"/>
  <c r="F110" i="1"/>
  <c r="I108" i="1"/>
  <c r="L106" i="1"/>
  <c r="O104" i="1"/>
  <c r="O110" i="1"/>
  <c r="R108" i="1"/>
  <c r="U106" i="1"/>
  <c r="X104" i="1"/>
  <c r="X110" i="1"/>
  <c r="AA108" i="1"/>
  <c r="AD106" i="1"/>
  <c r="AJ104" i="1"/>
  <c r="AJ110" i="1"/>
  <c r="AM108" i="1"/>
  <c r="AP106" i="1"/>
  <c r="L107" i="1"/>
  <c r="U107" i="1"/>
  <c r="AD107" i="1"/>
  <c r="AM109" i="1"/>
  <c r="P96" i="1"/>
  <c r="S96" i="1"/>
  <c r="AN96" i="1"/>
  <c r="D110" i="1"/>
  <c r="G105" i="1"/>
  <c r="J103" i="1"/>
  <c r="J109" i="1"/>
  <c r="M107" i="1"/>
  <c r="P105" i="1"/>
  <c r="S103" i="1"/>
  <c r="S109" i="1"/>
  <c r="V107" i="1"/>
  <c r="Y105" i="1"/>
  <c r="AB103" i="1"/>
  <c r="AB109" i="1"/>
  <c r="AE107" i="1"/>
  <c r="AK105" i="1"/>
  <c r="AN103" i="1"/>
  <c r="AN109" i="1"/>
  <c r="AQ107" i="1"/>
  <c r="R96" i="1"/>
  <c r="AJ96" i="1"/>
  <c r="I109" i="1"/>
  <c r="R109" i="1"/>
  <c r="AA103" i="1"/>
  <c r="AJ105" i="1"/>
  <c r="D109" i="1"/>
  <c r="F106" i="1"/>
  <c r="I104" i="1"/>
  <c r="I110" i="1"/>
  <c r="L108" i="1"/>
  <c r="O106" i="1"/>
  <c r="R104" i="1"/>
  <c r="R110" i="1"/>
  <c r="U108" i="1"/>
  <c r="X106" i="1"/>
  <c r="AA104" i="1"/>
  <c r="AA110" i="1"/>
  <c r="AD108" i="1"/>
  <c r="AJ106" i="1"/>
  <c r="AM104" i="1"/>
  <c r="AM110" i="1"/>
  <c r="AP108" i="1"/>
  <c r="AE96" i="1"/>
  <c r="O96" i="1"/>
  <c r="F105" i="1"/>
  <c r="O105" i="1"/>
  <c r="X105" i="1"/>
  <c r="AM103" i="1"/>
  <c r="V96" i="1"/>
  <c r="D108" i="1"/>
  <c r="G106" i="1"/>
  <c r="J104" i="1"/>
  <c r="J110" i="1"/>
  <c r="M108" i="1"/>
  <c r="P106" i="1"/>
  <c r="S104" i="1"/>
  <c r="S110" i="1"/>
  <c r="V108" i="1"/>
  <c r="Y106" i="1"/>
  <c r="AB104" i="1"/>
  <c r="AB110" i="1"/>
  <c r="AE108" i="1"/>
  <c r="AK106" i="1"/>
  <c r="AN104" i="1"/>
  <c r="AN110" i="1"/>
  <c r="AQ108" i="1"/>
  <c r="AM96" i="1"/>
  <c r="I103" i="1"/>
  <c r="R103" i="1"/>
  <c r="AA109" i="1"/>
  <c r="AP107" i="1"/>
  <c r="U96" i="1"/>
  <c r="AP96" i="1"/>
  <c r="F107" i="1"/>
  <c r="I105" i="1"/>
  <c r="L103" i="1"/>
  <c r="L109" i="1"/>
  <c r="O107" i="1"/>
  <c r="R105" i="1"/>
  <c r="U103" i="1"/>
  <c r="U109" i="1"/>
  <c r="X107" i="1"/>
  <c r="AA105" i="1"/>
  <c r="AD103" i="1"/>
  <c r="AD109" i="1"/>
  <c r="AJ107" i="1"/>
  <c r="AM105" i="1"/>
  <c r="AP103" i="1"/>
  <c r="BB14" i="12" l="1"/>
  <c r="C37" i="12" s="1"/>
  <c r="BB5" i="12"/>
  <c r="BB6" i="12"/>
  <c r="BB19" i="12"/>
  <c r="BB20" i="12"/>
  <c r="BB21" i="12"/>
  <c r="BB28" i="12"/>
  <c r="C44" i="12" s="1"/>
  <c r="BB11" i="12"/>
  <c r="C34" i="12" s="1"/>
  <c r="BB22" i="12"/>
  <c r="C40" i="12" s="1"/>
  <c r="BB7" i="12"/>
  <c r="BB8" i="12"/>
  <c r="BB26" i="12"/>
  <c r="BB27" i="12"/>
  <c r="C43" i="12" s="1"/>
  <c r="BB13" i="12"/>
  <c r="C36" i="12" s="1"/>
  <c r="BB23" i="12"/>
  <c r="BB24" i="12"/>
  <c r="BB25" i="12"/>
  <c r="BB12" i="12"/>
  <c r="C35" i="12" s="1"/>
  <c r="O35" i="12" s="1"/>
  <c r="BB15" i="12"/>
  <c r="BB16" i="12"/>
  <c r="BB17" i="12"/>
  <c r="BB18" i="12"/>
  <c r="BB9" i="12"/>
  <c r="BB10" i="12"/>
  <c r="BC19" i="12"/>
  <c r="BD19" i="12"/>
  <c r="BC20" i="12"/>
  <c r="BD20" i="12"/>
  <c r="BC21" i="12"/>
  <c r="BD21" i="12"/>
  <c r="BC28" i="12"/>
  <c r="BD28" i="12"/>
  <c r="K44" i="12" s="1"/>
  <c r="BC11" i="12"/>
  <c r="G34" i="12" s="1"/>
  <c r="BD11" i="12"/>
  <c r="K34" i="12" s="1"/>
  <c r="BC22" i="12"/>
  <c r="BD22" i="12"/>
  <c r="K40" i="12" s="1"/>
  <c r="BC7" i="12"/>
  <c r="BD7" i="12"/>
  <c r="BC8" i="12"/>
  <c r="BD8" i="12"/>
  <c r="BC26" i="12"/>
  <c r="G42" i="12" s="1"/>
  <c r="BD26" i="12"/>
  <c r="K42" i="12" s="1"/>
  <c r="BC27" i="12"/>
  <c r="G43" i="12" s="1"/>
  <c r="BD27" i="12"/>
  <c r="K43" i="12" s="1"/>
  <c r="BC13" i="12"/>
  <c r="G36" i="12" s="1"/>
  <c r="BD13" i="12"/>
  <c r="K36" i="12" s="1"/>
  <c r="BC23" i="12"/>
  <c r="BD23" i="12"/>
  <c r="BC24" i="12"/>
  <c r="BD24" i="12"/>
  <c r="BC25" i="12"/>
  <c r="BD25" i="12"/>
  <c r="BC12" i="12"/>
  <c r="G35" i="12" s="1"/>
  <c r="BD12" i="12"/>
  <c r="K35" i="12" s="1"/>
  <c r="BC15" i="12"/>
  <c r="BD15" i="12"/>
  <c r="BC16" i="12"/>
  <c r="BD16" i="12"/>
  <c r="BC17" i="12"/>
  <c r="BD17" i="12"/>
  <c r="BC18" i="12"/>
  <c r="BD18" i="12"/>
  <c r="BC9" i="12"/>
  <c r="BD9" i="12"/>
  <c r="BC10" i="12"/>
  <c r="BD10" i="12"/>
  <c r="BC14" i="12"/>
  <c r="G37" i="12" s="1"/>
  <c r="BD14" i="12"/>
  <c r="K37" i="12" s="1"/>
  <c r="BC5" i="12"/>
  <c r="BD5" i="12"/>
  <c r="BD6" i="12"/>
  <c r="BC6" i="12"/>
  <c r="AS14" i="12"/>
  <c r="J37" i="12" s="1"/>
  <c r="AT14" i="12"/>
  <c r="N37" i="12" s="1"/>
  <c r="AS5" i="12"/>
  <c r="AT5" i="12"/>
  <c r="AS6" i="12"/>
  <c r="AT6" i="12"/>
  <c r="AS19" i="12"/>
  <c r="AT19" i="12"/>
  <c r="AS20" i="12"/>
  <c r="AT20" i="12"/>
  <c r="AS21" i="12"/>
  <c r="AT21" i="12"/>
  <c r="AS28" i="12"/>
  <c r="J44" i="12" s="1"/>
  <c r="AT28" i="12"/>
  <c r="N44" i="12" s="1"/>
  <c r="AS11" i="12"/>
  <c r="J34" i="12" s="1"/>
  <c r="AT11" i="12"/>
  <c r="N34" i="12" s="1"/>
  <c r="AS22" i="12"/>
  <c r="J40" i="12" s="1"/>
  <c r="AT22" i="12"/>
  <c r="N40" i="12" s="1"/>
  <c r="AS7" i="12"/>
  <c r="AT7" i="12"/>
  <c r="AS8" i="12"/>
  <c r="AT8" i="12"/>
  <c r="AS26" i="12"/>
  <c r="J42" i="12" s="1"/>
  <c r="AT26" i="12"/>
  <c r="N42" i="12" s="1"/>
  <c r="AS27" i="12"/>
  <c r="J43" i="12" s="1"/>
  <c r="AT27" i="12"/>
  <c r="N43" i="12" s="1"/>
  <c r="AS13" i="12"/>
  <c r="J36" i="12" s="1"/>
  <c r="AT13" i="12"/>
  <c r="N36" i="12" s="1"/>
  <c r="AS23" i="12"/>
  <c r="AT23" i="12"/>
  <c r="AS24" i="12"/>
  <c r="AT24" i="12"/>
  <c r="AS25" i="12"/>
  <c r="AT25" i="12"/>
  <c r="AS12" i="12"/>
  <c r="J35" i="12" s="1"/>
  <c r="AT12" i="12"/>
  <c r="N35" i="12" s="1"/>
  <c r="AS15" i="12"/>
  <c r="AT15" i="12"/>
  <c r="AS16" i="12"/>
  <c r="AT16" i="12"/>
  <c r="AS17" i="12"/>
  <c r="AT17" i="12"/>
  <c r="AS18" i="12"/>
  <c r="AT18" i="12"/>
  <c r="AS9" i="12"/>
  <c r="AT9" i="12"/>
  <c r="AS10" i="12"/>
  <c r="AT10" i="12"/>
  <c r="AR5" i="12"/>
  <c r="AR6" i="12"/>
  <c r="AR19" i="12"/>
  <c r="AR20" i="12"/>
  <c r="AR21" i="12"/>
  <c r="AR28" i="12"/>
  <c r="F44" i="12" s="1"/>
  <c r="R44" i="12" s="1"/>
  <c r="AR11" i="12"/>
  <c r="AR22" i="12"/>
  <c r="F40" i="12" s="1"/>
  <c r="R40" i="12" s="1"/>
  <c r="AR7" i="12"/>
  <c r="AR8" i="12"/>
  <c r="AR26" i="12"/>
  <c r="F42" i="12" s="1"/>
  <c r="R42" i="12" s="1"/>
  <c r="AR27" i="12"/>
  <c r="F43" i="12" s="1"/>
  <c r="AR13" i="12"/>
  <c r="F36" i="12" s="1"/>
  <c r="AR23" i="12"/>
  <c r="AR24" i="12"/>
  <c r="AR25" i="12"/>
  <c r="AR12" i="12"/>
  <c r="F35" i="12" s="1"/>
  <c r="AR15" i="12"/>
  <c r="AR16" i="12"/>
  <c r="AR17" i="12"/>
  <c r="AR18" i="12"/>
  <c r="AR9" i="12"/>
  <c r="AR10" i="12"/>
  <c r="AR14" i="12"/>
  <c r="F37" i="12" s="1"/>
  <c r="AF14" i="12"/>
  <c r="H37" i="12" s="1"/>
  <c r="AG14" i="12"/>
  <c r="L37" i="12" s="1"/>
  <c r="AF5" i="12"/>
  <c r="AG5" i="12"/>
  <c r="AF6" i="12"/>
  <c r="AG6" i="12"/>
  <c r="AF19" i="12"/>
  <c r="AG19" i="12"/>
  <c r="AF20" i="12"/>
  <c r="AG20" i="12"/>
  <c r="AF21" i="12"/>
  <c r="AG21" i="12"/>
  <c r="AF28" i="12"/>
  <c r="H44" i="12" s="1"/>
  <c r="AG28" i="12"/>
  <c r="L44" i="12" s="1"/>
  <c r="AD31" i="12" s="1"/>
  <c r="AF11" i="12"/>
  <c r="H34" i="12" s="1"/>
  <c r="AG11" i="12"/>
  <c r="L34" i="12" s="1"/>
  <c r="AF22" i="12"/>
  <c r="H40" i="12" s="1"/>
  <c r="AG22" i="12"/>
  <c r="L40" i="12" s="1"/>
  <c r="AF7" i="12"/>
  <c r="AG7" i="12"/>
  <c r="AF8" i="12"/>
  <c r="AG8" i="12"/>
  <c r="AF26" i="12"/>
  <c r="H42" i="12" s="1"/>
  <c r="AG26" i="12"/>
  <c r="L42" i="12" s="1"/>
  <c r="AF27" i="12"/>
  <c r="H43" i="12" s="1"/>
  <c r="AG27" i="12"/>
  <c r="L43" i="12" s="1"/>
  <c r="AD32" i="12" s="1"/>
  <c r="AF13" i="12"/>
  <c r="H36" i="12" s="1"/>
  <c r="AG13" i="12"/>
  <c r="L36" i="12" s="1"/>
  <c r="AF23" i="12"/>
  <c r="AG23" i="12"/>
  <c r="AF24" i="12"/>
  <c r="AG24" i="12"/>
  <c r="AF25" i="12"/>
  <c r="AG25" i="12"/>
  <c r="AF12" i="12"/>
  <c r="H35" i="12" s="1"/>
  <c r="AG12" i="12"/>
  <c r="L35" i="12" s="1"/>
  <c r="AF15" i="12"/>
  <c r="AG15" i="12"/>
  <c r="AF16" i="12"/>
  <c r="AG16" i="12"/>
  <c r="AF17" i="12"/>
  <c r="AG17" i="12"/>
  <c r="AF18" i="12"/>
  <c r="AG18" i="12"/>
  <c r="AF9" i="12"/>
  <c r="AG9" i="12"/>
  <c r="AF10" i="12"/>
  <c r="AG10" i="12"/>
  <c r="AE10" i="12"/>
  <c r="AE5" i="12"/>
  <c r="AE6" i="12"/>
  <c r="AE19" i="12"/>
  <c r="AE20" i="12"/>
  <c r="AE21" i="12"/>
  <c r="AE28" i="12"/>
  <c r="D44" i="12" s="1"/>
  <c r="AE11" i="12"/>
  <c r="D34" i="12" s="1"/>
  <c r="P34" i="12" s="1"/>
  <c r="AE22" i="12"/>
  <c r="D40" i="12" s="1"/>
  <c r="P40" i="12" s="1"/>
  <c r="AE7" i="12"/>
  <c r="AE8" i="12"/>
  <c r="AE26" i="12"/>
  <c r="D42" i="12" s="1"/>
  <c r="AE27" i="12"/>
  <c r="AE13" i="12"/>
  <c r="D36" i="12" s="1"/>
  <c r="AE23" i="12"/>
  <c r="AE24" i="12"/>
  <c r="AE25" i="12"/>
  <c r="AE12" i="12"/>
  <c r="D35" i="12" s="1"/>
  <c r="AE15" i="12"/>
  <c r="AE16" i="12"/>
  <c r="AE17" i="12"/>
  <c r="AE18" i="12"/>
  <c r="AE9" i="12"/>
  <c r="AE14" i="12"/>
  <c r="D37" i="12" s="1"/>
  <c r="I14" i="12"/>
  <c r="I37" i="12" s="1"/>
  <c r="J14" i="12"/>
  <c r="M37" i="12" s="1"/>
  <c r="I5" i="12"/>
  <c r="J5" i="12"/>
  <c r="I6" i="12"/>
  <c r="J6" i="12"/>
  <c r="I19" i="12"/>
  <c r="J19" i="12"/>
  <c r="I20" i="12"/>
  <c r="J20" i="12"/>
  <c r="I21" i="12"/>
  <c r="J21" i="12"/>
  <c r="I28" i="12"/>
  <c r="I44" i="12" s="1"/>
  <c r="J28" i="12"/>
  <c r="M44" i="12" s="1"/>
  <c r="I11" i="12"/>
  <c r="I34" i="12" s="1"/>
  <c r="J11" i="12"/>
  <c r="M34" i="12" s="1"/>
  <c r="I22" i="12"/>
  <c r="I40" i="12" s="1"/>
  <c r="J22" i="12"/>
  <c r="M40" i="12" s="1"/>
  <c r="I7" i="12"/>
  <c r="J7" i="12"/>
  <c r="I8" i="12"/>
  <c r="J8" i="12"/>
  <c r="I26" i="12"/>
  <c r="I42" i="12" s="1"/>
  <c r="J26" i="12"/>
  <c r="M42" i="12" s="1"/>
  <c r="I27" i="12"/>
  <c r="I43" i="12" s="1"/>
  <c r="J27" i="12"/>
  <c r="M43" i="12" s="1"/>
  <c r="I13" i="12"/>
  <c r="I36" i="12" s="1"/>
  <c r="J13" i="12"/>
  <c r="M36" i="12" s="1"/>
  <c r="AE39" i="12" s="1"/>
  <c r="I23" i="12"/>
  <c r="J23" i="12"/>
  <c r="I24" i="12"/>
  <c r="J24" i="12"/>
  <c r="I25" i="12"/>
  <c r="J25" i="12"/>
  <c r="I12" i="12"/>
  <c r="I35" i="12" s="1"/>
  <c r="J12" i="12"/>
  <c r="M35" i="12" s="1"/>
  <c r="I15" i="12"/>
  <c r="J15" i="12"/>
  <c r="I16" i="12"/>
  <c r="J16" i="12"/>
  <c r="I17" i="12"/>
  <c r="J17" i="12"/>
  <c r="I18" i="12"/>
  <c r="J18" i="12"/>
  <c r="I9" i="12"/>
  <c r="J9" i="12"/>
  <c r="I10" i="12"/>
  <c r="J10" i="12"/>
  <c r="H6" i="12"/>
  <c r="H19" i="12"/>
  <c r="H20" i="12"/>
  <c r="H21" i="12"/>
  <c r="H28" i="12"/>
  <c r="H11" i="12"/>
  <c r="H22" i="12"/>
  <c r="H7" i="12"/>
  <c r="K7" i="12" s="1"/>
  <c r="H8" i="12"/>
  <c r="K8" i="12" s="1"/>
  <c r="H26" i="12"/>
  <c r="H27" i="12"/>
  <c r="H13" i="12"/>
  <c r="H23" i="12"/>
  <c r="H24" i="12"/>
  <c r="H25" i="12"/>
  <c r="H12" i="12"/>
  <c r="H15" i="12"/>
  <c r="H16" i="12"/>
  <c r="H17" i="12"/>
  <c r="H18" i="12"/>
  <c r="K18" i="12" s="1"/>
  <c r="H9" i="12"/>
  <c r="K9" i="12" s="1"/>
  <c r="H10" i="12"/>
  <c r="H14" i="12"/>
  <c r="AC39" i="12" l="1"/>
  <c r="AC41" i="12"/>
  <c r="K21" i="12"/>
  <c r="AD38" i="12"/>
  <c r="F31" i="12"/>
  <c r="AF32" i="12"/>
  <c r="AF31" i="12"/>
  <c r="AF38" i="12"/>
  <c r="P35" i="12"/>
  <c r="R35" i="12"/>
  <c r="P42" i="12"/>
  <c r="O34" i="12"/>
  <c r="P44" i="12"/>
  <c r="P36" i="12"/>
  <c r="R31" i="12"/>
  <c r="O36" i="12"/>
  <c r="R36" i="12"/>
  <c r="O43" i="12"/>
  <c r="O37" i="12"/>
  <c r="P37" i="12"/>
  <c r="R37" i="12"/>
  <c r="R43" i="12"/>
  <c r="AE41" i="12"/>
  <c r="AD39" i="12"/>
  <c r="AD41" i="12"/>
  <c r="AF39" i="12"/>
  <c r="AF41" i="12"/>
  <c r="K15" i="12"/>
  <c r="AB40" i="12"/>
  <c r="AD40" i="12"/>
  <c r="AD33" i="12"/>
  <c r="AF40" i="12"/>
  <c r="AF33" i="12"/>
  <c r="K25" i="12"/>
  <c r="K20" i="12"/>
  <c r="E36" i="12"/>
  <c r="K13" i="12"/>
  <c r="K5" i="12"/>
  <c r="K23" i="12"/>
  <c r="E37" i="12"/>
  <c r="K14" i="12"/>
  <c r="E43" i="12"/>
  <c r="K27" i="12"/>
  <c r="K10" i="12"/>
  <c r="E42" i="12"/>
  <c r="K26" i="12"/>
  <c r="E35" i="12"/>
  <c r="K12" i="12"/>
  <c r="K17" i="12"/>
  <c r="K22" i="12"/>
  <c r="K16" i="12"/>
  <c r="E34" i="12"/>
  <c r="K11" i="12"/>
  <c r="AE35" i="12"/>
  <c r="K24" i="12"/>
  <c r="K19" i="12"/>
  <c r="E44" i="12"/>
  <c r="K28" i="12"/>
  <c r="K6" i="12"/>
  <c r="Y39" i="12"/>
  <c r="E38" i="12"/>
  <c r="Z40" i="12"/>
  <c r="AB33" i="12"/>
  <c r="Y41" i="12"/>
  <c r="D39" i="12"/>
  <c r="H41" i="12"/>
  <c r="AB35" i="12"/>
  <c r="AC40" i="12"/>
  <c r="AC33" i="12"/>
  <c r="I31" i="12"/>
  <c r="N31" i="12"/>
  <c r="K33" i="12"/>
  <c r="AE32" i="12"/>
  <c r="AE38" i="12"/>
  <c r="Z39" i="12"/>
  <c r="Z41" i="12"/>
  <c r="AB39" i="12"/>
  <c r="M31" i="12"/>
  <c r="AD35" i="12"/>
  <c r="M33" i="12"/>
  <c r="AE40" i="12"/>
  <c r="AE33" i="12"/>
  <c r="Z31" i="12"/>
  <c r="Z38" i="12"/>
  <c r="AB32" i="12"/>
  <c r="AB31" i="12"/>
  <c r="AB38" i="12"/>
  <c r="Y32" i="12"/>
  <c r="Y38" i="12"/>
  <c r="AC38" i="12"/>
  <c r="AC32" i="12"/>
  <c r="Z33" i="12"/>
  <c r="AF35" i="12"/>
  <c r="Z35" i="12"/>
  <c r="C39" i="12"/>
  <c r="D41" i="12"/>
  <c r="F39" i="12"/>
  <c r="J31" i="12"/>
  <c r="AB44" i="12" s="1"/>
  <c r="N33" i="12"/>
  <c r="Y40" i="12"/>
  <c r="N39" i="12"/>
  <c r="F33" i="12"/>
  <c r="G31" i="12"/>
  <c r="I32" i="12"/>
  <c r="L32" i="12"/>
  <c r="L39" i="12"/>
  <c r="N32" i="12"/>
  <c r="K38" i="12"/>
  <c r="M32" i="12"/>
  <c r="H33" i="12"/>
  <c r="J33" i="12"/>
  <c r="D38" i="12"/>
  <c r="J32" i="12"/>
  <c r="C38" i="12"/>
  <c r="I33" i="12"/>
  <c r="J39" i="12"/>
  <c r="L41" i="12"/>
  <c r="M38" i="12"/>
  <c r="M41" i="12"/>
  <c r="H39" i="12"/>
  <c r="I41" i="12"/>
  <c r="G33" i="12"/>
  <c r="E41" i="12"/>
  <c r="L38" i="12"/>
  <c r="F41" i="12"/>
  <c r="N38" i="12"/>
  <c r="K32" i="12"/>
  <c r="H38" i="12"/>
  <c r="J38" i="12"/>
  <c r="G32" i="12"/>
  <c r="N41" i="12"/>
  <c r="F32" i="12"/>
  <c r="C41" i="12"/>
  <c r="I38" i="12"/>
  <c r="K39" i="12"/>
  <c r="F34" i="12"/>
  <c r="R34" i="12" s="1"/>
  <c r="D33" i="12"/>
  <c r="C33" i="12"/>
  <c r="H32" i="12"/>
  <c r="J41" i="12"/>
  <c r="L31" i="12"/>
  <c r="K41" i="12"/>
  <c r="C31" i="12"/>
  <c r="G41" i="12"/>
  <c r="G39" i="12"/>
  <c r="D32" i="12"/>
  <c r="L33" i="12"/>
  <c r="K31" i="12"/>
  <c r="C32" i="12"/>
  <c r="G40" i="12"/>
  <c r="E32" i="12"/>
  <c r="E33" i="12"/>
  <c r="D43" i="12"/>
  <c r="P43" i="12" s="1"/>
  <c r="F38" i="12"/>
  <c r="G44" i="12"/>
  <c r="O44" i="12" s="1"/>
  <c r="C42" i="12"/>
  <c r="G38" i="12"/>
  <c r="E39" i="12"/>
  <c r="E40" i="12"/>
  <c r="Q40" i="12" s="1"/>
  <c r="L90" i="12" s="1"/>
  <c r="I39" i="12"/>
  <c r="M39" i="12"/>
  <c r="AE31" i="12"/>
  <c r="R33" i="12" l="1"/>
  <c r="E45" i="12"/>
  <c r="I45" i="12"/>
  <c r="O33" i="12"/>
  <c r="O38" i="12"/>
  <c r="P33" i="12"/>
  <c r="P39" i="12"/>
  <c r="R38" i="12"/>
  <c r="R41" i="12"/>
  <c r="R39" i="12"/>
  <c r="P31" i="12"/>
  <c r="Q32" i="12"/>
  <c r="L82" i="12" s="1"/>
  <c r="P38" i="12"/>
  <c r="O31" i="12"/>
  <c r="Q39" i="12"/>
  <c r="L89" i="12" s="1"/>
  <c r="P32" i="12"/>
  <c r="Q33" i="12"/>
  <c r="L83" i="12" s="1"/>
  <c r="Q42" i="12"/>
  <c r="L92" i="12" s="1"/>
  <c r="Y33" i="12"/>
  <c r="O42" i="12"/>
  <c r="Q41" i="12"/>
  <c r="L91" i="12" s="1"/>
  <c r="Q43" i="12"/>
  <c r="L93" i="12" s="1"/>
  <c r="O41" i="12"/>
  <c r="Q38" i="12"/>
  <c r="L88" i="12" s="1"/>
  <c r="Q34" i="12"/>
  <c r="L84" i="12" s="1"/>
  <c r="Q37" i="12"/>
  <c r="L87" i="12" s="1"/>
  <c r="R32" i="12"/>
  <c r="P41" i="12"/>
  <c r="O39" i="12"/>
  <c r="Q44" i="12"/>
  <c r="L94" i="12" s="1"/>
  <c r="Q36" i="12"/>
  <c r="L86" i="12" s="1"/>
  <c r="O40" i="12"/>
  <c r="O32" i="12"/>
  <c r="Q35" i="12"/>
  <c r="L85" i="12" s="1"/>
  <c r="AA38" i="12"/>
  <c r="AA31" i="12"/>
  <c r="Z36" i="12"/>
  <c r="AA40" i="12"/>
  <c r="AA39" i="12"/>
  <c r="AA33" i="12"/>
  <c r="AA41" i="12"/>
  <c r="AA32" i="12"/>
  <c r="Z32" i="12"/>
  <c r="AD34" i="12"/>
  <c r="AB41" i="12"/>
  <c r="Y31" i="12"/>
  <c r="AA42" i="12"/>
  <c r="Z34" i="12"/>
  <c r="AA35" i="12"/>
  <c r="AA44" i="12"/>
  <c r="AE44" i="12"/>
  <c r="AD42" i="12"/>
  <c r="AC37" i="12"/>
  <c r="AF43" i="12"/>
  <c r="Y36" i="12"/>
  <c r="Z37" i="12"/>
  <c r="AD36" i="12"/>
  <c r="Y34" i="12"/>
  <c r="AD43" i="12"/>
  <c r="AE36" i="12"/>
  <c r="AA37" i="12"/>
  <c r="AA36" i="12"/>
  <c r="AB43" i="12"/>
  <c r="AF34" i="12"/>
  <c r="AC43" i="12"/>
  <c r="AF37" i="12"/>
  <c r="AF44" i="12"/>
  <c r="Y42" i="12"/>
  <c r="Z43" i="12"/>
  <c r="AB36" i="12"/>
  <c r="AC34" i="12"/>
  <c r="AD37" i="12"/>
  <c r="AE42" i="12"/>
  <c r="Z44" i="12"/>
  <c r="Y37" i="12"/>
  <c r="AD44" i="12"/>
  <c r="AC42" i="12"/>
  <c r="AB34" i="12"/>
  <c r="AF36" i="12"/>
  <c r="AC44" i="12"/>
  <c r="AB42" i="12"/>
  <c r="Y43" i="12"/>
  <c r="AE34" i="12"/>
  <c r="Z42" i="12"/>
  <c r="AF42" i="12"/>
  <c r="AC36" i="12"/>
  <c r="AA43" i="12"/>
  <c r="Y44" i="12"/>
  <c r="AC35" i="12"/>
  <c r="Y35" i="12"/>
  <c r="AA34" i="12"/>
  <c r="AB37" i="12"/>
  <c r="AE37" i="12"/>
  <c r="AE43" i="12"/>
  <c r="AC31" i="12"/>
  <c r="L95" i="12" l="1"/>
  <c r="R45" i="12"/>
  <c r="Q45" i="12"/>
  <c r="O45" i="12"/>
  <c r="P45" i="12"/>
  <c r="H40" i="1" l="1"/>
  <c r="I40" i="1"/>
  <c r="J40" i="1"/>
  <c r="M68" i="1" l="1"/>
  <c r="O68" i="1" s="1"/>
  <c r="I41" i="1"/>
  <c r="N68" i="1"/>
  <c r="P68" i="1" s="1"/>
  <c r="J41" i="1"/>
  <c r="H25" i="1"/>
  <c r="I25" i="1"/>
  <c r="J25" i="1"/>
  <c r="AA40" i="1"/>
  <c r="AB40" i="1"/>
  <c r="W40" i="1"/>
  <c r="X40" i="1"/>
  <c r="Y40" i="1"/>
  <c r="AC40" i="1"/>
  <c r="AD40" i="1"/>
  <c r="AE40" i="1"/>
  <c r="AO40" i="1"/>
  <c r="AP40" i="1"/>
  <c r="AQ40" i="1"/>
  <c r="AL40" i="1"/>
  <c r="AM40" i="1"/>
  <c r="AN40" i="1"/>
  <c r="AI40" i="1"/>
  <c r="AJ40" i="1"/>
  <c r="AK40" i="1"/>
  <c r="N40" i="1"/>
  <c r="O40" i="1"/>
  <c r="P40" i="1"/>
  <c r="B40" i="1"/>
  <c r="C40" i="1"/>
  <c r="D40" i="1"/>
  <c r="Q40" i="1"/>
  <c r="R40" i="1"/>
  <c r="S40" i="1"/>
  <c r="T40" i="1"/>
  <c r="U40" i="1"/>
  <c r="V40" i="1"/>
  <c r="E40" i="1"/>
  <c r="F40" i="1"/>
  <c r="G40" i="1"/>
  <c r="K40" i="1"/>
  <c r="L40" i="1"/>
  <c r="M40" i="1"/>
  <c r="Z40" i="1"/>
  <c r="AA25" i="1"/>
  <c r="AB25" i="1"/>
  <c r="W25" i="1"/>
  <c r="X25" i="1"/>
  <c r="Y25" i="1"/>
  <c r="AC25" i="1"/>
  <c r="AD25" i="1"/>
  <c r="AE25" i="1"/>
  <c r="AO25" i="1"/>
  <c r="AP25" i="1"/>
  <c r="AQ25" i="1"/>
  <c r="AL25" i="1"/>
  <c r="AM25" i="1"/>
  <c r="AN25" i="1"/>
  <c r="AI25" i="1"/>
  <c r="AJ25" i="1"/>
  <c r="AK25" i="1"/>
  <c r="N25" i="1"/>
  <c r="O25" i="1"/>
  <c r="P25" i="1"/>
  <c r="B25" i="1"/>
  <c r="C25" i="1"/>
  <c r="D25" i="1"/>
  <c r="Q25" i="1"/>
  <c r="R25" i="1"/>
  <c r="S25" i="1"/>
  <c r="T25" i="1"/>
  <c r="U25" i="1"/>
  <c r="V25" i="1"/>
  <c r="E25" i="1"/>
  <c r="F25" i="1"/>
  <c r="G25" i="1"/>
  <c r="K25" i="1"/>
  <c r="L25" i="1"/>
  <c r="M25" i="1"/>
  <c r="Z25" i="1"/>
  <c r="N77" i="1" l="1"/>
  <c r="P77" i="1" s="1"/>
  <c r="AK41" i="1"/>
  <c r="M73" i="1"/>
  <c r="O73" i="1" s="1"/>
  <c r="X41" i="1"/>
  <c r="N78" i="1"/>
  <c r="P78" i="1" s="1"/>
  <c r="AN41" i="1"/>
  <c r="M78" i="1"/>
  <c r="O78" i="1" s="1"/>
  <c r="AM41" i="1"/>
  <c r="N69" i="1"/>
  <c r="P69" i="1" s="1"/>
  <c r="M41" i="1"/>
  <c r="M66" i="1"/>
  <c r="O66" i="1" s="1"/>
  <c r="Q66" i="1" s="1"/>
  <c r="C41" i="1"/>
  <c r="AR40" i="1"/>
  <c r="M79" i="1"/>
  <c r="O79" i="1" s="1"/>
  <c r="AP41" i="1"/>
  <c r="N72" i="1"/>
  <c r="P72" i="1" s="1"/>
  <c r="R72" i="1" s="1"/>
  <c r="V41" i="1"/>
  <c r="N73" i="1"/>
  <c r="P73" i="1" s="1"/>
  <c r="Y41" i="1"/>
  <c r="M72" i="1"/>
  <c r="O72" i="1" s="1"/>
  <c r="Q72" i="1" s="1"/>
  <c r="U41" i="1"/>
  <c r="M77" i="1"/>
  <c r="O77" i="1" s="1"/>
  <c r="AJ41" i="1"/>
  <c r="N71" i="1"/>
  <c r="P71" i="1" s="1"/>
  <c r="S41" i="1"/>
  <c r="N74" i="1"/>
  <c r="P74" i="1" s="1"/>
  <c r="AB41" i="1"/>
  <c r="M71" i="1"/>
  <c r="O71" i="1" s="1"/>
  <c r="R41" i="1"/>
  <c r="M74" i="1"/>
  <c r="O74" i="1" s="1"/>
  <c r="AA41" i="1"/>
  <c r="N66" i="1"/>
  <c r="P66" i="1" s="1"/>
  <c r="D41" i="1"/>
  <c r="AS40" i="1"/>
  <c r="N79" i="1"/>
  <c r="P79" i="1" s="1"/>
  <c r="AQ41" i="1"/>
  <c r="M69" i="1"/>
  <c r="O69" i="1" s="1"/>
  <c r="Q69" i="1" s="1"/>
  <c r="L41" i="1"/>
  <c r="N67" i="1"/>
  <c r="P67" i="1" s="1"/>
  <c r="G41" i="1"/>
  <c r="N70" i="1"/>
  <c r="P70" i="1" s="1"/>
  <c r="P41" i="1"/>
  <c r="N75" i="1"/>
  <c r="P75" i="1" s="1"/>
  <c r="AE41" i="1"/>
  <c r="M67" i="1"/>
  <c r="O67" i="1" s="1"/>
  <c r="F41" i="1"/>
  <c r="M70" i="1"/>
  <c r="O70" i="1" s="1"/>
  <c r="O41" i="1"/>
  <c r="M75" i="1"/>
  <c r="O75" i="1" s="1"/>
  <c r="AD41" i="1"/>
  <c r="C96" i="1"/>
  <c r="D96" i="1"/>
  <c r="C111" i="1"/>
  <c r="D111" i="1"/>
  <c r="G111" i="1"/>
  <c r="F111" i="1"/>
  <c r="J111" i="1"/>
  <c r="I111" i="1"/>
  <c r="L111" i="1"/>
  <c r="M111" i="1"/>
  <c r="O111" i="1"/>
  <c r="P111" i="1"/>
  <c r="R111" i="1"/>
  <c r="S111" i="1"/>
  <c r="V111" i="1"/>
  <c r="U111" i="1"/>
  <c r="Y111" i="1"/>
  <c r="X111" i="1"/>
  <c r="AB111" i="1"/>
  <c r="AA111" i="1"/>
  <c r="AE111" i="1"/>
  <c r="AD111" i="1"/>
  <c r="AK111" i="1"/>
  <c r="AJ111" i="1"/>
  <c r="AM111" i="1"/>
  <c r="AN111" i="1"/>
  <c r="AP111" i="1"/>
  <c r="AQ111" i="1"/>
  <c r="C112" i="1" l="1"/>
  <c r="R66" i="1"/>
  <c r="R69" i="1"/>
  <c r="AU35" i="1"/>
  <c r="AU36" i="1"/>
  <c r="AU37" i="1"/>
  <c r="AS41" i="1"/>
  <c r="AU32" i="1"/>
  <c r="AU34" i="1"/>
  <c r="AU33" i="1"/>
  <c r="AT34" i="1"/>
  <c r="AT37" i="1"/>
  <c r="AR41" i="1"/>
  <c r="AT33" i="1"/>
  <c r="AT36" i="1"/>
  <c r="AT35" i="1"/>
  <c r="AT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tc={B4F1AD00-CBD2-4F33-9865-BB7C7261190F}</author>
    <author>tc={CA7EC719-834A-4CEA-84F1-6B0D2DB6FCAB}</author>
    <author>tc={10660C48-E17F-4ED2-B539-21F266874B01}</author>
    <author>tc={D1034A28-BDAB-4746-B7DE-00A4427E4D1D}</author>
    <author>tc={26CCDDEE-8E5E-411A-A5D5-DEE4006612D6}</author>
    <author>tc={E3229781-9A84-4609-9DB9-A3CA9DA0953E}</author>
    <author>tc={ABE8F33A-7B71-44E7-8B12-82853990FE0A}</author>
    <author>tc={25C0088A-FA92-4811-A203-CA18CD4525A8}</author>
    <author>tc={65FF70EE-1A40-4638-92A5-1F3A6A040605}</author>
  </authors>
  <commentList>
    <comment ref="A7" authorId="0" shapeId="0" xr:uid="{B4F1AD00-CBD2-4F33-9865-BB7C7261190F}">
      <text>
        <t>[Threaded comment]
Your version of Excel allows you to read this threaded comment; however, any edits to it will get removed if the file is opened in a newer version of Excel. Learn more: https://go.microsoft.com/fwlink/?linkid=870924
Comment:
    Ignoring this as insignificant compared to solar PV and far from the model focus of Finland</t>
      </text>
    </comment>
    <comment ref="G14" authorId="1" shapeId="0" xr:uid="{CA7EC719-834A-4CEA-84F1-6B0D2DB6FCAB}">
      <text>
        <t>[Threaded comment]
Your version of Excel allows you to read this threaded comment; however, any edits to it will get removed if the file is opened in a newer version of Excel. Learn more: https://go.microsoft.com/fwlink/?linkid=870924
Comment:
    Unsure if value is reasonable (i.e., small reactor), but it is taken directly from website.</t>
      </text>
    </comment>
    <comment ref="Z19" authorId="2" shapeId="0" xr:uid="{10660C48-E17F-4ED2-B539-21F266874B01}">
      <text>
        <t>[Threaded comment]
Your version of Excel allows you to read this threaded comment; however, any edits to it will get removed if the file is opened in a newer version of Excel. Learn more: https://go.microsoft.com/fwlink/?linkid=870924
Comment:
    DK data aggregation is assumed in absence of TYNDP specification.</t>
      </text>
    </comment>
    <comment ref="AA19" authorId="3" shapeId="0" xr:uid="{D1034A28-BDAB-4746-B7DE-00A4427E4D1D}">
      <text>
        <t>[Threaded comment]
Your version of Excel allows you to read this threaded comment; however, any edits to it will get removed if the file is opened in a newer version of Excel. Learn more: https://go.microsoft.com/fwlink/?linkid=870924
Comment:
    DK data aggregation is assumed in absence of TYNDP specification.</t>
      </text>
    </comment>
    <comment ref="D45" authorId="4" shapeId="0" xr:uid="{26CCDDEE-8E5E-411A-A5D5-DEE4006612D6}">
      <text>
        <t>[Threaded comment]
Your version of Excel allows you to read this threaded comment; however, any edits to it will get removed if the file is opened in a newer version of Excel. Learn more: https://go.microsoft.com/fwlink/?linkid=870924
Comment:
    Excluding this due to insignificant size.</t>
      </text>
    </comment>
    <comment ref="C124" authorId="5" shapeId="0" xr:uid="{E3229781-9A84-4609-9DB9-A3CA9DA0953E}">
      <text>
        <t>[Threaded comment]
Your version of Excel allows you to read this threaded comment; however, any edits to it will get removed if the file is opened in a newer version of Excel. Learn more: https://go.microsoft.com/fwlink/?linkid=870924
Comment:
    This is replaced to 7000 in "additional backbone inputs.xlsx"</t>
      </text>
    </comment>
    <comment ref="O134" authorId="6" shapeId="0" xr:uid="{ABE8F33A-7B71-44E7-8B12-82853990FE0A}">
      <text>
        <t>[Threaded comment]
Your version of Excel allows you to read this threaded comment; however, any edits to it will get removed if the file is opened in a newer version of Excel. Learn more: https://go.microsoft.com/fwlink/?linkid=870924
Comment:
    Other capacity</t>
      </text>
    </comment>
    <comment ref="O135" authorId="7" shapeId="0" xr:uid="{25C0088A-FA92-4811-A203-CA18CD4525A8}">
      <text>
        <t>[Threaded comment]
Your version of Excel allows you to read this threaded comment; however, any edits to it will get removed if the file is opened in a newer version of Excel. Learn more: https://go.microsoft.com/fwlink/?linkid=870924
Comment:
    Other capacity</t>
      </text>
    </comment>
    <comment ref="T164" authorId="8" shapeId="0" xr:uid="{65FF70EE-1A40-4638-92A5-1F3A6A040605}">
      <text>
        <t>[Threaded comment]
Your version of Excel allows you to read this threaded comment; however, any edits to it will get removed if the file is opened in a newer version of Excel. Learn more: https://go.microsoft.com/fwlink/?linkid=870924
Comment:
    Re-classify "pondage" as "run of the river" to enable comparison.</t>
      </text>
    </comment>
  </commentList>
</comments>
</file>

<file path=xl/sharedStrings.xml><?xml version="1.0" encoding="utf-8"?>
<sst xmlns="http://schemas.openxmlformats.org/spreadsheetml/2006/main" count="3166" uniqueCount="709">
  <si>
    <t>Data in this sheet is no longer the best source for modeling given the release of TYNDP 2024 data on visual platform. It is not out of date, but represent only part of analysis done in TYNDP study.</t>
  </si>
  <si>
    <t>Source files:</t>
  </si>
  <si>
    <t>[1] "Demand Scenarios TYNDP 2024 After Public Consultation.xslx" - demand for all countries except UK and Norway</t>
  </si>
  <si>
    <t>[2] "Draft Demand Scenarios TYNDP 2024.xlsb" - demand for UK</t>
  </si>
  <si>
    <t>[3] "Updated Electricity Modeling Results.xlsx" (2022) - demand for Norway (total only). National trend scenario values for 2025 are taken as Ref.</t>
  </si>
  <si>
    <t>[4] "Draft Supply Tool EU-level.xlsx" - EU-level H2 supply breakdown for domestic production versus imports.</t>
  </si>
  <si>
    <t>[5] "National Trends and Energy Mix Survey.xlsx" - national-level H2 supply breakdown by domestic production versus imports</t>
  </si>
  <si>
    <t>Notations: Ref is for 2019, NE - non-energy, values in TWh</t>
  </si>
  <si>
    <t>Step 1. Extracting data for 2040</t>
  </si>
  <si>
    <t>Annual electricity demand by sector [1]</t>
  </si>
  <si>
    <t>Filters used: countries, subsector - total, energy carrier - electricity, dashboard_id - no …non_energetic (removes duplicative industry that has zeros for all countries)</t>
  </si>
  <si>
    <t>Germany (85)</t>
  </si>
  <si>
    <t>France (68)</t>
  </si>
  <si>
    <t>UK (67) [2]</t>
  </si>
  <si>
    <t>Spain (48)</t>
  </si>
  <si>
    <t>Poland (38)</t>
  </si>
  <si>
    <t>Netherlands (18)</t>
  </si>
  <si>
    <t>Belgium (12)</t>
  </si>
  <si>
    <t>Sweden (11)</t>
  </si>
  <si>
    <t>Denmark (6.0)</t>
  </si>
  <si>
    <t>Finland (5.6)</t>
  </si>
  <si>
    <t>Norway (5.5) [3]</t>
  </si>
  <si>
    <t>Lithuania (2.9)</t>
  </si>
  <si>
    <t>Latvia (1.8)</t>
  </si>
  <si>
    <t>Estonia (1.3)</t>
  </si>
  <si>
    <t>REF</t>
  </si>
  <si>
    <t>DE</t>
  </si>
  <si>
    <t>GA</t>
  </si>
  <si>
    <t>Households</t>
  </si>
  <si>
    <t>Buildings</t>
  </si>
  <si>
    <t>Industry</t>
  </si>
  <si>
    <t>Transport</t>
  </si>
  <si>
    <t>Agriculture</t>
  </si>
  <si>
    <t>Other</t>
  </si>
  <si>
    <t>Energy</t>
  </si>
  <si>
    <t>Total</t>
  </si>
  <si>
    <t>Annual H2 demand by sector [1]</t>
  </si>
  <si>
    <t>Filters used: countries, subsector - total, energy carrier - hydrogen</t>
  </si>
  <si>
    <t>Germany</t>
  </si>
  <si>
    <t>France</t>
  </si>
  <si>
    <t>UK [2]</t>
  </si>
  <si>
    <t>Spain</t>
  </si>
  <si>
    <t>Poland</t>
  </si>
  <si>
    <t>Netherlands</t>
  </si>
  <si>
    <t>Belgium</t>
  </si>
  <si>
    <t>Sweden</t>
  </si>
  <si>
    <t>Denmark</t>
  </si>
  <si>
    <t>Finland</t>
  </si>
  <si>
    <t>Norway</t>
  </si>
  <si>
    <t>Lithuania</t>
  </si>
  <si>
    <t>Latvia</t>
  </si>
  <si>
    <t>Estonia</t>
  </si>
  <si>
    <r>
      <t>Industry</t>
    </r>
    <r>
      <rPr>
        <vertAlign val="superscript"/>
        <sz val="10"/>
        <rFont val="Arial"/>
        <family val="2"/>
      </rPr>
      <t>NE</t>
    </r>
  </si>
  <si>
    <t>Industry share</t>
  </si>
  <si>
    <t>Annual H2 demand in industry by subsector [1]</t>
  </si>
  <si>
    <t>Aluminium</t>
  </si>
  <si>
    <t>Chemicals</t>
  </si>
  <si>
    <r>
      <t>Chemicals</t>
    </r>
    <r>
      <rPr>
        <vertAlign val="superscript"/>
        <sz val="10"/>
        <rFont val="Arial"/>
        <family val="2"/>
      </rPr>
      <t>NE</t>
    </r>
  </si>
  <si>
    <t>Fertilizers</t>
  </si>
  <si>
    <r>
      <t>Fertilizers</t>
    </r>
    <r>
      <rPr>
        <vertAlign val="superscript"/>
        <sz val="10"/>
        <rFont val="Arial"/>
        <family val="2"/>
      </rPr>
      <t>NE</t>
    </r>
  </si>
  <si>
    <t>Food</t>
  </si>
  <si>
    <t>Metals</t>
  </si>
  <si>
    <t>Others</t>
  </si>
  <si>
    <r>
      <t>Others</t>
    </r>
    <r>
      <rPr>
        <vertAlign val="superscript"/>
        <sz val="11"/>
        <color theme="1"/>
        <rFont val="Calibri"/>
        <family val="2"/>
        <scheme val="minor"/>
      </rPr>
      <t>NE</t>
    </r>
  </si>
  <si>
    <t>Paper</t>
  </si>
  <si>
    <t>Refineries</t>
  </si>
  <si>
    <r>
      <t>Refineries</t>
    </r>
    <r>
      <rPr>
        <vertAlign val="superscript"/>
        <sz val="11"/>
        <color theme="1"/>
        <rFont val="Calibri"/>
        <family val="2"/>
        <scheme val="minor"/>
      </rPr>
      <t>NE</t>
    </r>
  </si>
  <si>
    <t>Steel</t>
  </si>
  <si>
    <t>Check-up step. Comparing  H2 import between disagregated EU-level and available national-level values</t>
  </si>
  <si>
    <t>Hydrogen supply, TWh [4]</t>
  </si>
  <si>
    <t>Domestic</t>
  </si>
  <si>
    <t>Imports</t>
  </si>
  <si>
    <t>NT[5]</t>
  </si>
  <si>
    <t>Decarbonised Hydrogen</t>
  </si>
  <si>
    <t>Renewable Hydrogen</t>
  </si>
  <si>
    <t>UK</t>
  </si>
  <si>
    <t>EU production</t>
  </si>
  <si>
    <t>SMR</t>
  </si>
  <si>
    <t>SMR+CCS</t>
  </si>
  <si>
    <t>P2G</t>
  </si>
  <si>
    <t>Domestic ratio</t>
  </si>
  <si>
    <t>Step 2. Subtrackting H2 imports and computing demand for 2035</t>
  </si>
  <si>
    <t>Assumptions: (1) linear development between 2019 and 2040, (2) H2 import share is uniform among all countries and sectors</t>
  </si>
  <si>
    <t>Annual electricity demand by sector (2035)</t>
  </si>
  <si>
    <t>UK (67)</t>
  </si>
  <si>
    <t>Norway (5.5)</t>
  </si>
  <si>
    <t>Annual H2 demand by sector (2035)</t>
  </si>
  <si>
    <t>United Kingdom</t>
  </si>
  <si>
    <t>Step 3. Plotting</t>
  </si>
  <si>
    <t>Totals for DE scenario</t>
  </si>
  <si>
    <t>H2</t>
  </si>
  <si>
    <t>Additive. Assuming H2 produced from electricity (70% efficiency) with demand already included</t>
  </si>
  <si>
    <t>National totals</t>
  </si>
  <si>
    <t>&lt;P_h&gt;</t>
  </si>
  <si>
    <t>Δ%</t>
  </si>
  <si>
    <t>H2, TWh</t>
  </si>
  <si>
    <t>H2, %</t>
  </si>
  <si>
    <t>H2 demand by node</t>
  </si>
  <si>
    <t>Assumption 1. H2 demand areal distribution within Scandinavian countries is equal to el. demand distribution.</t>
  </si>
  <si>
    <t>DKE1</t>
  </si>
  <si>
    <t>El. Demand shares in second table are computed in "Computation of demand coefficients.xlsx" using hourly areal profiles.</t>
  </si>
  <si>
    <t>DKW1</t>
  </si>
  <si>
    <t>Assumption 2.</t>
  </si>
  <si>
    <t>SE01</t>
  </si>
  <si>
    <t>SE02</t>
  </si>
  <si>
    <t>SE03</t>
  </si>
  <si>
    <t>SE04</t>
  </si>
  <si>
    <t>DE00</t>
  </si>
  <si>
    <t>DEKF</t>
  </si>
  <si>
    <t>FR00</t>
  </si>
  <si>
    <t>UK00</t>
  </si>
  <si>
    <t>UKNI</t>
  </si>
  <si>
    <t>ES00</t>
  </si>
  <si>
    <t>PL00</t>
  </si>
  <si>
    <t>NL00</t>
  </si>
  <si>
    <t>BE00</t>
  </si>
  <si>
    <t>DKKF</t>
  </si>
  <si>
    <t>FI00</t>
  </si>
  <si>
    <t>NOM1</t>
  </si>
  <si>
    <t>NON1</t>
  </si>
  <si>
    <t>NOS0</t>
  </si>
  <si>
    <t>LT00</t>
  </si>
  <si>
    <t>LV00</t>
  </si>
  <si>
    <t>EE00</t>
  </si>
  <si>
    <t>DKBH</t>
  </si>
  <si>
    <t>DKNS</t>
  </si>
  <si>
    <t>FR</t>
  </si>
  <si>
    <t>ES</t>
  </si>
  <si>
    <t>PL</t>
  </si>
  <si>
    <t>NL</t>
  </si>
  <si>
    <t>BE</t>
  </si>
  <si>
    <t>SE</t>
  </si>
  <si>
    <t>DK</t>
  </si>
  <si>
    <t>FI</t>
  </si>
  <si>
    <t>NO</t>
  </si>
  <si>
    <t>LT</t>
  </si>
  <si>
    <t>LV</t>
  </si>
  <si>
    <t>EE</t>
  </si>
  <si>
    <t>PO</t>
  </si>
  <si>
    <t>Solar</t>
  </si>
  <si>
    <t>Wind Onshore</t>
  </si>
  <si>
    <t>Wind Offshore</t>
  </si>
  <si>
    <t>Nuclear</t>
  </si>
  <si>
    <t>Batteries</t>
  </si>
  <si>
    <t>DSR</t>
  </si>
  <si>
    <t>Gas</t>
  </si>
  <si>
    <t>Hydro Pumped Storage</t>
  </si>
  <si>
    <t>Utility</t>
  </si>
  <si>
    <t>Prosumer</t>
  </si>
  <si>
    <t>Band 1</t>
  </si>
  <si>
    <t>Band 2</t>
  </si>
  <si>
    <t>Band 3</t>
  </si>
  <si>
    <t>Band 4</t>
  </si>
  <si>
    <t>Band 5</t>
  </si>
  <si>
    <t>Band 6</t>
  </si>
  <si>
    <t>New OCGT</t>
  </si>
  <si>
    <t>Old OCGT</t>
  </si>
  <si>
    <t>Peaker</t>
  </si>
  <si>
    <t>Closed</t>
  </si>
  <si>
    <t>Open</t>
  </si>
  <si>
    <t>FR15</t>
  </si>
  <si>
    <t>Totals</t>
  </si>
  <si>
    <t>HPS</t>
  </si>
  <si>
    <t>EVs</t>
  </si>
  <si>
    <t>PS Closed</t>
  </si>
  <si>
    <t>PS Opened</t>
  </si>
  <si>
    <t>Color code</t>
  </si>
  <si>
    <t>Ordered by</t>
  </si>
  <si>
    <t>decreasing population of countries of node 1 first and then node 2</t>
  </si>
  <si>
    <t>Terminology</t>
  </si>
  <si>
    <t>Pre-consult.</t>
  </si>
  <si>
    <t>Post-consult.</t>
  </si>
  <si>
    <t>Node 1</t>
  </si>
  <si>
    <t>Node 2</t>
  </si>
  <si>
    <t>Dir 1</t>
  </si>
  <si>
    <t>Dir 2</t>
  </si>
  <si>
    <t>Type</t>
  </si>
  <si>
    <t>Year</t>
  </si>
  <si>
    <r>
      <t>DE</t>
    </r>
    <r>
      <rPr>
        <sz val="11"/>
        <color theme="0" tint="-0.499984740745262"/>
        <rFont val="Calibri"/>
        <family val="2"/>
      </rPr>
      <t>00</t>
    </r>
  </si>
  <si>
    <t>Concept 1</t>
  </si>
  <si>
    <r>
      <t>FR</t>
    </r>
    <r>
      <rPr>
        <sz val="11"/>
        <color theme="0" tint="-0.499984740745262"/>
        <rFont val="Calibri"/>
        <family val="2"/>
      </rPr>
      <t>00</t>
    </r>
  </si>
  <si>
    <t>Concept 2</t>
  </si>
  <si>
    <r>
      <t>UK</t>
    </r>
    <r>
      <rPr>
        <sz val="11"/>
        <color theme="0" tint="-0.499984740745262"/>
        <rFont val="Calibri"/>
        <family val="2"/>
      </rPr>
      <t>00</t>
    </r>
  </si>
  <si>
    <t>Real 1</t>
  </si>
  <si>
    <r>
      <t>NL</t>
    </r>
    <r>
      <rPr>
        <sz val="11"/>
        <color theme="0" tint="-0.499984740745262"/>
        <rFont val="Calibri"/>
        <family val="2"/>
      </rPr>
      <t>00</t>
    </r>
  </si>
  <si>
    <r>
      <t>BE</t>
    </r>
    <r>
      <rPr>
        <sz val="11"/>
        <color theme="0" tint="-0.499984740745262"/>
        <rFont val="Calibri"/>
        <family val="2"/>
      </rPr>
      <t>00</t>
    </r>
  </si>
  <si>
    <r>
      <t>SE</t>
    </r>
    <r>
      <rPr>
        <sz val="11"/>
        <color theme="0" tint="-0.499984740745262"/>
        <rFont val="Calibri"/>
        <family val="2"/>
        <scheme val="minor"/>
      </rPr>
      <t>04</t>
    </r>
  </si>
  <si>
    <t>IBFI</t>
  </si>
  <si>
    <r>
      <t>DK</t>
    </r>
    <r>
      <rPr>
        <sz val="11"/>
        <color theme="0" tint="-0.499984740745262"/>
        <rFont val="Calibri"/>
        <family val="2"/>
        <scheme val="minor"/>
      </rPr>
      <t>E1</t>
    </r>
  </si>
  <si>
    <r>
      <t>DK</t>
    </r>
    <r>
      <rPr>
        <sz val="11"/>
        <color theme="0" tint="-0.499984740745262"/>
        <rFont val="Calibri"/>
        <family val="2"/>
        <scheme val="minor"/>
      </rPr>
      <t>W1</t>
    </r>
  </si>
  <si>
    <t>Concept 3</t>
  </si>
  <si>
    <r>
      <t>NO</t>
    </r>
    <r>
      <rPr>
        <sz val="11"/>
        <color theme="0" tint="-0.499984740745262"/>
        <rFont val="Calibri"/>
        <family val="2"/>
      </rPr>
      <t>S0</t>
    </r>
  </si>
  <si>
    <t>Concept 4</t>
  </si>
  <si>
    <t>Concept 5</t>
  </si>
  <si>
    <t>Concept 6</t>
  </si>
  <si>
    <r>
      <t>ES</t>
    </r>
    <r>
      <rPr>
        <sz val="11"/>
        <color theme="0" tint="-0.499984740745262"/>
        <rFont val="Calibri"/>
        <family val="2"/>
      </rPr>
      <t>00</t>
    </r>
  </si>
  <si>
    <r>
      <t>NL</t>
    </r>
    <r>
      <rPr>
        <sz val="11"/>
        <color theme="0" tint="-0.499984740745262"/>
        <rFont val="Calibri"/>
        <family val="2"/>
      </rPr>
      <t>LL</t>
    </r>
  </si>
  <si>
    <r>
      <t>UK</t>
    </r>
    <r>
      <rPr>
        <sz val="11"/>
        <color theme="0" tint="-0.499984740745262"/>
        <rFont val="Calibri"/>
        <family val="2"/>
        <scheme val="minor"/>
      </rPr>
      <t>00</t>
    </r>
  </si>
  <si>
    <t>Real 2</t>
  </si>
  <si>
    <r>
      <t>PL</t>
    </r>
    <r>
      <rPr>
        <sz val="11"/>
        <color theme="0" tint="-0.499984740745262"/>
        <rFont val="Calibri"/>
        <family val="2"/>
      </rPr>
      <t>00</t>
    </r>
  </si>
  <si>
    <r>
      <t>DK</t>
    </r>
    <r>
      <rPr>
        <sz val="11"/>
        <color theme="0" tint="-0.499984740745262"/>
        <rFont val="Calibri"/>
        <family val="2"/>
      </rPr>
      <t>E1</t>
    </r>
  </si>
  <si>
    <r>
      <t>LT</t>
    </r>
    <r>
      <rPr>
        <sz val="11"/>
        <color theme="0" tint="-0.499984740745262"/>
        <rFont val="Calibri"/>
        <family val="2"/>
      </rPr>
      <t>00</t>
    </r>
  </si>
  <si>
    <r>
      <t>N</t>
    </r>
    <r>
      <rPr>
        <sz val="11"/>
        <color theme="0" tint="-0.499984740745262"/>
        <rFont val="Calibri"/>
        <family val="2"/>
      </rPr>
      <t>L00</t>
    </r>
  </si>
  <si>
    <r>
      <t>DK</t>
    </r>
    <r>
      <rPr>
        <sz val="11"/>
        <color theme="0" tint="-0.499984740745262"/>
        <rFont val="Calibri"/>
        <family val="2"/>
      </rPr>
      <t>W1</t>
    </r>
  </si>
  <si>
    <r>
      <t>SE</t>
    </r>
    <r>
      <rPr>
        <sz val="11"/>
        <color theme="0" tint="-0.499984740745262"/>
        <rFont val="Calibri"/>
        <family val="2"/>
      </rPr>
      <t>01</t>
    </r>
  </si>
  <si>
    <r>
      <t>SE</t>
    </r>
    <r>
      <rPr>
        <sz val="11"/>
        <color theme="0" tint="-0.499984740745262"/>
        <rFont val="Calibri"/>
        <family val="2"/>
        <scheme val="minor"/>
      </rPr>
      <t>02</t>
    </r>
  </si>
  <si>
    <r>
      <t>SE</t>
    </r>
    <r>
      <rPr>
        <sz val="11"/>
        <color theme="0" tint="-0.499984740745262"/>
        <rFont val="Calibri"/>
        <family val="2"/>
      </rPr>
      <t>02</t>
    </r>
  </si>
  <si>
    <r>
      <t>SE</t>
    </r>
    <r>
      <rPr>
        <sz val="11"/>
        <color theme="0" tint="-0.499984740745262"/>
        <rFont val="Calibri"/>
        <family val="2"/>
        <scheme val="minor"/>
      </rPr>
      <t>03</t>
    </r>
  </si>
  <si>
    <r>
      <t>SE</t>
    </r>
    <r>
      <rPr>
        <sz val="11"/>
        <color theme="0" tint="-0.499984740745262"/>
        <rFont val="Calibri"/>
        <family val="2"/>
      </rPr>
      <t>03</t>
    </r>
  </si>
  <si>
    <r>
      <t>SE</t>
    </r>
    <r>
      <rPr>
        <sz val="11"/>
        <color theme="0" tint="-0.499984740745262"/>
        <rFont val="Calibri"/>
        <family val="2"/>
        <scheme val="minor"/>
      </rPr>
      <t>01</t>
    </r>
  </si>
  <si>
    <r>
      <t>FI</t>
    </r>
    <r>
      <rPr>
        <sz val="11"/>
        <color theme="0" tint="-0.499984740745262"/>
        <rFont val="Calibri"/>
        <family val="2"/>
      </rPr>
      <t>00</t>
    </r>
  </si>
  <si>
    <r>
      <t>NO</t>
    </r>
    <r>
      <rPr>
        <sz val="11"/>
        <color theme="0" tint="-0.499984740745262"/>
        <rFont val="Calibri"/>
        <family val="2"/>
      </rPr>
      <t>M1</t>
    </r>
  </si>
  <si>
    <r>
      <t>NO</t>
    </r>
    <r>
      <rPr>
        <sz val="11"/>
        <color theme="0" tint="-0.499984740745262"/>
        <rFont val="Calibri"/>
        <family val="2"/>
      </rPr>
      <t>N1</t>
    </r>
  </si>
  <si>
    <r>
      <t>NO</t>
    </r>
    <r>
      <rPr>
        <sz val="11"/>
        <color theme="0" tint="-0.499984740745262"/>
        <rFont val="Calibri"/>
        <family val="2"/>
        <scheme val="minor"/>
      </rPr>
      <t>N1</t>
    </r>
  </si>
  <si>
    <r>
      <t>EE</t>
    </r>
    <r>
      <rPr>
        <sz val="11"/>
        <color theme="0" tint="-0.499984740745262"/>
        <rFont val="Calibri"/>
        <family val="2"/>
      </rPr>
      <t>00</t>
    </r>
  </si>
  <si>
    <r>
      <t>LV</t>
    </r>
    <r>
      <rPr>
        <sz val="11"/>
        <color theme="0" tint="-0.499984740745262"/>
        <rFont val="Calibri"/>
        <family val="2"/>
      </rPr>
      <t>00</t>
    </r>
  </si>
  <si>
    <t>Demand</t>
  </si>
  <si>
    <t>Capacity</t>
  </si>
  <si>
    <t>Installed</t>
  </si>
  <si>
    <t>Additions</t>
  </si>
  <si>
    <t>Onshore wind</t>
  </si>
  <si>
    <t>Offshore wind</t>
  </si>
  <si>
    <t>Flexibility</t>
  </si>
  <si>
    <t>2025 (visualization platform)</t>
  </si>
  <si>
    <t>Native</t>
  </si>
  <si>
    <t>Electrolyser</t>
  </si>
  <si>
    <t>EV</t>
  </si>
  <si>
    <t>Battery</t>
  </si>
  <si>
    <t>PS Open</t>
  </si>
  <si>
    <t>H2 Heat pump</t>
  </si>
  <si>
    <t>CH4 Heat pump</t>
  </si>
  <si>
    <t>Ekectrolyser +%</t>
  </si>
  <si>
    <t>NEBB</t>
  </si>
  <si>
    <t>Solar PV</t>
  </si>
  <si>
    <t>Solar thermal</t>
  </si>
  <si>
    <t>Hydro pondage</t>
  </si>
  <si>
    <t>Hydro ror</t>
  </si>
  <si>
    <t>Hydro reservoir</t>
  </si>
  <si>
    <t>Other RES</t>
  </si>
  <si>
    <t>Gas CCGT</t>
  </si>
  <si>
    <t>Gas CCGT CCS</t>
  </si>
  <si>
    <t>Gas conventional</t>
  </si>
  <si>
    <t>Gas OCGT</t>
  </si>
  <si>
    <t>Hydrogen CCGT</t>
  </si>
  <si>
    <t>Hydrogen FC</t>
  </si>
  <si>
    <t>Hard coal</t>
  </si>
  <si>
    <t>Hard coal biofuel</t>
  </si>
  <si>
    <t>Heavy oil</t>
  </si>
  <si>
    <t>Light oil</t>
  </si>
  <si>
    <t>Lignite</t>
  </si>
  <si>
    <t>Lignite biofuel</t>
  </si>
  <si>
    <t>Oil shae biofuel</t>
  </si>
  <si>
    <t>Other non-RES</t>
  </si>
  <si>
    <t>Need</t>
  </si>
  <si>
    <t>NT provides breakdown by price zones used in NEBB but absent in VP.</t>
  </si>
  <si>
    <t>Why secondary</t>
  </si>
  <si>
    <t>NT is an input for expansion model that produces VP values.</t>
  </si>
  <si>
    <t>Vhy VRE</t>
  </si>
  <si>
    <t>Selection</t>
  </si>
  <si>
    <t>Best estimate' values</t>
  </si>
  <si>
    <t>2035 values</t>
  </si>
  <si>
    <t>DK distribution</t>
  </si>
  <si>
    <t>MW</t>
  </si>
  <si>
    <t>Wind onshore</t>
  </si>
  <si>
    <t>Wind offshore</t>
  </si>
  <si>
    <t>Price zone data</t>
  </si>
  <si>
    <t>Supply and demand</t>
  </si>
  <si>
    <t>EU</t>
  </si>
  <si>
    <t>Steam CH4 reformer</t>
  </si>
  <si>
    <t>NEBB - NO</t>
  </si>
  <si>
    <t>Electrlyoser %</t>
  </si>
  <si>
    <t>E-diesel</t>
  </si>
  <si>
    <t>E-kerosene</t>
  </si>
  <si>
    <t>H2 boiler</t>
  </si>
  <si>
    <t>H2P</t>
  </si>
  <si>
    <t>SNG</t>
  </si>
  <si>
    <t>Native share</t>
  </si>
  <si>
    <t>Storage</t>
  </si>
  <si>
    <t xml:space="preserve">Source </t>
  </si>
  <si>
    <t>H2 STORAGES.xlsx</t>
  </si>
  <si>
    <t xml:space="preserve">Year </t>
  </si>
  <si>
    <t>Scenario</t>
  </si>
  <si>
    <t>All</t>
  </si>
  <si>
    <t>Disclaimer</t>
  </si>
  <si>
    <t>H2 STORAGES.xlsx shows cost units inconsistently, but expected units (MWh) are used for all values.</t>
  </si>
  <si>
    <t>Zone 2</t>
  </si>
  <si>
    <t>Zone 1</t>
  </si>
  <si>
    <t>Result visibility</t>
  </si>
  <si>
    <t>Zone 1 power share</t>
  </si>
  <si>
    <r>
      <t>NO</t>
    </r>
    <r>
      <rPr>
        <sz val="11"/>
        <color theme="0" tint="-0.499984740745262"/>
        <rFont val="Calibri"/>
        <family val="2"/>
        <scheme val="minor"/>
      </rPr>
      <t>M1</t>
    </r>
  </si>
  <si>
    <t>Average supply</t>
  </si>
  <si>
    <r>
      <t xml:space="preserve">Source: Visual Platform. </t>
    </r>
    <r>
      <rPr>
        <sz val="11"/>
        <color theme="0" tint="-0.499984740745262"/>
        <rFont val="Calibri"/>
        <family val="2"/>
        <scheme val="minor"/>
      </rPr>
      <t>TYNDP 2024 release - Distributed Energy 2035 scenario.</t>
    </r>
  </si>
  <si>
    <r>
      <t xml:space="preserve">Demand share </t>
    </r>
    <r>
      <rPr>
        <vertAlign val="superscript"/>
        <sz val="11"/>
        <color theme="1"/>
        <rFont val="Calibri"/>
        <family val="2"/>
        <scheme val="minor"/>
      </rPr>
      <t>[1]</t>
    </r>
  </si>
  <si>
    <r>
      <t xml:space="preserve">Electrolyser capacity </t>
    </r>
    <r>
      <rPr>
        <vertAlign val="superscript"/>
        <sz val="11"/>
        <color theme="1"/>
        <rFont val="Calibri"/>
        <family val="2"/>
        <scheme val="minor"/>
      </rPr>
      <t>[2]</t>
    </r>
  </si>
  <si>
    <r>
      <rPr>
        <vertAlign val="superscript"/>
        <sz val="11"/>
        <color theme="0" tint="-0.499984740745262"/>
        <rFont val="Calibri"/>
        <family val="2"/>
        <scheme val="minor"/>
      </rPr>
      <t>[2]</t>
    </r>
    <r>
      <rPr>
        <sz val="11"/>
        <color theme="0" tint="-0.499984740745262"/>
        <rFont val="Calibri"/>
        <family val="2"/>
        <scheme val="minor"/>
      </rPr>
      <t xml:space="preserve"> Assumption - H2 demand and electrolyser production is distributed with the same proportions.</t>
    </r>
  </si>
  <si>
    <r>
      <t>NO</t>
    </r>
    <r>
      <rPr>
        <sz val="11"/>
        <color theme="0" tint="-0.499984740745262"/>
        <rFont val="Calibri"/>
        <family val="2"/>
        <scheme val="minor"/>
      </rPr>
      <t xml:space="preserve">M1 </t>
    </r>
    <r>
      <rPr>
        <vertAlign val="superscript"/>
        <sz val="11"/>
        <color theme="0" tint="-0.499984740745262"/>
        <rFont val="Calibri"/>
        <family val="2"/>
        <scheme val="minor"/>
      </rPr>
      <t>[3]</t>
    </r>
  </si>
  <si>
    <r>
      <rPr>
        <vertAlign val="superscript"/>
        <sz val="11"/>
        <color theme="0" tint="-0.499984740745262"/>
        <rFont val="Calibri"/>
        <family val="2"/>
        <scheme val="minor"/>
      </rPr>
      <t>[3]</t>
    </r>
    <r>
      <rPr>
        <sz val="11"/>
        <color theme="0" tint="-0.499984740745262"/>
        <rFont val="Calibri"/>
        <family val="2"/>
        <scheme val="minor"/>
      </rPr>
      <t xml:space="preserve"> Norway is excluded because: near-none-existing electroloyser capacity and supply values, non-sensible import value, disconnect between 5 price areas for average el. demand available and 3 areas modeled.</t>
    </r>
  </si>
  <si>
    <t>Changes inc</t>
  </si>
  <si>
    <t>Comparison</t>
  </si>
  <si>
    <t>VP</t>
  </si>
  <si>
    <t>Capacities</t>
  </si>
  <si>
    <t>Changes.inc</t>
  </si>
  <si>
    <t>Growth since prior period</t>
  </si>
  <si>
    <t>Existing values</t>
  </si>
  <si>
    <t>VP values for Norway are obviously incorrect</t>
  </si>
  <si>
    <r>
      <t xml:space="preserve">Data from Visualization platform of TYNDP 2024. </t>
    </r>
    <r>
      <rPr>
        <b/>
        <sz val="11"/>
        <color theme="0" tint="-0.499984740745262"/>
        <rFont val="Calibri"/>
        <family val="2"/>
        <scheme val="minor"/>
      </rPr>
      <t>Scenario: Distributed Energy 2035. Values in GW.</t>
    </r>
  </si>
  <si>
    <r>
      <t xml:space="preserve">HPS </t>
    </r>
    <r>
      <rPr>
        <b/>
        <sz val="11"/>
        <color theme="0" tint="-0.499984740745262"/>
        <rFont val="Calibri"/>
        <family val="2"/>
        <scheme val="minor"/>
      </rPr>
      <t>data analysis and pre-processing</t>
    </r>
  </si>
  <si>
    <r>
      <t xml:space="preserve">Batteries </t>
    </r>
    <r>
      <rPr>
        <b/>
        <sz val="11"/>
        <color theme="0" tint="-0.499984740745262"/>
        <rFont val="Calibri"/>
        <family val="2"/>
        <scheme val="minor"/>
      </rPr>
      <t>data analysis and pre-processing</t>
    </r>
  </si>
  <si>
    <t>NT 2025 [1]</t>
  </si>
  <si>
    <r>
      <t xml:space="preserve">NT 2025 </t>
    </r>
    <r>
      <rPr>
        <vertAlign val="superscript"/>
        <sz val="11"/>
        <color theme="1"/>
        <rFont val="Calibri"/>
        <family val="2"/>
        <scheme val="minor"/>
      </rPr>
      <t>[1]</t>
    </r>
  </si>
  <si>
    <t>[1] data from TYNDP-2020-capacities.xlsx. This is the reference for currently used scenario values to be replaced.</t>
  </si>
  <si>
    <t>[3] Final Supply inputs of TYNDP 2024</t>
  </si>
  <si>
    <t>Draft [2]</t>
  </si>
  <si>
    <t>Final [3]</t>
  </si>
  <si>
    <r>
      <t>[1] data from TYNDP-2020-capacities.xlsx. This is the reference for currently used values to be replaced</t>
    </r>
    <r>
      <rPr>
        <sz val="11"/>
        <color theme="0" tint="-0.499984740745262"/>
        <rFont val="Calibri"/>
        <family val="2"/>
        <scheme val="minor"/>
      </rPr>
      <t>. Collected and aggregated previously in "Review - TYNDP 2022.xlsx"</t>
    </r>
  </si>
  <si>
    <t>VP breakdown</t>
  </si>
  <si>
    <t>GW</t>
  </si>
  <si>
    <t>GWh</t>
  </si>
  <si>
    <t>h</t>
  </si>
  <si>
    <t>Max capacity</t>
  </si>
  <si>
    <t>Max power</t>
  </si>
  <si>
    <t>Plot Y-axis ranges</t>
  </si>
  <si>
    <t>Model inputs</t>
  </si>
  <si>
    <t>TWh</t>
  </si>
  <si>
    <t>Supply</t>
  </si>
  <si>
    <t>MMStandardOutputFile_DE2035_Plexos_CY2009_H2_v11_SoS.xlsb</t>
  </si>
  <si>
    <t>Disclaimers</t>
  </si>
  <si>
    <t>Annual output</t>
  </si>
  <si>
    <t>Charge and discharge values are identical for installed capacity and differ by 0.6% for annual output. Thus, only charge rates are collected.</t>
  </si>
  <si>
    <t>Installed capacity</t>
  </si>
  <si>
    <t>Storage only supply duration</t>
  </si>
  <si>
    <t>Max discharge</t>
  </si>
  <si>
    <t>Max charge</t>
  </si>
  <si>
    <t>Max discharge expansion</t>
  </si>
  <si>
    <t>Max charge expansion</t>
  </si>
  <si>
    <t>Discharge</t>
  </si>
  <si>
    <t>(Dis)charge</t>
  </si>
  <si>
    <t>Charge</t>
  </si>
  <si>
    <t>d</t>
  </si>
  <si>
    <t>Normalized charge</t>
  </si>
  <si>
    <t>Normalized discharge</t>
  </si>
  <si>
    <t>Plexos result file specifies load as discharge and generation (power in H2 storages.xlsx) as charge</t>
  </si>
  <si>
    <t>Full discharge duration</t>
  </si>
  <si>
    <t>Geological storage cannot be discharged in half a day</t>
  </si>
  <si>
    <t>Values plausible</t>
  </si>
  <si>
    <t>Annual output / storage capacity</t>
  </si>
  <si>
    <t>Annual output / installed capacity</t>
  </si>
  <si>
    <t>Warning</t>
  </si>
  <si>
    <t>cycles</t>
  </si>
  <si>
    <t>Would zone 2 discharge work just 11 hours?</t>
  </si>
  <si>
    <t>Cannot make sence of installed capacity values. Let's not use them untill understanding is gained.</t>
  </si>
  <si>
    <t>E-fuels</t>
  </si>
  <si>
    <t>MMStandardOutputFile_DE2035_Plexos_CY2009_Heat_SynthFuels_v11_SoS.xlsb</t>
  </si>
  <si>
    <t>Max</t>
  </si>
  <si>
    <t>Sum</t>
  </si>
  <si>
    <r>
      <t xml:space="preserve">GWh </t>
    </r>
    <r>
      <rPr>
        <sz val="11"/>
        <color theme="0" tint="-0.499984740745262"/>
        <rFont val="Calibri"/>
        <family val="2"/>
        <scheme val="minor"/>
      </rPr>
      <t>Synfuel</t>
    </r>
  </si>
  <si>
    <r>
      <t xml:space="preserve">MW </t>
    </r>
    <r>
      <rPr>
        <sz val="11"/>
        <color theme="0" tint="-0.499984740745262"/>
        <rFont val="Calibri"/>
        <family val="2"/>
        <scheme val="minor"/>
      </rPr>
      <t>Synfuel</t>
    </r>
  </si>
  <si>
    <t>No installed capacity values - just max use. All e-fuel production occurs in zone 2.</t>
  </si>
  <si>
    <t>Warning - number of countries have H2 storage charge capacities larger than electrolyser ones.</t>
  </si>
  <si>
    <t>Charge/discharge</t>
  </si>
  <si>
    <t>Charge/discharge expansion</t>
  </si>
  <si>
    <t>Normalized demand</t>
  </si>
  <si>
    <t>Omitted breakdown: grid-connected versus deicated for H2 production wind and solar</t>
  </si>
  <si>
    <r>
      <t>Source: Visualization Platform</t>
    </r>
    <r>
      <rPr>
        <sz val="11"/>
        <color theme="0" tint="-0.499984740745262"/>
        <rFont val="Calibri"/>
        <family val="2"/>
        <scheme val="minor"/>
      </rPr>
      <t xml:space="preserve"> (website)</t>
    </r>
  </si>
  <si>
    <r>
      <t>Source: National Trends (NT) trajectories</t>
    </r>
    <r>
      <rPr>
        <sz val="11"/>
        <color theme="0" tint="-0.499984740745262"/>
        <rFont val="Calibri"/>
        <family val="2"/>
        <scheme val="minor"/>
      </rPr>
      <t xml:space="preserve"> (Final Supply Indicators excel)</t>
    </r>
  </si>
  <si>
    <t>Offshore wind capacity distribution for DK is provided including offshore nodes absent in NEBB</t>
  </si>
  <si>
    <t>Country-size zones get VP values dirrectly. Subcounty zone values are computed distibuting VP values in proportion of NT value distribution.</t>
  </si>
  <si>
    <t>Solar (Photovoltaic)</t>
  </si>
  <si>
    <t>Solar (Thermal)</t>
  </si>
  <si>
    <t>Pump Storage - Open Loop (turbine)</t>
  </si>
  <si>
    <t>Pump Storage - Open Loop (pump)</t>
  </si>
  <si>
    <t>Pump Storage - Closed Loop (turbine)</t>
  </si>
  <si>
    <t>Pump Storage - Closed Loop (pump)</t>
  </si>
  <si>
    <t>Reservoir</t>
  </si>
  <si>
    <t>Pondage</t>
  </si>
  <si>
    <t>Run-of-River</t>
  </si>
  <si>
    <t>Hard Coal biofuel</t>
  </si>
  <si>
    <t>Gas biofuel</t>
  </si>
  <si>
    <t>Oil shale biofuel</t>
  </si>
  <si>
    <t>Others renewable</t>
  </si>
  <si>
    <t>Lignite old 1</t>
  </si>
  <si>
    <t>Lignite old 2</t>
  </si>
  <si>
    <t>Hard coal old 1</t>
  </si>
  <si>
    <t>Hard coal old 2</t>
  </si>
  <si>
    <t>Hard coal new</t>
  </si>
  <si>
    <t>Heavy oil old 1</t>
  </si>
  <si>
    <t>Gas conventional old 1</t>
  </si>
  <si>
    <t>Gas conventional old 2</t>
  </si>
  <si>
    <t>Gas CCGT old 1</t>
  </si>
  <si>
    <t>Gas CCGT old 2</t>
  </si>
  <si>
    <t>Gas CCGT new</t>
  </si>
  <si>
    <t>Gas OCGT old</t>
  </si>
  <si>
    <t>Gas OCGT new</t>
  </si>
  <si>
    <t>Gas CCGT present 1</t>
  </si>
  <si>
    <t>Gas CCGT present 2</t>
  </si>
  <si>
    <t>Others non-renewable</t>
  </si>
  <si>
    <t>Electrolyser (load)</t>
  </si>
  <si>
    <t>Battery Storage discharge (gen.)</t>
  </si>
  <si>
    <t>Battery Storage charge (load)</t>
  </si>
  <si>
    <t>Demand Side Response</t>
  </si>
  <si>
    <t>CH4 Heat Pump (load)</t>
  </si>
  <si>
    <t>H2 Heat Pump (load)</t>
  </si>
  <si>
    <r>
      <t>Source: Plexos output excel</t>
    </r>
    <r>
      <rPr>
        <sz val="10"/>
        <color theme="0" tint="-0.499984740745262"/>
        <rFont val="Arial"/>
        <family val="2"/>
      </rPr>
      <t>. Scenario: 2035 DE. Climate year: 2009.</t>
    </r>
  </si>
  <si>
    <t>Solar Thermal</t>
  </si>
  <si>
    <t>Onshore Wind</t>
  </si>
  <si>
    <t>Offshore Wind</t>
  </si>
  <si>
    <t>Gas CCGT old 2 Bio</t>
  </si>
  <si>
    <t>Gas conventional old 2 Bio</t>
  </si>
  <si>
    <t>Hard coal new Bio</t>
  </si>
  <si>
    <t>Hard coal old 1 Bio</t>
  </si>
  <si>
    <t>Hard coal old 2 Bio</t>
  </si>
  <si>
    <t>Heavy oil old 1 Bio</t>
  </si>
  <si>
    <t>Lignite new</t>
  </si>
  <si>
    <t>Oil shale new Bio</t>
  </si>
  <si>
    <t>Oil shale old</t>
  </si>
  <si>
    <t>Other non-RES DE00 P</t>
  </si>
  <si>
    <t>Other non-RES DKE1 P</t>
  </si>
  <si>
    <t>Other non-RES DKW1 P</t>
  </si>
  <si>
    <t>Other non-RES FI00 P</t>
  </si>
  <si>
    <t>Other non-RES FR00 P</t>
  </si>
  <si>
    <t>Other non-RES UK00 P</t>
  </si>
  <si>
    <t>2024 Plexos</t>
  </si>
  <si>
    <t>2024 Visual platform</t>
  </si>
  <si>
    <r>
      <t xml:space="preserve">Data: TYNDP </t>
    </r>
    <r>
      <rPr>
        <b/>
        <sz val="11"/>
        <color theme="1"/>
        <rFont val="Calibri"/>
        <family val="2"/>
        <scheme val="minor"/>
      </rPr>
      <t>2024</t>
    </r>
  </si>
  <si>
    <t>1. Relevant datasets</t>
  </si>
  <si>
    <t>2. Comparison</t>
  </si>
  <si>
    <t>Source: TYNDP-2020-capacities.xlsx</t>
  </si>
  <si>
    <r>
      <t xml:space="preserve">Data: TYNDP </t>
    </r>
    <r>
      <rPr>
        <b/>
        <sz val="11"/>
        <color theme="1"/>
        <rFont val="Calibri"/>
        <family val="2"/>
        <scheme val="minor"/>
      </rPr>
      <t>2020</t>
    </r>
  </si>
  <si>
    <t>3. Values used in the model</t>
  </si>
  <si>
    <t>Assuming all "hard coal bio" to be "new" in absence of breakdown in 2024 dataset. Assumption aims for simplicity of secondary importance source.</t>
  </si>
  <si>
    <t>Omitting capacities of technologies absent in maf2020techdata.xlsx: gas bio, other RES</t>
  </si>
  <si>
    <t>VRE</t>
  </si>
  <si>
    <t>Hydro</t>
  </si>
  <si>
    <t>Values from VP despite absence of price zone breakdown for Nordic countries. In presence of major discrepency for offshore wind it is unclear which set should be used.</t>
  </si>
  <si>
    <t>Values from Plexos excel</t>
  </si>
  <si>
    <t>Thermal and nuclear</t>
  </si>
  <si>
    <t>Source: additional-units-conventional.xlsx</t>
  </si>
  <si>
    <t>DR cutoff tier 1</t>
  </si>
  <si>
    <t>DR cutoff tier 2</t>
  </si>
  <si>
    <t>DR upwards 1</t>
  </si>
  <si>
    <t>DR upwards 2</t>
  </si>
  <si>
    <t>Crossed out technologies have no definitions in maf2020techdata.xlsx and therefore not read. Crossed out values are overwritten or removed in additional-units-conventional.xlsx</t>
  </si>
  <si>
    <t>TYNDP 2020</t>
  </si>
  <si>
    <t>TYNDP 2024</t>
  </si>
  <si>
    <t>Difference</t>
  </si>
  <si>
    <t>PS Closed (turbine)</t>
  </si>
  <si>
    <t>PS - Open (turbine)</t>
  </si>
  <si>
    <t>Technical Review of Existing Norwegian Pumped Storage Plants</t>
  </si>
  <si>
    <t>Keeping old values because updates require obtaining new profiles. Only exception - new pump values for Norvegean pump hydro, which is the largest source of demand flexibility.</t>
  </si>
  <si>
    <t>shows that pump capacity in Norway is much lower than turbine capacity.</t>
  </si>
  <si>
    <t>PS Open turbine</t>
  </si>
  <si>
    <t>PS Open pump</t>
  </si>
  <si>
    <t>Other renewable</t>
  </si>
  <si>
    <t>Other non-renewable</t>
  </si>
  <si>
    <t>Ave</t>
  </si>
  <si>
    <t>Min</t>
  </si>
  <si>
    <t>Industrial heat demand</t>
  </si>
  <si>
    <t>Y</t>
  </si>
  <si>
    <t>N</t>
  </si>
  <si>
    <t>?</t>
  </si>
  <si>
    <t>Import</t>
  </si>
  <si>
    <t>Export</t>
  </si>
  <si>
    <r>
      <t>DE</t>
    </r>
    <r>
      <rPr>
        <sz val="11"/>
        <color theme="5" tint="0.59999389629810485"/>
        <rFont val="Calibri"/>
        <family val="2"/>
      </rPr>
      <t>KF</t>
    </r>
  </si>
  <si>
    <r>
      <t>PL</t>
    </r>
    <r>
      <rPr>
        <sz val="11"/>
        <color theme="5" tint="0.59999389629810485"/>
        <rFont val="Calibri"/>
        <family val="2"/>
      </rPr>
      <t>00I</t>
    </r>
  </si>
  <si>
    <r>
      <t>PL</t>
    </r>
    <r>
      <rPr>
        <sz val="11"/>
        <color theme="5" tint="0.59999389629810485"/>
        <rFont val="Calibri"/>
        <family val="2"/>
      </rPr>
      <t>00E</t>
    </r>
  </si>
  <si>
    <r>
      <t>DK</t>
    </r>
    <r>
      <rPr>
        <sz val="11"/>
        <color theme="5" tint="0.59999389629810485"/>
        <rFont val="Calibri"/>
        <family val="2"/>
      </rPr>
      <t>KF</t>
    </r>
  </si>
  <si>
    <r>
      <t>DK</t>
    </r>
    <r>
      <rPr>
        <sz val="11"/>
        <color theme="5" tint="0.59999389629810485"/>
        <rFont val="Calibri"/>
        <family val="2"/>
      </rPr>
      <t>BH</t>
    </r>
  </si>
  <si>
    <r>
      <t>UK</t>
    </r>
    <r>
      <rPr>
        <sz val="11"/>
        <color theme="5" tint="0.59999389629810485"/>
        <rFont val="Calibri"/>
        <family val="2"/>
      </rPr>
      <t>NI</t>
    </r>
  </si>
  <si>
    <r>
      <t>NL</t>
    </r>
    <r>
      <rPr>
        <sz val="11"/>
        <color theme="5" tint="0.59999389629810485"/>
        <rFont val="Calibri"/>
        <family val="2"/>
      </rPr>
      <t>LL</t>
    </r>
  </si>
  <si>
    <r>
      <t>BE</t>
    </r>
    <r>
      <rPr>
        <sz val="11"/>
        <color theme="5" tint="0.59999389629810485"/>
        <rFont val="Calibri"/>
        <family val="2"/>
      </rPr>
      <t>OF</t>
    </r>
  </si>
  <si>
    <r>
      <t>DK</t>
    </r>
    <r>
      <rPr>
        <sz val="11"/>
        <color theme="5" tint="0.59999389629810485"/>
        <rFont val="Calibri"/>
        <family val="2"/>
      </rPr>
      <t>NS</t>
    </r>
  </si>
  <si>
    <t xml:space="preserve"> Cumulative additions (MW)</t>
  </si>
  <si>
    <r>
      <t>N</t>
    </r>
    <r>
      <rPr>
        <sz val="11"/>
        <color theme="1"/>
        <rFont val="Calibri"/>
        <family val="2"/>
      </rPr>
      <t>L</t>
    </r>
    <r>
      <rPr>
        <sz val="11"/>
        <color theme="0" tint="-0.499984740745262"/>
        <rFont val="Calibri"/>
        <family val="2"/>
      </rPr>
      <t>00</t>
    </r>
  </si>
  <si>
    <t>BE00-FR00 Real 1</t>
  </si>
  <si>
    <t>BE00-NL00 Real 2</t>
  </si>
  <si>
    <t>DE00-DKE1 Concept 1</t>
  </si>
  <si>
    <t>DE00-NL00 Real 1</t>
  </si>
  <si>
    <t>DE00-SE04 Real 1</t>
  </si>
  <si>
    <t>DE00-UK00 Real 1</t>
  </si>
  <si>
    <t>DKE1-SE04 Concept 3</t>
  </si>
  <si>
    <t>DKW1-SE03 Real 1</t>
  </si>
  <si>
    <t>DKW1-UK00 Real 1</t>
  </si>
  <si>
    <t>EE00-FI00 Real 1</t>
  </si>
  <si>
    <t>ES00-FR00 Real 1</t>
  </si>
  <si>
    <t>ES00-FR00 Real 2</t>
  </si>
  <si>
    <t>FI00-SE01 Concept 1</t>
  </si>
  <si>
    <t>FI00-SE01 Real 1</t>
  </si>
  <si>
    <t>FI00-SE01 Real 2</t>
  </si>
  <si>
    <t>FI00-SE03 Concept 1</t>
  </si>
  <si>
    <t>LT00-SE04 Real 1</t>
  </si>
  <si>
    <t>SE02-SE03 Real 1</t>
  </si>
  <si>
    <t>Line</t>
  </si>
  <si>
    <t>Comparison of TYNDP rounds</t>
  </si>
  <si>
    <t>2024 - 2020</t>
  </si>
  <si>
    <t>Destination</t>
  </si>
  <si>
    <t>Aggregated for modeled nodes</t>
  </si>
  <si>
    <t>With investment candidates</t>
  </si>
  <si>
    <t>Investment candidates</t>
  </si>
  <si>
    <t>[3] TYNDP-2020-Scenario-Datafile.xlsx</t>
  </si>
  <si>
    <t>[1] Electricity and Hydrogen Reference Grid &amp; Investment Candidates.xlsx, [2] MMStandardOutputFile_DE2035_Plexos_CY2009_H2_v11_SoS</t>
  </si>
  <si>
    <t>Relevant candidates (year &lt;=2035)</t>
  </si>
  <si>
    <t>Investment candidates [1]</t>
  </si>
  <si>
    <t>Non-zero use [3]</t>
  </si>
  <si>
    <t>TYNDP colsultation round does not change list of investment candidates or their capacities (at least for NEBB countries)</t>
  </si>
  <si>
    <t>BE-NL</t>
  </si>
  <si>
    <t>BE-UK</t>
  </si>
  <si>
    <t>DK-DE</t>
  </si>
  <si>
    <t>EE-FI</t>
  </si>
  <si>
    <t>FI-SE</t>
  </si>
  <si>
    <t>Reference grid in 2030 [1]</t>
  </si>
  <si>
    <t>Grid with candidates added</t>
  </si>
  <si>
    <t>Nodal breakdown</t>
  </si>
  <si>
    <r>
      <rPr>
        <sz val="11"/>
        <color theme="9" tint="-0.499984740745262"/>
        <rFont val="Calibri"/>
        <family val="2"/>
        <scheme val="minor"/>
      </rPr>
      <t>inputs used</t>
    </r>
    <r>
      <rPr>
        <sz val="11"/>
        <color theme="1"/>
        <rFont val="Calibri"/>
        <family val="2"/>
        <scheme val="minor"/>
      </rPr>
      <t>,</t>
    </r>
    <r>
      <rPr>
        <sz val="11"/>
        <color theme="9" tint="0.59999389629810485"/>
        <rFont val="Calibri"/>
        <family val="2"/>
        <scheme val="minor"/>
      </rPr>
      <t xml:space="preserve"> inputs not used</t>
    </r>
    <r>
      <rPr>
        <sz val="11"/>
        <color theme="1"/>
        <rFont val="Calibri"/>
        <family val="2"/>
        <scheme val="minor"/>
      </rPr>
      <t>,</t>
    </r>
    <r>
      <rPr>
        <sz val="11"/>
        <color theme="8" tint="0.59999389629810485"/>
        <rFont val="Calibri"/>
        <family val="2"/>
        <scheme val="minor"/>
      </rPr>
      <t xml:space="preserve"> </t>
    </r>
    <r>
      <rPr>
        <sz val="11"/>
        <color theme="8" tint="-0.499984740745262"/>
        <rFont val="Calibri"/>
        <family val="2"/>
        <scheme val="minor"/>
      </rPr>
      <t>derivatives used</t>
    </r>
    <r>
      <rPr>
        <sz val="11"/>
        <color theme="8" tint="0.59999389629810485"/>
        <rFont val="Calibri"/>
        <family val="2"/>
        <scheme val="minor"/>
      </rPr>
      <t>, illustrative derivatives</t>
    </r>
    <r>
      <rPr>
        <sz val="11"/>
        <color theme="1"/>
        <rFont val="Calibri"/>
        <family val="2"/>
        <scheme val="minor"/>
      </rPr>
      <t xml:space="preserve">, </t>
    </r>
    <r>
      <rPr>
        <sz val="11"/>
        <color theme="0" tint="-0.249977111117893"/>
        <rFont val="Calibri"/>
        <family val="2"/>
        <scheme val="minor"/>
      </rPr>
      <t>insignificant values</t>
    </r>
  </si>
  <si>
    <t>Dirrection: dir 1 - from node 1 to node 2, dir 2 - from node 2 to node 1.
No explicit definition of "year", but from the context it seems to refer to a year of expected project commissioning.
Units used: MW.</t>
  </si>
  <si>
    <t>Sources</t>
  </si>
  <si>
    <t>Reference grid 2030 [1]</t>
  </si>
  <si>
    <t>Use of  candidates [2]</t>
  </si>
  <si>
    <t>TYNDP-2020-Scenario-Datafile.xlsx</t>
  </si>
  <si>
    <t>Based on connections visible in https://www.h2inframap.eu/ the following is assumed:
1). DE-DK consist of DE-DKW1 and DKW1-DKWE1 of the same capacity
2). SE-FI line goes through north (FI-SE01) and extends to SE01-S02 with the same capacity
3). SE03-SE04 connection has the same capacity as FI-SE01 but is not connected to it</t>
  </si>
  <si>
    <t>Capacity equal to its maximum use is added for Finnish line investment candidates because it constitutes only small fraction of whole candidate capacity.
For other lines whole investment candidate capacity is added.</t>
  </si>
  <si>
    <t>Dirrection: dir 1 /export - from node 1 to node 2, dir 2 / import - from node 2 to node 1. Note that import capacity values to be coppied to destination file have to be negative.
Electricity transmision investment candidate types according to methodology report:
- "Real" projects have been investigated in the previous TYNDP cycle, are usually expected to be commissioned in a nearer future, have more certain technical and economic characteristics.
- "Concept" projects are expected to be commissioned after 2040, have less certain technical and economic parameters, adds incremental capacity to borders with already existing transmission capacity.
No explicit definition of "year", but from the context it seems to refer to a year of expected project commissioning.
Units used: MW.</t>
  </si>
  <si>
    <t>[1] Electricity and Hydrogen Reference Grid &amp; Investment Candidates.xlsx, [2] MMStandardOutputFile_DE2035_Plexos_CY2009_H2_v11_SoS, [4] additional-lines1.xlsx</t>
  </si>
  <si>
    <t>2020 [3]+[4]</t>
  </si>
  <si>
    <t>Gas CCGT CHP</t>
  </si>
  <si>
    <t>Oil HOB</t>
  </si>
  <si>
    <t>Gas HOB</t>
  </si>
  <si>
    <t>Bio HOB</t>
  </si>
  <si>
    <t>Ground source heat pump</t>
  </si>
  <si>
    <t>Electric boiler</t>
  </si>
  <si>
    <t>Bio CHP</t>
  </si>
  <si>
    <t>Coal CHP</t>
  </si>
  <si>
    <t>FI00_industry</t>
  </si>
  <si>
    <t>Kraft process recovery boiler</t>
  </si>
  <si>
    <t>Waste CHP</t>
  </si>
  <si>
    <t>SE03_industry</t>
  </si>
  <si>
    <t>Helsinki</t>
  </si>
  <si>
    <t>Tampere</t>
  </si>
  <si>
    <t>Jyvaskyla</t>
  </si>
  <si>
    <t>Turku</t>
  </si>
  <si>
    <t>Vantaa</t>
  </si>
  <si>
    <t>Oulu</t>
  </si>
  <si>
    <t>Espoo</t>
  </si>
  <si>
    <t>FI00_others</t>
  </si>
  <si>
    <t>Heat</t>
  </si>
  <si>
    <t>Electricity</t>
  </si>
  <si>
    <t>Heat storage discharger</t>
  </si>
  <si>
    <t>Gas OCGT CHP</t>
  </si>
  <si>
    <t>Large heat storage discharger</t>
  </si>
  <si>
    <t>Seasonal heat storage discharger</t>
  </si>
  <si>
    <t>Waste HOB</t>
  </si>
  <si>
    <t>Content</t>
  </si>
  <si>
    <t>Author</t>
  </si>
  <si>
    <t>Origin</t>
  </si>
  <si>
    <t>"H2 heavy 2035" scenario development for RePower project</t>
  </si>
  <si>
    <t>Justinas Jasiūnas</t>
  </si>
  <si>
    <t>TYNDP2024 includes multiple files with data from various modeling stages that contain larger than NEBB scope, which can be overwhelming</t>
  </si>
  <si>
    <t>Inputs</t>
  </si>
  <si>
    <t>Outputs</t>
  </si>
  <si>
    <t>Element order</t>
  </si>
  <si>
    <t>TYNDP 2024 website</t>
  </si>
  <si>
    <t>Overview of datasets in</t>
  </si>
  <si>
    <t>Website contains multiple input and output datasets of modeling process with multiple stages that are described in methodology report. The copy of the overview figure from methodology report is shown bellow. The differences between data at these stages are not entirely clear to me, but I used data from the latest modeling stages when possible. According to the figure data on visualization platform (present in the TYNDP website) contains the ultimate results of the modeling process. However, it includes only portion of data required for NEBB and does not allow direct copying from selected tables - individual values had to be copied manualy. On the other extreme, plexos modeling result files have an overwhelming amount of data including not self-explanatory entries without documentation.</t>
  </si>
  <si>
    <r>
      <rPr>
        <b/>
        <sz val="11"/>
        <color theme="1"/>
        <rFont val="Calibri"/>
        <family val="2"/>
        <scheme val="minor"/>
      </rPr>
      <t>Approach</t>
    </r>
    <r>
      <rPr>
        <sz val="11"/>
        <color theme="1"/>
        <rFont val="Calibri"/>
        <family val="2"/>
        <scheme val="minor"/>
      </rPr>
      <t xml:space="preserve"> - compare potentially relevant datasets while maximize data readability using:</t>
    </r>
  </si>
  <si>
    <r>
      <rPr>
        <b/>
        <sz val="11"/>
        <color theme="1"/>
        <rFont val="Calibri"/>
        <family val="2"/>
        <scheme val="minor"/>
      </rPr>
      <t>TYNDP vs NEBB</t>
    </r>
    <r>
      <rPr>
        <sz val="11"/>
        <color theme="1"/>
        <rFont val="Calibri"/>
        <family val="2"/>
        <scheme val="minor"/>
      </rPr>
      <t xml:space="preserve"> - high level comparison</t>
    </r>
  </si>
  <si>
    <t>Common</t>
  </si>
  <si>
    <t>Electricity and H2 generation capacities and demand. Accounted flexibility options include pumped hydro, H2, batteries. Electricity and H2 transmission capacity.</t>
  </si>
  <si>
    <t>Omissions decreasing flexibity</t>
  </si>
  <si>
    <t>Geography</t>
  </si>
  <si>
    <t>fewer countries (EU27+ &gt; 14 in NEBB) and country breakdowns outside of nordics, no ddedicated offshore nodes</t>
  </si>
  <si>
    <t>Flexibility options</t>
  </si>
  <si>
    <t>H2 aspects</t>
  </si>
  <si>
    <t>Omissions increasing flexibity</t>
  </si>
  <si>
    <t>dedicated VRE nodes</t>
  </si>
  <si>
    <t>EVs and basically no DSR</t>
  </si>
  <si>
    <t>H2 imports, steam methane reformer, H2 power plants, synthetic fuels</t>
  </si>
  <si>
    <t>New wind profiles</t>
  </si>
  <si>
    <t>some TYNDP2024 data lacks clear documentation and include questionable data (e.g., 50 GW of batteries in DE and none in neighbouring PL)</t>
  </si>
  <si>
    <t>change in inputs indicates expected change in outputs against which validity of model results can be scrutinized</t>
  </si>
  <si>
    <t>countries by population, thermal technologies by carbon intensity, remaining technologies grouped into renewables in flexibility sources</t>
  </si>
  <si>
    <r>
      <t xml:space="preserve">separate short term storage zones, H2 storage limits </t>
    </r>
    <r>
      <rPr>
        <sz val="11"/>
        <color theme="0" tint="-0.499984740745262"/>
        <rFont val="Calibri"/>
        <family val="2"/>
        <scheme val="minor"/>
      </rPr>
      <t>(using possible rather than realized capacity expansion to avoid unrealistic shortages)</t>
    </r>
    <r>
      <rPr>
        <sz val="11"/>
        <color theme="1"/>
        <rFont val="Calibri"/>
        <family val="2"/>
        <scheme val="minor"/>
      </rPr>
      <t>, variable demand profiles</t>
    </r>
    <r>
      <rPr>
        <sz val="11"/>
        <color theme="0" tint="-0.499984740745262"/>
        <rFont val="Calibri"/>
        <family val="2"/>
        <scheme val="minor"/>
      </rPr>
      <t xml:space="preserve"> (while H2 demand should be a net source for flexibility TYNDP 2024 seem to use predefined profiles that would require more flexibility than constant profiles predefined in NEBB)</t>
    </r>
  </si>
  <si>
    <t>Kept old NEBB account</t>
  </si>
  <si>
    <t>Overall</t>
  </si>
  <si>
    <t>Significantly lower system flexibility balanced with larger H2 storage and curtailments</t>
  </si>
  <si>
    <r>
      <rPr>
        <b/>
        <sz val="11"/>
        <color theme="1"/>
        <rFont val="Calibri"/>
        <family val="2"/>
        <scheme val="minor"/>
      </rPr>
      <t>H2 heavy 2035 vs National Trends 2025</t>
    </r>
    <r>
      <rPr>
        <sz val="11"/>
        <color theme="1"/>
        <rFont val="Calibri"/>
        <family val="2"/>
        <scheme val="minor"/>
      </rPr>
      <t xml:space="preserve"> - main development stages</t>
    </r>
  </si>
  <si>
    <t>Significantly more VRE + marginally higher native electricity demand -&gt; huge surpluses</t>
  </si>
  <si>
    <t>Adding major H2 demand limited with limited addtion to el. Flexibility</t>
  </si>
  <si>
    <t>Adding more flexibility options</t>
  </si>
  <si>
    <t>Revising thermal power generation capacity mostly eliminating fossils</t>
  </si>
  <si>
    <r>
      <t xml:space="preserve">Accounting other RES and other non-RES </t>
    </r>
    <r>
      <rPr>
        <sz val="11"/>
        <color theme="0" tint="-0.499984740745262"/>
        <rFont val="Calibri"/>
        <family val="2"/>
        <scheme val="minor"/>
      </rPr>
      <t>(previously present in input files but not used in NEBB)</t>
    </r>
    <r>
      <rPr>
        <sz val="11"/>
        <color theme="1"/>
        <rFont val="Calibri"/>
        <family val="2"/>
        <scheme val="minor"/>
      </rPr>
      <t xml:space="preserve"> as industrial CHP</t>
    </r>
  </si>
  <si>
    <t>Primary TYNDP scenario that is used (unless stated otherwise) is Distributed Energy for year 2035 and climate year 2009</t>
  </si>
  <si>
    <t>TYNDP2024 scenarios are very optimistic with lots more VRE and H2 than in prior NEBB scenarios, plus Nordics are net H2 exporters for central Europe</t>
  </si>
  <si>
    <t>Distributed Energy scenario is chosen over Global Energy scenario due to lower (though still questionably high) use of H2</t>
  </si>
  <si>
    <t>Choice</t>
  </si>
  <si>
    <t>Reason</t>
  </si>
  <si>
    <t>Final Supply Indicators' contain values for VRE, nuclear, and batteries</t>
  </si>
  <si>
    <t>Solar and onshore wind values are computed assuming linear dependency within a decade</t>
  </si>
  <si>
    <t>Wind offshore values for 2035 were available in the source dataset</t>
  </si>
  <si>
    <t>Nuclear breakdown only relevant for SE that has all its capacity in SE03 (DE and in NT scenarios)</t>
  </si>
  <si>
    <t>The data here has been manually coppied to NEBB input files - no automated link is present</t>
  </si>
  <si>
    <t>Minimalistic design</t>
  </si>
  <si>
    <t>Documentation</t>
  </si>
  <si>
    <r>
      <t xml:space="preserve">Data from 'Updated Electricity Modeling Results. xlsx' of TYNDP </t>
    </r>
    <r>
      <rPr>
        <b/>
        <sz val="11"/>
        <color rgb="FFC00000"/>
        <rFont val="Calibri"/>
        <family val="2"/>
        <scheme val="minor"/>
      </rPr>
      <t>2022 (outdated)</t>
    </r>
    <r>
      <rPr>
        <b/>
        <sz val="11"/>
        <color theme="0" tint="-0.499984740745262"/>
        <rFont val="Calibri"/>
        <family val="2"/>
        <scheme val="minor"/>
      </rPr>
      <t>. Values in MW.</t>
    </r>
  </si>
  <si>
    <r>
      <t>[2] Draft Supply Inputs of TYNDP 2024</t>
    </r>
    <r>
      <rPr>
        <sz val="11"/>
        <color theme="0" tint="-0.499984740745262"/>
        <rFont val="Calibri"/>
        <family val="2"/>
        <scheme val="minor"/>
      </rPr>
      <t>. Collected and aggregated previously</t>
    </r>
  </si>
  <si>
    <t>It is unclear if max (dis)charge or max (dis)charge expansion values should be used. Plexos output file contains contradictory information: (1) only max (dis)charge values are reach on hourly bais,</t>
  </si>
  <si>
    <t>Extra color</t>
  </si>
  <si>
    <r>
      <t xml:space="preserve"> </t>
    </r>
    <r>
      <rPr>
        <sz val="11"/>
        <color theme="5" tint="0.59999389629810485"/>
        <rFont val="Calibri"/>
        <family val="2"/>
        <scheme val="minor"/>
      </rPr>
      <t>nodes that are not modeled themselves but are within countries modeled in NEBB</t>
    </r>
  </si>
  <si>
    <r>
      <rPr>
        <sz val="11"/>
        <rFont val="Calibri"/>
        <family val="2"/>
        <scheme val="minor"/>
      </rPr>
      <t>Subset of realized investment candidates is determined from hourly transfer profiles in Plexos result file</t>
    </r>
    <r>
      <rPr>
        <sz val="11"/>
        <color theme="0" tint="-0.499984740745262"/>
        <rFont val="Calibri"/>
        <family val="2"/>
        <scheme val="minor"/>
      </rPr>
      <t xml:space="preserve"> (transmission lines that never used are likely not built)</t>
    </r>
  </si>
  <si>
    <t>This is comparison of capacities in additional-units-chp.xlsx before and after update made by Pauli Hiltunen</t>
  </si>
  <si>
    <t>Comparison purpose was to obtain sense of update impacts to model results when integrating update to H2 heavy scenario</t>
  </si>
  <si>
    <t>Before update</t>
  </si>
  <si>
    <t>After update</t>
  </si>
  <si>
    <t>The most noticable differentces are in national distribution of domestic H2 production, which previously was derived from EU-wide data available. Later steps do not contain demand breakdown by sectors, for which data in this sheet remains valuable.</t>
  </si>
  <si>
    <t>hide zeros and cell boundaries, use grey lines, shades of grey instead of distinct colors for head rows and columns, minimal number of relevant digits</t>
  </si>
  <si>
    <t>Multiple scenarios and sectoral breakdowns were included at early explorative stage of the project before concreate data requiremets were identified.</t>
  </si>
  <si>
    <t>Step 4. Preparing model inputs (discontinued)</t>
  </si>
  <si>
    <t>This sheet includes collection of plots showing system changes envisioned in TYNDP for DE scenario. These plots are agreggated for summary presentation.</t>
  </si>
  <si>
    <t>Summary</t>
  </si>
  <si>
    <r>
      <t xml:space="preserve">Flexibility. </t>
    </r>
    <r>
      <rPr>
        <sz val="11"/>
        <color theme="1"/>
        <rFont val="Calibri"/>
        <family val="2"/>
        <scheme val="minor"/>
      </rPr>
      <t xml:space="preserve">Source: 'Updated Electricity Modeling Results. xlsx' of </t>
    </r>
    <r>
      <rPr>
        <sz val="11"/>
        <color rgb="FFC00000"/>
        <rFont val="Calibri"/>
        <family val="2"/>
        <scheme val="minor"/>
      </rPr>
      <t>TYNDP 2022</t>
    </r>
  </si>
  <si>
    <t>Data collection and comparison from ENTSO-E TYNDP 2022/2024 and prior NEBB input data</t>
  </si>
  <si>
    <r>
      <t>Capacity</t>
    </r>
    <r>
      <rPr>
        <sz val="11"/>
        <color theme="1"/>
        <rFont val="Calibri"/>
        <family val="2"/>
        <scheme val="minor"/>
      </rPr>
      <t xml:space="preserve">. Source: </t>
    </r>
    <r>
      <rPr>
        <sz val="11"/>
        <color rgb="FFC00000"/>
        <rFont val="Calibri"/>
        <family val="2"/>
        <scheme val="minor"/>
      </rPr>
      <t>Draft</t>
    </r>
    <r>
      <rPr>
        <sz val="11"/>
        <color theme="1"/>
        <rFont val="Calibri"/>
        <family val="2"/>
        <scheme val="minor"/>
      </rPr>
      <t xml:space="preserve"> Supply Inputs for TYNDP 2024 Scenarios</t>
    </r>
    <r>
      <rPr>
        <sz val="11"/>
        <rFont val="Calibri"/>
        <family val="2"/>
        <scheme val="minor"/>
      </rPr>
      <t>.xlsx</t>
    </r>
  </si>
  <si>
    <r>
      <t xml:space="preserve">Demand. </t>
    </r>
    <r>
      <rPr>
        <sz val="11"/>
        <color theme="1"/>
        <rFont val="Calibri"/>
        <family val="2"/>
        <scheme val="minor"/>
      </rPr>
      <t xml:space="preserve">Main source: Demand </t>
    </r>
    <r>
      <rPr>
        <sz val="11"/>
        <color rgb="FFC00000"/>
        <rFont val="Calibri"/>
        <family val="2"/>
        <scheme val="minor"/>
      </rPr>
      <t>Scenarios</t>
    </r>
    <r>
      <rPr>
        <sz val="11"/>
        <color theme="1"/>
        <rFont val="Calibri"/>
        <family val="2"/>
        <scheme val="minor"/>
      </rPr>
      <t xml:space="preserve"> TYNDP 2024 After Public Consultation.xslx</t>
    </r>
  </si>
  <si>
    <r>
      <t xml:space="preserve">Operation points </t>
    </r>
    <r>
      <rPr>
        <sz val="11"/>
        <color theme="1"/>
        <rFont val="Calibri"/>
        <family val="2"/>
        <scheme val="minor"/>
      </rPr>
      <t>[GW]</t>
    </r>
  </si>
  <si>
    <t>Efficiencies</t>
  </si>
  <si>
    <t>Elec</t>
  </si>
  <si>
    <t>A</t>
  </si>
  <si>
    <t>Fuel</t>
  </si>
  <si>
    <t>B</t>
  </si>
  <si>
    <t>C</t>
  </si>
  <si>
    <t>D</t>
  </si>
  <si>
    <t>TYNDP</t>
  </si>
  <si>
    <t>DK_1</t>
  </si>
  <si>
    <t>DK_2</t>
  </si>
  <si>
    <t>GB</t>
  </si>
  <si>
    <t>NO_1</t>
  </si>
  <si>
    <t>NO_2</t>
  </si>
  <si>
    <t>NO_3</t>
  </si>
  <si>
    <t>NO_4</t>
  </si>
  <si>
    <t>NO_5</t>
  </si>
  <si>
    <t>SE_1</t>
  </si>
  <si>
    <t>SE_2</t>
  </si>
  <si>
    <t>SE_3</t>
  </si>
  <si>
    <t>SE_4</t>
  </si>
  <si>
    <r>
      <rPr>
        <b/>
        <sz val="11"/>
        <color theme="1"/>
        <rFont val="Calibri"/>
        <family val="2"/>
        <scheme val="minor"/>
      </rPr>
      <t>Objective</t>
    </r>
    <r>
      <rPr>
        <sz val="11"/>
        <rFont val="Calibri"/>
        <family val="2"/>
        <scheme val="minor"/>
      </rPr>
      <t xml:space="preserve"> for collection and comparison - make sense of </t>
    </r>
  </si>
  <si>
    <t>%</t>
  </si>
  <si>
    <t>Hourly average</t>
  </si>
  <si>
    <t>New coefficient</t>
  </si>
  <si>
    <t>Growth</t>
  </si>
  <si>
    <t>Area share</t>
  </si>
  <si>
    <t>Native [2]</t>
  </si>
  <si>
    <t>Electrolyser [2]</t>
  </si>
  <si>
    <t>Data [1]</t>
  </si>
  <si>
    <t>[1] TYNDP 2024 - Visualization platform</t>
  </si>
  <si>
    <t>[2] TYNDP 2024 - Demand Scenarios TYNDP 2024 After Public Consultation.xslx</t>
  </si>
  <si>
    <r>
      <t>[3] NEBB -</t>
    </r>
    <r>
      <rPr>
        <sz val="11"/>
        <color theme="0" tint="-0.499984740745262"/>
        <rFont val="Calibri"/>
        <family val="2"/>
        <scheme val="minor"/>
      </rPr>
      <t xml:space="preserve"> \north_european_model\timeseries\Basic_processing\Elec_demand\input\</t>
    </r>
    <r>
      <rPr>
        <sz val="11"/>
        <color theme="1"/>
        <rFont val="Calibri"/>
        <family val="2"/>
        <scheme val="minor"/>
      </rPr>
      <t>time_series_60min_singleindex.csv</t>
    </r>
  </si>
  <si>
    <r>
      <t xml:space="preserve">[4] NEBB - </t>
    </r>
    <r>
      <rPr>
        <sz val="11"/>
        <color theme="0" tint="-0.499984740745262"/>
        <rFont val="Calibri"/>
        <family val="2"/>
        <scheme val="minor"/>
      </rPr>
      <t>\north_european_model\timeseries\Basic_processing\Elec_demand\output\</t>
    </r>
    <r>
      <rPr>
        <sz val="11"/>
        <color theme="1"/>
        <rFont val="Calibri"/>
        <family val="2"/>
        <scheme val="minor"/>
      </rPr>
      <t>summary_load_2011-2020-1h.csv</t>
    </r>
  </si>
  <si>
    <t>Hourly average [3]</t>
  </si>
  <si>
    <t>Total [1]</t>
  </si>
  <si>
    <t>Hourly average [4]</t>
  </si>
  <si>
    <r>
      <t>Calculation for</t>
    </r>
    <r>
      <rPr>
        <sz val="11"/>
        <color theme="0" tint="-0.499984740745262"/>
        <rFont val="Calibri"/>
        <family val="2"/>
        <scheme val="minor"/>
      </rPr>
      <t xml:space="preserve"> \north_european_model\timeseries\Basic_processing\Elec_demand\input\</t>
    </r>
    <r>
      <rPr>
        <sz val="11"/>
        <color theme="1"/>
        <rFont val="Calibri"/>
        <family val="2"/>
        <scheme val="minor"/>
      </rPr>
      <t>demand_coefficients.xlsx</t>
    </r>
  </si>
  <si>
    <r>
      <rPr>
        <vertAlign val="superscript"/>
        <sz val="11"/>
        <color theme="0" tint="-0.499984740745262"/>
        <rFont val="Calibri"/>
        <family val="2"/>
        <scheme val="minor"/>
      </rPr>
      <t>[1]</t>
    </r>
    <r>
      <rPr>
        <sz val="11"/>
        <color theme="0" tint="-0.499984740745262"/>
        <rFont val="Calibri"/>
        <family val="2"/>
        <scheme val="minor"/>
      </rPr>
      <t xml:space="preserve"> Share of average electricity demand of price zones within countries. Values taken from calculation for demand coefficients</t>
    </r>
  </si>
  <si>
    <t>Updating the production units in the Finnish district heating systems… · vttresearch/north_european_model@cf6d6ba</t>
  </si>
  <si>
    <t>Commit:</t>
  </si>
  <si>
    <r>
      <rPr>
        <sz val="11"/>
        <color theme="0" tint="-0.499984740745262"/>
        <rFont val="Calibri"/>
        <family val="2"/>
        <scheme val="minor"/>
      </rPr>
      <t xml:space="preserve">As shown in Production sheet comparison section, </t>
    </r>
    <r>
      <rPr>
        <sz val="11"/>
        <color theme="1"/>
        <rFont val="Calibri"/>
        <family val="2"/>
        <scheme val="minor"/>
      </rPr>
      <t xml:space="preserve">TYNDP envisions majority of fossil capacity decomissioned while other RES and other non-RES capacity would stay largely the same.
</t>
    </r>
    <r>
      <rPr>
        <sz val="11"/>
        <color theme="0" tint="-0.499984740745262"/>
        <rFont val="Calibri"/>
        <family val="2"/>
        <scheme val="minor"/>
      </rPr>
      <t xml:space="preserve">Given the expectation that other (non)RES is dispatchable, </t>
    </r>
    <r>
      <rPr>
        <sz val="11"/>
        <color theme="1"/>
        <rFont val="Calibri"/>
        <family val="2"/>
        <scheme val="minor"/>
      </rPr>
      <t xml:space="preserve">the envisioned changes would make other (non)RES large part of total dispatchable capacity.
</t>
    </r>
    <r>
      <rPr>
        <sz val="11"/>
        <color theme="0" tint="-0.499984740745262"/>
        <rFont val="Calibri"/>
        <family val="2"/>
        <scheme val="minor"/>
      </rPr>
      <t>In normal conditions system is expected to have sufficient flexibility, which may be reached without other (non)RES. However, even in such case other (non)RES would represent siginificant flexibility margin, which would be of</t>
    </r>
    <r>
      <rPr>
        <sz val="11"/>
        <color theme="1"/>
        <rFont val="Calibri"/>
        <family val="2"/>
        <scheme val="minor"/>
      </rPr>
      <t xml:space="preserve"> critical variable during disruption scenarios.</t>
    </r>
  </si>
  <si>
    <r>
      <rPr>
        <sz val="11"/>
        <rFont val="Calibri"/>
        <family val="2"/>
        <scheme val="minor"/>
      </rPr>
      <t>NEBB:</t>
    </r>
    <r>
      <rPr>
        <sz val="11"/>
        <color theme="0" tint="-0.499984740745262"/>
        <rFont val="Calibri"/>
        <family val="2"/>
        <scheme val="minor"/>
      </rPr>
      <t xml:space="preserve"> had other (non)RES capacities but </t>
    </r>
    <r>
      <rPr>
        <sz val="11"/>
        <rFont val="Calibri"/>
        <family val="2"/>
        <scheme val="minor"/>
      </rPr>
      <t>no technology definitions</t>
    </r>
    <r>
      <rPr>
        <sz val="11"/>
        <color theme="0" tint="-0.499984740745262"/>
        <rFont val="Calibri"/>
        <family val="2"/>
        <scheme val="minor"/>
      </rPr>
      <t xml:space="preserve"> and thus were not used in the model.
</t>
    </r>
    <r>
      <rPr>
        <sz val="11"/>
        <rFont val="Calibri"/>
        <family val="2"/>
        <scheme val="minor"/>
      </rPr>
      <t>TYNDP methodologoy report:</t>
    </r>
    <r>
      <rPr>
        <sz val="11"/>
        <color theme="0" tint="-0.499984740745262"/>
        <rFont val="Calibri"/>
        <family val="2"/>
        <scheme val="minor"/>
      </rPr>
      <t xml:space="preserve"> "</t>
    </r>
    <r>
      <rPr>
        <sz val="11"/>
        <rFont val="Calibri"/>
        <family val="2"/>
        <scheme val="minor"/>
      </rPr>
      <t>Minimum supply</t>
    </r>
    <r>
      <rPr>
        <sz val="11"/>
        <color theme="0" tint="-0.499984740745262"/>
        <rFont val="Calibri"/>
        <family val="2"/>
        <scheme val="minor"/>
      </rPr>
      <t xml:space="preserve"> profile has been kept for other non-RES to translate </t>
    </r>
    <r>
      <rPr>
        <sz val="11"/>
        <rFont val="Calibri"/>
        <family val="2"/>
        <scheme val="minor"/>
      </rPr>
      <t>CHP operation</t>
    </r>
    <r>
      <rPr>
        <sz val="11"/>
        <color theme="0" tint="-0.499984740745262"/>
        <rFont val="Calibri"/>
        <family val="2"/>
        <scheme val="minor"/>
      </rPr>
      <t xml:space="preserve">"; "For </t>
    </r>
    <r>
      <rPr>
        <sz val="11"/>
        <rFont val="Calibri"/>
        <family val="2"/>
        <scheme val="minor"/>
      </rPr>
      <t>Other Non-RES</t>
    </r>
    <r>
      <rPr>
        <sz val="11"/>
        <color theme="0" tint="-0.499984740745262"/>
        <rFont val="Calibri"/>
        <family val="2"/>
        <scheme val="minor"/>
      </rPr>
      <t>,</t>
    </r>
    <r>
      <rPr>
        <sz val="11"/>
        <rFont val="Calibri"/>
        <family val="2"/>
        <scheme val="minor"/>
      </rPr>
      <t xml:space="preserve"> minimum supply at zero cost</t>
    </r>
    <r>
      <rPr>
        <sz val="11"/>
        <color theme="0" tint="-0.499984740745262"/>
        <rFont val="Calibri"/>
        <family val="2"/>
        <scheme val="minor"/>
      </rPr>
      <t xml:space="preserve"> has been kept capturing </t>
    </r>
    <r>
      <rPr>
        <sz val="11"/>
        <rFont val="Calibri"/>
        <family val="2"/>
        <scheme val="minor"/>
      </rPr>
      <t>CHP operation not directly linked to the wholesale market price</t>
    </r>
    <r>
      <rPr>
        <sz val="11"/>
        <color theme="0" tint="-0.499984740745262"/>
        <rFont val="Calibri"/>
        <family val="2"/>
        <scheme val="minor"/>
      </rPr>
      <t xml:space="preserve">."
</t>
    </r>
    <r>
      <rPr>
        <sz val="11"/>
        <rFont val="Calibri"/>
        <family val="2"/>
        <scheme val="minor"/>
      </rPr>
      <t>TYNDP result report glossary: other RES includes bio-fuels, marine, geothermal, waste</t>
    </r>
    <r>
      <rPr>
        <sz val="11"/>
        <color theme="0" tint="-0.499984740745262"/>
        <rFont val="Calibri"/>
        <family val="2"/>
        <scheme val="minor"/>
      </rPr>
      <t>, and any other small renewable technologie</t>
    </r>
    <r>
      <rPr>
        <sz val="11"/>
        <rFont val="Calibri"/>
        <family val="2"/>
        <scheme val="minor"/>
      </rPr>
      <t>s; other non-RES includes mainly CHP that is used in district heating &amp; industry where fuel use can be gas, coal, lignite, and oil.</t>
    </r>
  </si>
  <si>
    <t>Profiles</t>
  </si>
  <si>
    <r>
      <t>To figure out</t>
    </r>
    <r>
      <rPr>
        <sz val="11"/>
        <rFont val="Calibri"/>
        <family val="2"/>
        <scheme val="minor"/>
      </rPr>
      <t xml:space="preserve"> how these capacities were used</t>
    </r>
    <r>
      <rPr>
        <sz val="11"/>
        <color theme="0" tint="-0.499984740745262"/>
        <rFont val="Calibri"/>
        <family val="2"/>
        <scheme val="minor"/>
      </rPr>
      <t xml:space="preserve"> in TYNDP 2024, the Plexos output results were studied including profile statistics listed bellow and profile plots shown on the right.</t>
    </r>
  </si>
  <si>
    <t>Flat*</t>
  </si>
  <si>
    <t>*Flat refers here to a profile with a certain value being present for most of the year without gradual variations.</t>
  </si>
  <si>
    <t>1. Figuring out what other (non)RES means</t>
  </si>
  <si>
    <r>
      <rPr>
        <sz val="11"/>
        <rFont val="Calibri"/>
        <family val="2"/>
        <scheme val="minor"/>
      </rPr>
      <t>MMStandardOutputFile_DE2035_Plexos_CY2009_v11_SoS.xlsb</t>
    </r>
    <r>
      <rPr>
        <sz val="11"/>
        <color theme="0" tint="-0.499984740745262"/>
        <rFont val="Calibri"/>
        <family val="2"/>
        <scheme val="minor"/>
      </rPr>
      <t xml:space="preserve"> (TYNDP 2024 Plexos result for Distributed Energy scenario year 2035 and climate year 2009)</t>
    </r>
  </si>
  <si>
    <t>Source</t>
  </si>
  <si>
    <t>2. Accounting as flexible heat-to-power ratio industial CHP</t>
  </si>
  <si>
    <t>Statistics of generation profiles</t>
  </si>
  <si>
    <t>Aims</t>
  </si>
  <si>
    <t>Account</t>
  </si>
  <si>
    <t>1. Constant electricity production in normal conditions</t>
  </si>
  <si>
    <t>2. Increased electricity production at higher prices</t>
  </si>
  <si>
    <t>1. Industrial CHP with high cost for lost load of industrial heat demand</t>
  </si>
  <si>
    <r>
      <t xml:space="preserve">2. CHP with flexible heat-to-power ratio </t>
    </r>
    <r>
      <rPr>
        <sz val="11"/>
        <color theme="0" tint="-0.499984740745262"/>
        <rFont val="Calibri"/>
        <family val="2"/>
        <scheme val="minor"/>
      </rPr>
      <t>(allows to increase electricity output at higher costs while keeping the same heat output)</t>
    </r>
    <r>
      <rPr>
        <sz val="11"/>
        <color theme="1"/>
        <rFont val="Calibri"/>
        <family val="2"/>
        <scheme val="minor"/>
      </rPr>
      <t xml:space="preserve"> following methodology documented in backbone demo model for flexible CHP</t>
    </r>
  </si>
  <si>
    <t>Example models · Wiki · backbone / backbone · GitLab</t>
  </si>
  <si>
    <t xml:space="preserve">flexCHP-documentation sheet in inputData_demo-flexCHP.xlsx in </t>
  </si>
  <si>
    <t>Assumptions</t>
  </si>
  <si>
    <t>Fuels</t>
  </si>
  <si>
    <t>other RES - biomass, other non-RES - coal</t>
  </si>
  <si>
    <t>Heat to power ratio in condencing mode - 2</t>
  </si>
  <si>
    <t>Average electric output</t>
  </si>
  <si>
    <r>
      <t>Heat demand is based on average electricity demand in other res and other non-RES generators.</t>
    </r>
    <r>
      <rPr>
        <sz val="11"/>
        <color theme="0" tint="-0.499984740745262"/>
        <rFont val="Calibri"/>
        <family val="2"/>
        <scheme val="minor"/>
      </rPr>
      <t xml:space="preserve"> Average is chosen becouse none of the profiles are strictly constant.</t>
    </r>
  </si>
  <si>
    <t>electric in backpressure mode - 0.3, electric in condencing mode - 0.4, total - 0.9</t>
  </si>
  <si>
    <t>Capacities for all NEBB countries</t>
  </si>
  <si>
    <t>Power-to-heat ratio flexibility is the same across all industrial CHP plants in modelled NEBB countries</t>
  </si>
  <si>
    <t>Electricity capacity given for other (non)RES is maximum electricity generation with which all heat demand can still be supplied (i.e., point B)</t>
  </si>
  <si>
    <t>Power output after maximum output in backpressure mode mode increase six times slower than heat output decreases (i.e., CD slope is six times smaller than that of OC)</t>
  </si>
  <si>
    <t>Point</t>
  </si>
  <si>
    <t>Heat capacity sufficiency*</t>
  </si>
  <si>
    <t>*Heat demand is to be manually capped to heat supply capacity where sufficiency is not achieved</t>
  </si>
  <si>
    <r>
      <rPr>
        <sz val="11"/>
        <color theme="9" tint="-0.249977111117893"/>
        <rFont val="Calibri"/>
        <family val="2"/>
        <scheme val="minor"/>
      </rPr>
      <t>inputs used in next steps</t>
    </r>
    <r>
      <rPr>
        <sz val="11"/>
        <color theme="1"/>
        <rFont val="Calibri"/>
        <family val="2"/>
        <scheme val="minor"/>
      </rPr>
      <t>,</t>
    </r>
    <r>
      <rPr>
        <sz val="11"/>
        <color theme="9" tint="0.59999389629810485"/>
        <rFont val="Calibri"/>
        <family val="2"/>
        <scheme val="minor"/>
      </rPr>
      <t xml:space="preserve"> inputs not used</t>
    </r>
    <r>
      <rPr>
        <sz val="11"/>
        <color theme="1"/>
        <rFont val="Calibri"/>
        <family val="2"/>
        <scheme val="minor"/>
      </rPr>
      <t>,</t>
    </r>
    <r>
      <rPr>
        <sz val="11"/>
        <color theme="8" tint="-0.249977111117893"/>
        <rFont val="Calibri"/>
        <family val="2"/>
        <scheme val="minor"/>
      </rPr>
      <t xml:space="preserve"> derivatives used</t>
    </r>
    <r>
      <rPr>
        <sz val="11"/>
        <color theme="8" tint="0.59999389629810485"/>
        <rFont val="Calibri"/>
        <family val="2"/>
        <scheme val="minor"/>
      </rPr>
      <t>, illustrative derivatives</t>
    </r>
    <r>
      <rPr>
        <sz val="11"/>
        <color theme="1"/>
        <rFont val="Calibri"/>
        <family val="2"/>
        <scheme val="minor"/>
      </rPr>
      <t xml:space="preserve">, </t>
    </r>
    <r>
      <rPr>
        <sz val="11"/>
        <color theme="0" tint="-0.249977111117893"/>
        <rFont val="Calibri"/>
        <family val="2"/>
        <scheme val="minor"/>
      </rPr>
      <t>insignificant values</t>
    </r>
    <r>
      <rPr>
        <sz val="11"/>
        <rFont val="Calibri"/>
        <family val="2"/>
        <scheme val="minor"/>
      </rPr>
      <t xml:space="preserve">, </t>
    </r>
    <r>
      <rPr>
        <sz val="11"/>
        <color rgb="FFC00000"/>
        <rFont val="Calibri"/>
        <family val="2"/>
        <scheme val="minor"/>
      </rPr>
      <t>inconsistent/questionable values</t>
    </r>
  </si>
  <si>
    <t>Text formating</t>
  </si>
  <si>
    <t>values copied to NEBB input files</t>
  </si>
  <si>
    <t>sources, data selection choices, transformation steps, destination files</t>
  </si>
  <si>
    <r>
      <t>Destination files: TYNDP-2020-capacities.xlsx, TYNDP-2024-capacities.xlsx, additional-units-chp.xlsx</t>
    </r>
    <r>
      <rPr>
        <sz val="11"/>
        <color theme="0" tint="-0.499984740745262"/>
        <rFont val="Calibri"/>
        <family val="2"/>
        <scheme val="minor"/>
      </rPr>
      <t xml:space="preserve"> in \north_european_model\input\capacity\</t>
    </r>
  </si>
  <si>
    <r>
      <t xml:space="preserve">Destination file: </t>
    </r>
    <r>
      <rPr>
        <sz val="11"/>
        <color theme="0" tint="-0.499984740745262"/>
        <rFont val="Calibri"/>
        <family val="2"/>
        <scheme val="minor"/>
      </rPr>
      <t>\north_european_model\input\capacity\</t>
    </r>
    <r>
      <rPr>
        <sz val="11"/>
        <color theme="1"/>
        <rFont val="Calibri"/>
        <family val="2"/>
        <scheme val="minor"/>
      </rPr>
      <t>TYNDP-2024-capacities.xlsx</t>
    </r>
  </si>
  <si>
    <r>
      <t xml:space="preserve">Destination files: </t>
    </r>
    <r>
      <rPr>
        <sz val="11"/>
        <color theme="0" tint="-0.499984740745262"/>
        <rFont val="Calibri"/>
        <family val="2"/>
        <scheme val="minor"/>
      </rPr>
      <t>\north_european_model\input\capacity\</t>
    </r>
    <r>
      <rPr>
        <sz val="11"/>
        <rFont val="Calibri"/>
        <family val="2"/>
        <scheme val="minor"/>
      </rPr>
      <t xml:space="preserve">TYNDP-2024-capacities.xlsx, </t>
    </r>
    <r>
      <rPr>
        <sz val="11"/>
        <color theme="0" tint="-0.499984740745262"/>
        <rFont val="Calibri"/>
        <family val="2"/>
        <scheme val="minor"/>
      </rPr>
      <t>\north_european_model\input\</t>
    </r>
    <r>
      <rPr>
        <sz val="11"/>
        <rFont val="Calibri"/>
        <family val="2"/>
        <scheme val="minor"/>
      </rPr>
      <t>demand.xlsx</t>
    </r>
  </si>
  <si>
    <r>
      <rPr>
        <sz val="11"/>
        <color theme="0" tint="-0.499984740745262"/>
        <rFont val="Calibri"/>
        <family val="2"/>
        <scheme val="minor"/>
      </rPr>
      <t>\north_european_model\input\capacity\</t>
    </r>
    <r>
      <rPr>
        <sz val="11"/>
        <rFont val="Calibri"/>
        <family val="2"/>
        <scheme val="minor"/>
      </rPr>
      <t>TYNDP-2024-capacities.xlsx</t>
    </r>
  </si>
  <si>
    <t>(2) installed capacities are orders of magnitude larger. Given flexibility shortage in NEBB, the latter is chosen. Even if these are not the TYNDP values, they still provide legitimate basis.</t>
  </si>
  <si>
    <t>Destination file</t>
  </si>
  <si>
    <r>
      <t>\north_european_model\input\</t>
    </r>
    <r>
      <rPr>
        <sz val="11"/>
        <rFont val="Calibri"/>
        <family val="2"/>
        <scheme val="minor"/>
      </rPr>
      <t>TYNDP-2020-Scenario-Datafile.xlsx</t>
    </r>
  </si>
  <si>
    <r>
      <t>\north_european_model\manual_additions\</t>
    </r>
    <r>
      <rPr>
        <sz val="11"/>
        <rFont val="Calibri"/>
        <family val="2"/>
        <scheme val="minor"/>
      </rPr>
      <t>bb_input_addData1.xlsx</t>
    </r>
  </si>
  <si>
    <t>Uploaded</t>
  </si>
  <si>
    <t>Data transformations preparing NEBB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</si>
</sst>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
    <numFmt numFmtId="165" formatCode="_-* #,##0_-;\-* #,##0_-;_-* &quot;-&quot;??_-;_-@_-"/>
    <numFmt numFmtId="166" formatCode="#,##0.0"/>
    <numFmt numFmtId="167" formatCode="_-* #,##0\ _€_-;\-* #,##0\ _€_-;_-* &quot;-&quot;??\ _€_-;_-@_-"/>
    <numFmt numFmtId="168" formatCode="0.0%"/>
    <numFmt numFmtId="169" formatCode="_-* #,##0.00_-;\-* #,##0.00_-;_-* &quot;-&quot;??_-;_-@_-"/>
    <numFmt numFmtId="170" formatCode="yyyy\-mm\-dd;@"/>
    <numFmt numFmtId="171" formatCode="0.000"/>
  </numFmts>
  <fonts count="74">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sz val="10"/>
      <color rgb="FF000000"/>
      <name val="Arial"/>
      <family val="2"/>
    </font>
    <font>
      <sz val="10"/>
      <color rgb="FFC00000"/>
      <name val="Arial"/>
      <family val="2"/>
    </font>
    <font>
      <sz val="11"/>
      <name val="Calibri"/>
      <family val="2"/>
      <scheme val="minor"/>
    </font>
    <font>
      <sz val="11"/>
      <color theme="0" tint="-0.249977111117893"/>
      <name val="Calibri"/>
      <family val="2"/>
      <scheme val="minor"/>
    </font>
    <font>
      <sz val="11"/>
      <color theme="0" tint="-0.499984740745262"/>
      <name val="Calibri"/>
      <family val="2"/>
      <scheme val="minor"/>
    </font>
    <font>
      <b/>
      <sz val="11"/>
      <name val="Calibri"/>
      <family val="2"/>
      <scheme val="minor"/>
    </font>
    <font>
      <vertAlign val="superscript"/>
      <sz val="11"/>
      <color theme="1"/>
      <name val="Calibri"/>
      <family val="2"/>
      <scheme val="minor"/>
    </font>
    <font>
      <vertAlign val="superscript"/>
      <sz val="10"/>
      <name val="Arial"/>
      <family val="2"/>
    </font>
    <font>
      <sz val="11"/>
      <color rgb="FFFF0000"/>
      <name val="Calibri"/>
      <family val="2"/>
      <scheme val="minor"/>
    </font>
    <font>
      <sz val="11"/>
      <color indexed="8"/>
      <name val="Calibri"/>
      <family val="2"/>
      <scheme val="minor"/>
    </font>
    <font>
      <sz val="11"/>
      <color rgb="FF000000"/>
      <name val="Calibri"/>
      <family val="2"/>
    </font>
    <font>
      <sz val="11"/>
      <color rgb="FFFF0000"/>
      <name val="Calibri"/>
      <family val="2"/>
    </font>
    <font>
      <sz val="11"/>
      <name val="Calibri"/>
      <family val="2"/>
    </font>
    <font>
      <sz val="11"/>
      <color theme="0" tint="-0.499984740745262"/>
      <name val="Calibri"/>
      <family val="2"/>
    </font>
    <font>
      <sz val="11"/>
      <color rgb="FFC00000"/>
      <name val="Calibri"/>
      <family val="2"/>
      <scheme val="minor"/>
    </font>
    <font>
      <sz val="8"/>
      <name val="Calibri"/>
      <family val="2"/>
      <scheme val="minor"/>
    </font>
    <font>
      <sz val="11"/>
      <color theme="7" tint="-0.249977111117893"/>
      <name val="Calibri"/>
      <family val="2"/>
      <scheme val="minor"/>
    </font>
    <font>
      <sz val="11"/>
      <color theme="0" tint="-0.14999847407452621"/>
      <name val="Calibri"/>
      <family val="2"/>
      <scheme val="minor"/>
    </font>
    <font>
      <vertAlign val="superscript"/>
      <sz val="11"/>
      <color theme="0" tint="-0.499984740745262"/>
      <name val="Calibri"/>
      <family val="2"/>
      <scheme val="minor"/>
    </font>
    <font>
      <sz val="11"/>
      <color theme="9" tint="-0.499984740745262"/>
      <name val="Calibri"/>
      <family val="2"/>
      <scheme val="minor"/>
    </font>
    <font>
      <sz val="11"/>
      <color theme="8" tint="-0.499984740745262"/>
      <name val="Calibri"/>
      <family val="2"/>
      <scheme val="minor"/>
    </font>
    <font>
      <sz val="11"/>
      <color theme="8" tint="0.79998168889431442"/>
      <name val="Calibri"/>
      <family val="2"/>
      <scheme val="minor"/>
    </font>
    <font>
      <sz val="11"/>
      <color theme="8" tint="0.59999389629810485"/>
      <name val="Calibri"/>
      <family val="2"/>
      <scheme val="minor"/>
    </font>
    <font>
      <sz val="11"/>
      <color theme="9" tint="0.59999389629810485"/>
      <name val="Calibri"/>
      <family val="2"/>
      <scheme val="minor"/>
    </font>
    <font>
      <sz val="11"/>
      <color theme="9" tint="-0.499984740745262"/>
      <name val="Calibri"/>
      <family val="2"/>
    </font>
    <font>
      <b/>
      <sz val="11"/>
      <color rgb="FFC00000"/>
      <name val="Calibri"/>
      <family val="2"/>
      <scheme val="minor"/>
    </font>
    <font>
      <b/>
      <sz val="11"/>
      <color theme="0" tint="-0.499984740745262"/>
      <name val="Calibri"/>
      <family val="2"/>
      <scheme val="minor"/>
    </font>
    <font>
      <sz val="11"/>
      <color theme="8" tint="-0.249977111117893"/>
      <name val="Calibri"/>
      <family val="2"/>
      <scheme val="minor"/>
    </font>
    <font>
      <sz val="11"/>
      <color rgb="FF000000"/>
      <name val="Calibri"/>
      <family val="2"/>
      <scheme val="minor"/>
    </font>
    <font>
      <sz val="11"/>
      <color theme="9" tint="0.59999389629810485"/>
      <name val="Calibri"/>
      <family val="2"/>
    </font>
    <font>
      <sz val="11"/>
      <color theme="1"/>
      <name val="AvenirNext LT Com Regular"/>
      <family val="2"/>
    </font>
    <font>
      <sz val="11"/>
      <color theme="1"/>
      <name val="Arial"/>
      <family val="2"/>
      <charset val="238"/>
    </font>
    <font>
      <sz val="10"/>
      <color theme="0" tint="-0.499984740745262"/>
      <name val="Arial"/>
      <family val="2"/>
    </font>
    <font>
      <sz val="10"/>
      <color theme="1"/>
      <name val="Arial"/>
      <family val="2"/>
    </font>
    <font>
      <sz val="10"/>
      <name val="Arial"/>
      <family val="2"/>
      <charset val="238"/>
    </font>
    <font>
      <sz val="10"/>
      <color theme="1"/>
      <name val="Arial"/>
      <family val="2"/>
      <charset val="238"/>
    </font>
    <font>
      <sz val="10"/>
      <color rgb="FFC00000"/>
      <name val="Arial"/>
      <family val="2"/>
      <charset val="238"/>
    </font>
    <font>
      <sz val="10"/>
      <color theme="9" tint="0.59999389629810485"/>
      <name val="Arial"/>
      <family val="2"/>
      <charset val="238"/>
    </font>
    <font>
      <sz val="10"/>
      <color theme="8" tint="0.59999389629810485"/>
      <name val="Arial"/>
      <family val="2"/>
      <charset val="238"/>
    </font>
    <font>
      <sz val="10"/>
      <color theme="0" tint="-0.249977111117893"/>
      <name val="Arial"/>
      <family val="2"/>
    </font>
    <font>
      <sz val="11"/>
      <color theme="5" tint="0.59999389629810485"/>
      <name val="Calibri"/>
      <family val="2"/>
      <scheme val="minor"/>
    </font>
    <font>
      <sz val="10"/>
      <color rgb="FFFF0000"/>
      <name val="Arial"/>
      <family val="2"/>
      <charset val="238"/>
    </font>
    <font>
      <strike/>
      <sz val="11"/>
      <color theme="0" tint="-0.499984740745262"/>
      <name val="Calibri"/>
      <family val="2"/>
      <scheme val="minor"/>
    </font>
    <font>
      <strike/>
      <sz val="11"/>
      <color theme="1"/>
      <name val="Calibri"/>
      <family val="2"/>
      <scheme val="minor"/>
    </font>
    <font>
      <strike/>
      <sz val="11"/>
      <color theme="9" tint="0.59999389629810485"/>
      <name val="Calibri"/>
      <family val="2"/>
      <scheme val="minor"/>
    </font>
    <font>
      <u/>
      <sz val="11"/>
      <color theme="10"/>
      <name val="Calibri"/>
      <family val="2"/>
      <scheme val="minor"/>
    </font>
    <font>
      <u/>
      <sz val="11"/>
      <color theme="0" tint="-0.499984740745262"/>
      <name val="Calibri"/>
      <family val="2"/>
      <scheme val="minor"/>
    </font>
    <font>
      <strike/>
      <sz val="10"/>
      <name val="Arial"/>
      <family val="2"/>
    </font>
    <font>
      <sz val="11"/>
      <color theme="9" tint="-0.249977111117893"/>
      <name val="Calibri"/>
      <family val="2"/>
      <scheme val="minor"/>
    </font>
    <font>
      <sz val="11"/>
      <color theme="5" tint="0.59999389629810485"/>
      <name val="Calibri"/>
      <family val="2"/>
    </font>
    <font>
      <sz val="11"/>
      <color theme="4" tint="0.59999389629810485"/>
      <name val="Calibri"/>
      <family val="2"/>
    </font>
    <font>
      <sz val="11"/>
      <color theme="8" tint="0.59999389629810485"/>
      <name val="Calibri"/>
      <family val="2"/>
    </font>
    <font>
      <sz val="11"/>
      <color theme="1"/>
      <name val="Calibri"/>
      <family val="2"/>
    </font>
    <font>
      <sz val="10"/>
      <name val="Verdana"/>
      <family val="2"/>
    </font>
    <font>
      <sz val="10"/>
      <color theme="9" tint="-0.249977111117893"/>
      <name val="Arial"/>
      <family val="2"/>
      <charset val="238"/>
    </font>
    <font>
      <sz val="10"/>
      <color theme="9" tint="-0.249977111117893"/>
      <name val="Arial"/>
      <family val="2"/>
    </font>
    <font>
      <sz val="11"/>
      <color theme="0" tint="-4.9989318521683403E-2"/>
      <name val="Calibri"/>
      <family val="2"/>
      <scheme val="minor"/>
    </font>
    <font>
      <sz val="11"/>
      <color theme="9" tint="-0.249977111117893"/>
      <name val="Calibri"/>
      <family val="2"/>
    </font>
    <font>
      <sz val="10"/>
      <color theme="9" tint="0.59999389629810485"/>
      <name val="Arial"/>
      <family val="2"/>
    </font>
    <font>
      <b/>
      <sz val="11"/>
      <color theme="9" tint="0.59999389629810485"/>
      <name val="Calibri"/>
      <family val="2"/>
      <scheme val="minor"/>
    </font>
    <font>
      <b/>
      <sz val="10"/>
      <color theme="0" tint="-0.499984740745262"/>
      <name val="Arial"/>
      <family val="2"/>
    </font>
    <font>
      <u/>
      <sz val="11"/>
      <color theme="8" tint="-0.499984740745262"/>
      <name val="Calibri"/>
      <family val="2"/>
      <scheme val="minor"/>
    </font>
    <font>
      <b/>
      <u/>
      <sz val="11"/>
      <color theme="8" tint="-0.499984740745262"/>
      <name val="Calibri"/>
      <family val="2"/>
      <scheme val="minor"/>
    </font>
    <font>
      <u/>
      <sz val="11"/>
      <color theme="8" tint="-0.249977111117893"/>
      <name val="Calibri"/>
      <family val="2"/>
      <scheme val="minor"/>
    </font>
    <font>
      <u/>
      <sz val="11"/>
      <color theme="1"/>
      <name val="Calibri"/>
      <family val="2"/>
      <scheme val="minor"/>
    </font>
    <font>
      <u/>
      <sz val="11"/>
      <color theme="9" tint="-0.249977111117893"/>
      <name val="Calibri"/>
      <family val="2"/>
      <scheme val="minor"/>
    </font>
    <font>
      <u/>
      <sz val="11"/>
      <color theme="9" tint="-0.249977111117893"/>
      <name val="Calibri"/>
      <family val="2"/>
    </font>
    <font>
      <u/>
      <sz val="11"/>
      <color theme="9" tint="-0.499984740745262"/>
      <name val="Calibri"/>
      <family val="2"/>
      <scheme val="minor"/>
    </font>
    <font>
      <sz val="11"/>
      <color theme="8" tint="-0.249977111117893"/>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9" tint="0.59999389629810485"/>
        <bgColor indexed="64"/>
      </patternFill>
    </fill>
  </fills>
  <borders count="44">
    <border>
      <left/>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249977111117893"/>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0" tint="-0.249977111117893"/>
      </bottom>
      <diagonal/>
    </border>
    <border>
      <left style="thin">
        <color theme="0" tint="-0.499984740745262"/>
      </left>
      <right/>
      <top/>
      <bottom style="thin">
        <color theme="0" tint="-0.249977111117893"/>
      </bottom>
      <diagonal/>
    </border>
    <border>
      <left style="thin">
        <color theme="0" tint="-0.499984740745262"/>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499984740745262"/>
      </left>
      <right/>
      <top style="thin">
        <color theme="0" tint="-0.249977111117893"/>
      </top>
      <bottom style="thin">
        <color indexed="64"/>
      </bottom>
      <diagonal/>
    </border>
    <border>
      <left/>
      <right/>
      <top style="thin">
        <color theme="0" tint="-0.249977111117893"/>
      </top>
      <bottom style="thin">
        <color indexed="64"/>
      </bottom>
      <diagonal/>
    </border>
    <border>
      <left style="thin">
        <color theme="0" tint="-0.499984740745262"/>
      </left>
      <right/>
      <top/>
      <bottom style="thin">
        <color indexed="64"/>
      </bottom>
      <diagonal/>
    </border>
    <border>
      <left/>
      <right/>
      <top style="thin">
        <color indexed="64"/>
      </top>
      <bottom style="thin">
        <color indexed="64"/>
      </bottom>
      <diagonal/>
    </border>
    <border>
      <left style="thin">
        <color theme="0" tint="-0.499984740745262"/>
      </left>
      <right/>
      <top style="thin">
        <color indexed="64"/>
      </top>
      <bottom/>
      <diagonal/>
    </border>
    <border>
      <left style="thin">
        <color indexed="64"/>
      </left>
      <right/>
      <top/>
      <bottom style="thin">
        <color theme="0" tint="-0.499984740745262"/>
      </bottom>
      <diagonal/>
    </border>
    <border>
      <left style="thin">
        <color indexed="64"/>
      </left>
      <right/>
      <top style="thin">
        <color theme="0" tint="-0.499984740745262"/>
      </top>
      <bottom style="thin">
        <color theme="0" tint="-0.499984740745262"/>
      </bottom>
      <diagonal/>
    </border>
    <border>
      <left style="thin">
        <color indexed="64"/>
      </left>
      <right/>
      <top style="thin">
        <color theme="0" tint="-0.499984740745262"/>
      </top>
      <bottom/>
      <diagonal/>
    </border>
    <border>
      <left style="thin">
        <color indexed="64"/>
      </left>
      <right/>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indexed="64"/>
      </top>
      <bottom style="thin">
        <color theme="0" tint="-0.249977111117893"/>
      </bottom>
      <diagonal/>
    </border>
    <border>
      <left/>
      <right/>
      <top style="thin">
        <color indexed="64"/>
      </top>
      <bottom style="thin">
        <color theme="0" tint="-0.249977111117893"/>
      </bottom>
      <diagonal/>
    </border>
    <border>
      <left style="thin">
        <color indexed="64"/>
      </left>
      <right/>
      <top style="thin">
        <color theme="0" tint="-0.499984740745262"/>
      </top>
      <bottom style="thin">
        <color indexed="64"/>
      </bottom>
      <diagonal/>
    </border>
    <border>
      <left/>
      <right/>
      <top style="thin">
        <color theme="0" tint="-0.499984740745262"/>
      </top>
      <bottom style="thin">
        <color indexed="64"/>
      </bottom>
      <diagonal/>
    </border>
  </borders>
  <cellStyleXfs count="9">
    <xf numFmtId="0" fontId="0" fillId="0" borderId="0"/>
    <xf numFmtId="43" fontId="4" fillId="0" borderId="0" applyFont="0" applyFill="0" applyBorder="0" applyAlignment="0" applyProtection="0"/>
    <xf numFmtId="0" fontId="14" fillId="0" borderId="0"/>
    <xf numFmtId="9" fontId="4" fillId="0" borderId="0" applyFont="0" applyFill="0" applyBorder="0" applyAlignment="0" applyProtection="0"/>
    <xf numFmtId="0" fontId="35" fillId="0" borderId="0"/>
    <xf numFmtId="0" fontId="36" fillId="0" borderId="0">
      <alignment horizontal="center" vertical="center"/>
    </xf>
    <xf numFmtId="0" fontId="38" fillId="0" borderId="0"/>
    <xf numFmtId="0" fontId="50" fillId="0" borderId="0" applyNumberFormat="0" applyFill="0" applyBorder="0" applyAlignment="0" applyProtection="0"/>
    <xf numFmtId="169" fontId="58" fillId="0" borderId="0" applyFont="0" applyFill="0" applyBorder="0" applyAlignment="0" applyProtection="0"/>
  </cellStyleXfs>
  <cellXfs count="640">
    <xf numFmtId="0" fontId="0" fillId="0" borderId="0" xfId="0"/>
    <xf numFmtId="3" fontId="0" fillId="0" borderId="0" xfId="0" applyNumberFormat="1"/>
    <xf numFmtId="0" fontId="3" fillId="3" borderId="0" xfId="0" applyFont="1" applyFill="1" applyAlignment="1">
      <alignment horizontal="left" vertical="center"/>
    </xf>
    <xf numFmtId="0" fontId="0" fillId="3" borderId="0" xfId="0" applyFill="1"/>
    <xf numFmtId="164" fontId="2" fillId="3" borderId="0" xfId="0" applyNumberFormat="1" applyFont="1" applyFill="1" applyAlignment="1">
      <alignment horizontal="center" vertical="center"/>
    </xf>
    <xf numFmtId="0" fontId="1" fillId="3" borderId="0" xfId="0" applyFont="1" applyFill="1"/>
    <xf numFmtId="0" fontId="2" fillId="3" borderId="0" xfId="0" applyFont="1" applyFill="1" applyAlignment="1">
      <alignment horizontal="left" vertical="center"/>
    </xf>
    <xf numFmtId="0" fontId="0" fillId="3" borderId="0" xfId="0" applyFill="1" applyAlignment="1">
      <alignment horizontal="left"/>
    </xf>
    <xf numFmtId="0" fontId="0" fillId="3" borderId="0" xfId="0" applyFill="1" applyAlignment="1">
      <alignment horizontal="center"/>
    </xf>
    <xf numFmtId="0" fontId="0" fillId="3" borderId="4" xfId="0" applyFill="1" applyBorder="1"/>
    <xf numFmtId="0" fontId="0" fillId="3" borderId="10" xfId="0" applyFill="1" applyBorder="1"/>
    <xf numFmtId="0" fontId="0" fillId="3" borderId="7" xfId="0" applyFill="1" applyBorder="1"/>
    <xf numFmtId="0" fontId="0" fillId="3" borderId="1" xfId="0" applyFill="1" applyBorder="1"/>
    <xf numFmtId="0" fontId="1" fillId="5" borderId="0" xfId="0" applyFont="1" applyFill="1"/>
    <xf numFmtId="0" fontId="10" fillId="3" borderId="0" xfId="0" applyFont="1" applyFill="1" applyAlignment="1">
      <alignment horizontal="left"/>
    </xf>
    <xf numFmtId="0" fontId="10" fillId="3" borderId="0" xfId="0" applyFont="1" applyFill="1"/>
    <xf numFmtId="0" fontId="7" fillId="3" borderId="0" xfId="0" applyFont="1" applyFill="1"/>
    <xf numFmtId="0" fontId="9" fillId="3" borderId="0" xfId="0" applyFont="1" applyFill="1"/>
    <xf numFmtId="3" fontId="0" fillId="4" borderId="0" xfId="0" applyNumberFormat="1" applyFill="1"/>
    <xf numFmtId="3" fontId="14" fillId="4" borderId="0" xfId="2" applyNumberFormat="1" applyFill="1"/>
    <xf numFmtId="166" fontId="0" fillId="0" borderId="0" xfId="0" applyNumberFormat="1"/>
    <xf numFmtId="3" fontId="0" fillId="3" borderId="0" xfId="0" applyNumberFormat="1" applyFill="1"/>
    <xf numFmtId="166" fontId="0" fillId="6" borderId="0" xfId="0" applyNumberFormat="1" applyFill="1"/>
    <xf numFmtId="0" fontId="0" fillId="2" borderId="0" xfId="0" applyFill="1" applyAlignment="1">
      <alignment horizontal="center"/>
    </xf>
    <xf numFmtId="0" fontId="0" fillId="6" borderId="0" xfId="0" applyFill="1"/>
    <xf numFmtId="0" fontId="1" fillId="6" borderId="0" xfId="0" applyFont="1" applyFill="1"/>
    <xf numFmtId="0" fontId="0" fillId="6" borderId="12" xfId="0" applyFill="1" applyBorder="1"/>
    <xf numFmtId="0" fontId="2" fillId="6" borderId="0" xfId="0" applyFont="1" applyFill="1" applyAlignment="1">
      <alignment horizontal="center" vertical="center"/>
    </xf>
    <xf numFmtId="164" fontId="2" fillId="6" borderId="0" xfId="0" applyNumberFormat="1" applyFont="1" applyFill="1" applyAlignment="1">
      <alignment horizontal="center" vertical="center"/>
    </xf>
    <xf numFmtId="0" fontId="2" fillId="6" borderId="0" xfId="0" applyFont="1" applyFill="1" applyAlignment="1">
      <alignment horizontal="left" vertical="center"/>
    </xf>
    <xf numFmtId="0" fontId="10" fillId="6" borderId="0" xfId="0" applyFont="1" applyFill="1" applyAlignment="1">
      <alignment horizontal="left"/>
    </xf>
    <xf numFmtId="0" fontId="10" fillId="6" borderId="0" xfId="0" applyFont="1" applyFill="1"/>
    <xf numFmtId="164" fontId="0" fillId="6" borderId="0" xfId="0" applyNumberFormat="1" applyFill="1" applyAlignment="1">
      <alignment horizontal="right"/>
    </xf>
    <xf numFmtId="0" fontId="0" fillId="6" borderId="0" xfId="0" applyFill="1" applyAlignment="1">
      <alignment horizontal="left"/>
    </xf>
    <xf numFmtId="164" fontId="0" fillId="6" borderId="0" xfId="0" applyNumberFormat="1" applyFill="1"/>
    <xf numFmtId="164" fontId="7" fillId="6" borderId="0" xfId="0" applyNumberFormat="1" applyFont="1" applyFill="1" applyAlignment="1">
      <alignment horizontal="right"/>
    </xf>
    <xf numFmtId="164" fontId="5" fillId="6" borderId="0" xfId="0" applyNumberFormat="1" applyFont="1" applyFill="1" applyAlignment="1">
      <alignment horizontal="right" vertical="center"/>
    </xf>
    <xf numFmtId="164" fontId="6" fillId="6" borderId="0" xfId="0" applyNumberFormat="1" applyFont="1" applyFill="1" applyAlignment="1">
      <alignment horizontal="right" vertical="center"/>
    </xf>
    <xf numFmtId="164" fontId="2" fillId="6" borderId="0" xfId="0" applyNumberFormat="1" applyFont="1" applyFill="1" applyAlignment="1">
      <alignment horizontal="right" vertical="center"/>
    </xf>
    <xf numFmtId="3" fontId="0" fillId="6" borderId="0" xfId="0" applyNumberFormat="1" applyFill="1"/>
    <xf numFmtId="0" fontId="7" fillId="6" borderId="0" xfId="0" applyFont="1" applyFill="1"/>
    <xf numFmtId="0" fontId="10" fillId="5" borderId="0" xfId="0" applyFont="1" applyFill="1"/>
    <xf numFmtId="0" fontId="0" fillId="2" borderId="0" xfId="0" applyFill="1"/>
    <xf numFmtId="3" fontId="14" fillId="3" borderId="0" xfId="2" applyNumberFormat="1" applyFill="1"/>
    <xf numFmtId="0" fontId="15" fillId="3" borderId="0" xfId="0" applyFont="1" applyFill="1"/>
    <xf numFmtId="0" fontId="15" fillId="6" borderId="0" xfId="0" applyFont="1" applyFill="1"/>
    <xf numFmtId="0" fontId="18" fillId="6" borderId="0" xfId="0" applyFont="1" applyFill="1"/>
    <xf numFmtId="3" fontId="18" fillId="6" borderId="0" xfId="0" applyNumberFormat="1" applyFont="1" applyFill="1"/>
    <xf numFmtId="3" fontId="17" fillId="6" borderId="0" xfId="0" applyNumberFormat="1" applyFont="1" applyFill="1"/>
    <xf numFmtId="3" fontId="7" fillId="6" borderId="0" xfId="0" applyNumberFormat="1" applyFont="1" applyFill="1"/>
    <xf numFmtId="165" fontId="9" fillId="6" borderId="0" xfId="1" applyNumberFormat="1" applyFont="1" applyFill="1" applyBorder="1" applyAlignment="1">
      <alignment horizontal="center"/>
    </xf>
    <xf numFmtId="165" fontId="7" fillId="6" borderId="0" xfId="1" applyNumberFormat="1" applyFont="1" applyFill="1" applyBorder="1" applyAlignment="1">
      <alignment horizontal="center"/>
    </xf>
    <xf numFmtId="165" fontId="9" fillId="6" borderId="0" xfId="1" applyNumberFormat="1" applyFont="1" applyFill="1" applyBorder="1" applyAlignment="1">
      <alignment horizontal="right"/>
    </xf>
    <xf numFmtId="165" fontId="7" fillId="6" borderId="0" xfId="1" applyNumberFormat="1" applyFont="1" applyFill="1" applyBorder="1" applyAlignment="1">
      <alignment horizontal="right"/>
    </xf>
    <xf numFmtId="165" fontId="19" fillId="6" borderId="0" xfId="1" applyNumberFormat="1" applyFont="1" applyFill="1" applyBorder="1" applyAlignment="1">
      <alignment horizontal="right"/>
    </xf>
    <xf numFmtId="166" fontId="9" fillId="6" borderId="0" xfId="0" applyNumberFormat="1" applyFont="1" applyFill="1"/>
    <xf numFmtId="166" fontId="0" fillId="2" borderId="0" xfId="0" applyNumberFormat="1" applyFill="1"/>
    <xf numFmtId="166" fontId="0" fillId="3" borderId="0" xfId="0" applyNumberFormat="1" applyFill="1"/>
    <xf numFmtId="166" fontId="22" fillId="6" borderId="0" xfId="0" applyNumberFormat="1" applyFont="1" applyFill="1"/>
    <xf numFmtId="166" fontId="9" fillId="3" borderId="0" xfId="0" applyNumberFormat="1" applyFont="1" applyFill="1"/>
    <xf numFmtId="3" fontId="7" fillId="3" borderId="0" xfId="0" applyNumberFormat="1" applyFont="1" applyFill="1" applyAlignment="1">
      <alignment horizontal="left"/>
    </xf>
    <xf numFmtId="3" fontId="9" fillId="3" borderId="0" xfId="0" applyNumberFormat="1" applyFont="1" applyFill="1" applyAlignment="1">
      <alignment horizontal="left"/>
    </xf>
    <xf numFmtId="166" fontId="9" fillId="2" borderId="0" xfId="0" applyNumberFormat="1" applyFont="1" applyFill="1"/>
    <xf numFmtId="0" fontId="9" fillId="2" borderId="0" xfId="0" applyFont="1" applyFill="1"/>
    <xf numFmtId="0" fontId="9" fillId="2" borderId="0" xfId="0" applyFont="1" applyFill="1" applyAlignment="1">
      <alignment horizontal="left"/>
    </xf>
    <xf numFmtId="166" fontId="1" fillId="2" borderId="0" xfId="0" applyNumberFormat="1" applyFont="1" applyFill="1" applyAlignment="1">
      <alignment horizontal="left"/>
    </xf>
    <xf numFmtId="166" fontId="0" fillId="2" borderId="0" xfId="0" applyNumberFormat="1" applyFill="1" applyAlignment="1">
      <alignment horizontal="left"/>
    </xf>
    <xf numFmtId="166" fontId="0" fillId="3" borderId="0" xfId="0" applyNumberFormat="1" applyFill="1" applyAlignment="1">
      <alignment horizontal="left"/>
    </xf>
    <xf numFmtId="166" fontId="0" fillId="3" borderId="8" xfId="0" applyNumberFormat="1" applyFill="1" applyBorder="1" applyAlignment="1">
      <alignment horizontal="left"/>
    </xf>
    <xf numFmtId="0" fontId="8" fillId="6" borderId="0" xfId="0" applyFont="1" applyFill="1"/>
    <xf numFmtId="166" fontId="27" fillId="6" borderId="0" xfId="0" applyNumberFormat="1" applyFont="1" applyFill="1"/>
    <xf numFmtId="9" fontId="27" fillId="6" borderId="0" xfId="3" applyFont="1" applyFill="1" applyBorder="1"/>
    <xf numFmtId="3" fontId="27" fillId="6" borderId="0" xfId="0" applyNumberFormat="1" applyFont="1" applyFill="1"/>
    <xf numFmtId="3" fontId="27" fillId="7" borderId="0" xfId="0" applyNumberFormat="1" applyFont="1" applyFill="1"/>
    <xf numFmtId="0" fontId="0" fillId="5" borderId="0" xfId="0" applyFill="1"/>
    <xf numFmtId="3" fontId="0" fillId="5" borderId="0" xfId="0" applyNumberFormat="1" applyFill="1"/>
    <xf numFmtId="3" fontId="27" fillId="0" borderId="0" xfId="0" applyNumberFormat="1" applyFont="1"/>
    <xf numFmtId="0" fontId="0" fillId="3" borderId="8" xfId="0" applyFill="1" applyBorder="1"/>
    <xf numFmtId="0" fontId="0" fillId="2" borderId="10" xfId="0" applyFill="1" applyBorder="1"/>
    <xf numFmtId="3" fontId="0" fillId="2" borderId="0" xfId="0" applyNumberFormat="1" applyFill="1"/>
    <xf numFmtId="3" fontId="13" fillId="5" borderId="0" xfId="0" applyNumberFormat="1" applyFont="1" applyFill="1"/>
    <xf numFmtId="3" fontId="0" fillId="6" borderId="10" xfId="0" applyNumberFormat="1" applyFill="1" applyBorder="1"/>
    <xf numFmtId="1" fontId="0" fillId="2" borderId="0" xfId="0" applyNumberFormat="1" applyFill="1"/>
    <xf numFmtId="3" fontId="1" fillId="5" borderId="0" xfId="0" applyNumberFormat="1" applyFont="1" applyFill="1"/>
    <xf numFmtId="0" fontId="0" fillId="3" borderId="0" xfId="0" applyFill="1" applyAlignment="1">
      <alignment horizontal="left" vertical="center" wrapText="1"/>
    </xf>
    <xf numFmtId="166" fontId="8" fillId="6" borderId="0" xfId="0" applyNumberFormat="1" applyFont="1" applyFill="1"/>
    <xf numFmtId="166" fontId="7" fillId="3" borderId="0" xfId="0" applyNumberFormat="1" applyFont="1" applyFill="1"/>
    <xf numFmtId="3" fontId="0" fillId="6" borderId="0" xfId="0" applyNumberFormat="1" applyFill="1" applyAlignment="1">
      <alignment horizontal="left"/>
    </xf>
    <xf numFmtId="0" fontId="9" fillId="6" borderId="0" xfId="0" applyFont="1" applyFill="1"/>
    <xf numFmtId="3" fontId="0" fillId="2" borderId="0" xfId="0" applyNumberFormat="1" applyFill="1" applyAlignment="1">
      <alignment horizontal="left"/>
    </xf>
    <xf numFmtId="3" fontId="33" fillId="2" borderId="0" xfId="0" applyNumberFormat="1" applyFont="1" applyFill="1"/>
    <xf numFmtId="3" fontId="15" fillId="2" borderId="0" xfId="0" applyNumberFormat="1" applyFont="1" applyFill="1"/>
    <xf numFmtId="3" fontId="9" fillId="2" borderId="0" xfId="0" applyNumberFormat="1" applyFont="1" applyFill="1"/>
    <xf numFmtId="3" fontId="9" fillId="3" borderId="0" xfId="2" applyNumberFormat="1" applyFont="1" applyFill="1"/>
    <xf numFmtId="4" fontId="27" fillId="6" borderId="0" xfId="0" applyNumberFormat="1" applyFont="1" applyFill="1"/>
    <xf numFmtId="4" fontId="0" fillId="6" borderId="0" xfId="0" applyNumberFormat="1" applyFill="1"/>
    <xf numFmtId="0" fontId="0" fillId="3" borderId="19" xfId="0" applyFill="1" applyBorder="1" applyAlignment="1">
      <alignment horizontal="left" vertical="center" wrapText="1"/>
    </xf>
    <xf numFmtId="3" fontId="13" fillId="6" borderId="0" xfId="0" applyNumberFormat="1" applyFont="1" applyFill="1"/>
    <xf numFmtId="3" fontId="1" fillId="2" borderId="0" xfId="0" applyNumberFormat="1" applyFont="1" applyFill="1" applyAlignment="1">
      <alignment horizontal="left"/>
    </xf>
    <xf numFmtId="0" fontId="39" fillId="2" borderId="0" xfId="6" applyFont="1" applyFill="1"/>
    <xf numFmtId="14" fontId="39" fillId="2" borderId="0" xfId="6" applyNumberFormat="1" applyFont="1" applyFill="1" applyAlignment="1">
      <alignment horizontal="center"/>
    </xf>
    <xf numFmtId="0" fontId="39" fillId="2" borderId="0" xfId="0" applyFont="1" applyFill="1" applyAlignment="1">
      <alignment horizontal="center"/>
    </xf>
    <xf numFmtId="0" fontId="40" fillId="3" borderId="19" xfId="4" applyFont="1" applyFill="1" applyBorder="1" applyAlignment="1">
      <alignment horizontal="center"/>
    </xf>
    <xf numFmtId="0" fontId="40" fillId="3" borderId="19" xfId="0" applyFont="1" applyFill="1" applyBorder="1" applyAlignment="1">
      <alignment horizontal="center"/>
    </xf>
    <xf numFmtId="0" fontId="40" fillId="3" borderId="19" xfId="5" applyFont="1" applyFill="1" applyBorder="1">
      <alignment horizontal="center" vertical="center"/>
    </xf>
    <xf numFmtId="0" fontId="39" fillId="6" borderId="0" xfId="0" applyFont="1" applyFill="1"/>
    <xf numFmtId="0" fontId="40" fillId="6" borderId="0" xfId="0" applyFont="1" applyFill="1"/>
    <xf numFmtId="3" fontId="6" fillId="6" borderId="0" xfId="0" applyNumberFormat="1" applyFont="1" applyFill="1"/>
    <xf numFmtId="3" fontId="43" fillId="6" borderId="0" xfId="0" applyNumberFormat="1" applyFont="1" applyFill="1"/>
    <xf numFmtId="166" fontId="0" fillId="6" borderId="10" xfId="0" applyNumberFormat="1" applyFill="1" applyBorder="1"/>
    <xf numFmtId="166" fontId="24" fillId="6" borderId="0" xfId="0" applyNumberFormat="1" applyFont="1" applyFill="1"/>
    <xf numFmtId="166" fontId="28" fillId="6" borderId="0" xfId="0" applyNumberFormat="1" applyFont="1" applyFill="1"/>
    <xf numFmtId="166" fontId="7" fillId="6" borderId="0" xfId="0" applyNumberFormat="1" applyFont="1" applyFill="1"/>
    <xf numFmtId="3" fontId="25" fillId="6" borderId="0" xfId="0" applyNumberFormat="1" applyFont="1" applyFill="1"/>
    <xf numFmtId="166" fontId="0" fillId="6" borderId="0" xfId="0" applyNumberFormat="1" applyFill="1" applyAlignment="1">
      <alignment horizontal="left" vertical="center"/>
    </xf>
    <xf numFmtId="3" fontId="24" fillId="6" borderId="0" xfId="0" applyNumberFormat="1" applyFont="1" applyFill="1"/>
    <xf numFmtId="0" fontId="40" fillId="6" borderId="0" xfId="4" applyFont="1" applyFill="1"/>
    <xf numFmtId="3" fontId="42" fillId="6" borderId="0" xfId="0" applyNumberFormat="1" applyFont="1" applyFill="1" applyAlignment="1">
      <alignment horizontal="right"/>
    </xf>
    <xf numFmtId="3" fontId="41" fillId="6" borderId="0" xfId="0" applyNumberFormat="1" applyFont="1" applyFill="1" applyAlignment="1">
      <alignment horizontal="right"/>
    </xf>
    <xf numFmtId="0" fontId="39" fillId="6" borderId="0" xfId="4" applyFont="1" applyFill="1"/>
    <xf numFmtId="0" fontId="2" fillId="6" borderId="0" xfId="4" applyFont="1" applyFill="1"/>
    <xf numFmtId="3" fontId="40" fillId="6" borderId="0" xfId="0" applyNumberFormat="1" applyFont="1" applyFill="1" applyAlignment="1">
      <alignment horizontal="right"/>
    </xf>
    <xf numFmtId="0" fontId="40" fillId="6" borderId="24" xfId="4" applyFont="1" applyFill="1" applyBorder="1"/>
    <xf numFmtId="3" fontId="42" fillId="6" borderId="24" xfId="0" applyNumberFormat="1" applyFont="1" applyFill="1" applyBorder="1" applyAlignment="1">
      <alignment horizontal="right"/>
    </xf>
    <xf numFmtId="166" fontId="0" fillId="6" borderId="25" xfId="0" applyNumberFormat="1" applyFill="1" applyBorder="1"/>
    <xf numFmtId="166" fontId="24" fillId="6" borderId="24" xfId="0" applyNumberFormat="1" applyFont="1" applyFill="1" applyBorder="1"/>
    <xf numFmtId="166" fontId="28" fillId="6" borderId="24" xfId="0" applyNumberFormat="1" applyFont="1" applyFill="1" applyBorder="1"/>
    <xf numFmtId="166" fontId="7" fillId="6" borderId="24" xfId="0" applyNumberFormat="1" applyFont="1" applyFill="1" applyBorder="1"/>
    <xf numFmtId="166" fontId="7" fillId="6" borderId="26" xfId="0" applyNumberFormat="1" applyFont="1" applyFill="1" applyBorder="1"/>
    <xf numFmtId="166" fontId="28" fillId="6" borderId="27" xfId="0" applyNumberFormat="1" applyFont="1" applyFill="1" applyBorder="1"/>
    <xf numFmtId="0" fontId="9" fillId="6" borderId="0" xfId="1" applyNumberFormat="1" applyFont="1" applyFill="1" applyBorder="1" applyAlignment="1">
      <alignment horizontal="right"/>
    </xf>
    <xf numFmtId="3" fontId="28" fillId="6" borderId="0" xfId="1" applyNumberFormat="1" applyFont="1" applyFill="1" applyBorder="1" applyAlignment="1">
      <alignment horizontal="right"/>
    </xf>
    <xf numFmtId="3" fontId="7" fillId="6" borderId="0" xfId="0" applyNumberFormat="1" applyFont="1" applyFill="1" applyAlignment="1">
      <alignment horizontal="left"/>
    </xf>
    <xf numFmtId="166" fontId="0" fillId="6" borderId="24" xfId="0" applyNumberFormat="1" applyFill="1" applyBorder="1"/>
    <xf numFmtId="3" fontId="28" fillId="6" borderId="24" xfId="1" applyNumberFormat="1" applyFont="1" applyFill="1" applyBorder="1" applyAlignment="1">
      <alignment horizontal="right"/>
    </xf>
    <xf numFmtId="166" fontId="27" fillId="6" borderId="24" xfId="0" applyNumberFormat="1" applyFont="1" applyFill="1" applyBorder="1"/>
    <xf numFmtId="0" fontId="9" fillId="6" borderId="24" xfId="0" applyFont="1" applyFill="1" applyBorder="1"/>
    <xf numFmtId="166" fontId="0" fillId="6" borderId="27" xfId="0" applyNumberFormat="1" applyFill="1" applyBorder="1"/>
    <xf numFmtId="0" fontId="0" fillId="6" borderId="27" xfId="0" applyFill="1" applyBorder="1"/>
    <xf numFmtId="3" fontId="25" fillId="6" borderId="27" xfId="0" applyNumberFormat="1" applyFont="1" applyFill="1" applyBorder="1"/>
    <xf numFmtId="3" fontId="27" fillId="6" borderId="27" xfId="0" applyNumberFormat="1" applyFont="1" applyFill="1" applyBorder="1"/>
    <xf numFmtId="3" fontId="28" fillId="6" borderId="12" xfId="1" applyNumberFormat="1" applyFont="1" applyFill="1" applyBorder="1" applyAlignment="1">
      <alignment horizontal="right"/>
    </xf>
    <xf numFmtId="3" fontId="25" fillId="6" borderId="12" xfId="0" applyNumberFormat="1" applyFont="1" applyFill="1" applyBorder="1"/>
    <xf numFmtId="3" fontId="28" fillId="6" borderId="28" xfId="1" applyNumberFormat="1" applyFont="1" applyFill="1" applyBorder="1" applyAlignment="1">
      <alignment horizontal="right"/>
    </xf>
    <xf numFmtId="3" fontId="25" fillId="6" borderId="29" xfId="0" applyNumberFormat="1" applyFont="1" applyFill="1" applyBorder="1"/>
    <xf numFmtId="0" fontId="39" fillId="6" borderId="24" xfId="4" applyFont="1" applyFill="1" applyBorder="1"/>
    <xf numFmtId="0" fontId="2" fillId="6" borderId="24" xfId="4" applyFont="1" applyFill="1" applyBorder="1"/>
    <xf numFmtId="166" fontId="0" fillId="6" borderId="19" xfId="0" applyNumberFormat="1" applyFill="1" applyBorder="1"/>
    <xf numFmtId="166" fontId="7" fillId="6" borderId="30" xfId="0" applyNumberFormat="1" applyFont="1" applyFill="1" applyBorder="1"/>
    <xf numFmtId="166" fontId="28" fillId="6" borderId="31" xfId="0" applyNumberFormat="1" applyFont="1" applyFill="1" applyBorder="1"/>
    <xf numFmtId="166" fontId="0" fillId="6" borderId="32" xfId="0" applyNumberFormat="1" applyFill="1" applyBorder="1"/>
    <xf numFmtId="166" fontId="28" fillId="6" borderId="19" xfId="0" applyNumberFormat="1" applyFont="1" applyFill="1" applyBorder="1"/>
    <xf numFmtId="0" fontId="39" fillId="3" borderId="19" xfId="0" applyFont="1" applyFill="1" applyBorder="1" applyAlignment="1">
      <alignment horizontal="center"/>
    </xf>
    <xf numFmtId="0" fontId="40" fillId="6" borderId="31" xfId="4" applyFont="1" applyFill="1" applyBorder="1"/>
    <xf numFmtId="166" fontId="0" fillId="3" borderId="19" xfId="0" applyNumberFormat="1" applyFill="1" applyBorder="1" applyAlignment="1">
      <alignment horizontal="center" vertical="top"/>
    </xf>
    <xf numFmtId="166" fontId="0" fillId="3" borderId="19" xfId="0" applyNumberFormat="1" applyFill="1" applyBorder="1"/>
    <xf numFmtId="166" fontId="8" fillId="3" borderId="0" xfId="0" applyNumberFormat="1" applyFont="1" applyFill="1"/>
    <xf numFmtId="166" fontId="9" fillId="3" borderId="0" xfId="0" quotePrefix="1" applyNumberFormat="1" applyFont="1" applyFill="1"/>
    <xf numFmtId="3" fontId="7" fillId="3" borderId="24" xfId="0" applyNumberFormat="1" applyFont="1" applyFill="1" applyBorder="1" applyAlignment="1">
      <alignment horizontal="left"/>
    </xf>
    <xf numFmtId="3" fontId="9" fillId="3" borderId="24" xfId="1" applyNumberFormat="1" applyFont="1" applyFill="1" applyBorder="1" applyAlignment="1">
      <alignment horizontal="right"/>
    </xf>
    <xf numFmtId="3" fontId="7" fillId="3" borderId="28" xfId="0" applyNumberFormat="1" applyFont="1" applyFill="1" applyBorder="1" applyAlignment="1">
      <alignment horizontal="left"/>
    </xf>
    <xf numFmtId="166" fontId="0" fillId="3" borderId="24" xfId="0" applyNumberFormat="1" applyFill="1" applyBorder="1"/>
    <xf numFmtId="3" fontId="0" fillId="3" borderId="24" xfId="0" applyNumberFormat="1" applyFill="1" applyBorder="1"/>
    <xf numFmtId="166" fontId="0" fillId="6" borderId="31" xfId="0" applyNumberFormat="1" applyFill="1" applyBorder="1"/>
    <xf numFmtId="166" fontId="0" fillId="6" borderId="33" xfId="0" applyNumberFormat="1" applyFill="1" applyBorder="1"/>
    <xf numFmtId="0" fontId="44" fillId="6" borderId="0" xfId="4" applyFont="1" applyFill="1"/>
    <xf numFmtId="0" fontId="44" fillId="6" borderId="24" xfId="4" applyFont="1" applyFill="1" applyBorder="1"/>
    <xf numFmtId="3" fontId="44" fillId="6" borderId="0" xfId="4" applyNumberFormat="1" applyFont="1" applyFill="1"/>
    <xf numFmtId="3" fontId="44" fillId="6" borderId="24" xfId="4" applyNumberFormat="1" applyFont="1" applyFill="1" applyBorder="1"/>
    <xf numFmtId="0" fontId="44" fillId="6" borderId="19" xfId="4" applyFont="1" applyFill="1" applyBorder="1"/>
    <xf numFmtId="3" fontId="42" fillId="6" borderId="19" xfId="0" applyNumberFormat="1" applyFont="1" applyFill="1" applyBorder="1" applyAlignment="1">
      <alignment horizontal="right"/>
    </xf>
    <xf numFmtId="166" fontId="28" fillId="6" borderId="14" xfId="0" applyNumberFormat="1" applyFont="1" applyFill="1" applyBorder="1"/>
    <xf numFmtId="166" fontId="9" fillId="6" borderId="24" xfId="0" applyNumberFormat="1" applyFont="1" applyFill="1" applyBorder="1"/>
    <xf numFmtId="166" fontId="1" fillId="8" borderId="0" xfId="0" applyNumberFormat="1" applyFont="1" applyFill="1"/>
    <xf numFmtId="166" fontId="0" fillId="8" borderId="0" xfId="0" applyNumberFormat="1" applyFill="1"/>
    <xf numFmtId="0" fontId="0" fillId="8" borderId="0" xfId="0" applyFill="1"/>
    <xf numFmtId="0" fontId="1" fillId="8" borderId="0" xfId="0" applyFont="1" applyFill="1"/>
    <xf numFmtId="0" fontId="9" fillId="6" borderId="0" xfId="0" applyFont="1" applyFill="1" applyAlignment="1">
      <alignment horizontal="left"/>
    </xf>
    <xf numFmtId="166" fontId="1" fillId="6" borderId="0" xfId="0" applyNumberFormat="1" applyFont="1" applyFill="1"/>
    <xf numFmtId="0" fontId="0" fillId="6" borderId="24" xfId="0" applyFill="1" applyBorder="1"/>
    <xf numFmtId="0" fontId="0" fillId="6" borderId="31" xfId="0" applyFill="1" applyBorder="1"/>
    <xf numFmtId="0" fontId="0" fillId="3" borderId="19" xfId="0" applyFill="1" applyBorder="1"/>
    <xf numFmtId="166" fontId="9" fillId="6" borderId="19" xfId="0" applyNumberFormat="1" applyFont="1" applyFill="1" applyBorder="1"/>
    <xf numFmtId="166" fontId="9" fillId="6" borderId="33" xfId="0" applyNumberFormat="1" applyFont="1" applyFill="1" applyBorder="1"/>
    <xf numFmtId="3" fontId="27" fillId="6" borderId="24" xfId="0" applyNumberFormat="1" applyFont="1" applyFill="1" applyBorder="1"/>
    <xf numFmtId="3" fontId="27" fillId="6" borderId="31" xfId="0" applyNumberFormat="1" applyFont="1" applyFill="1" applyBorder="1"/>
    <xf numFmtId="3" fontId="27" fillId="6" borderId="33" xfId="0" applyNumberFormat="1" applyFont="1" applyFill="1" applyBorder="1"/>
    <xf numFmtId="3" fontId="27" fillId="6" borderId="19" xfId="0" applyNumberFormat="1" applyFont="1" applyFill="1" applyBorder="1"/>
    <xf numFmtId="166" fontId="27" fillId="6" borderId="19" xfId="0" applyNumberFormat="1" applyFont="1" applyFill="1" applyBorder="1"/>
    <xf numFmtId="3" fontId="28" fillId="6" borderId="0" xfId="0" applyNumberFormat="1" applyFont="1" applyFill="1"/>
    <xf numFmtId="3" fontId="28" fillId="6" borderId="24" xfId="0" applyNumberFormat="1" applyFont="1" applyFill="1" applyBorder="1"/>
    <xf numFmtId="166" fontId="0" fillId="6" borderId="31" xfId="0" applyNumberFormat="1" applyFill="1" applyBorder="1" applyAlignment="1">
      <alignment horizontal="left" vertical="center"/>
    </xf>
    <xf numFmtId="3" fontId="28" fillId="6" borderId="27" xfId="0" applyNumberFormat="1" applyFont="1" applyFill="1" applyBorder="1"/>
    <xf numFmtId="3" fontId="28" fillId="6" borderId="31" xfId="0" applyNumberFormat="1" applyFont="1" applyFill="1" applyBorder="1"/>
    <xf numFmtId="3" fontId="28" fillId="6" borderId="19" xfId="0" applyNumberFormat="1" applyFont="1" applyFill="1" applyBorder="1"/>
    <xf numFmtId="0" fontId="9" fillId="6" borderId="27" xfId="0" applyFont="1" applyFill="1" applyBorder="1"/>
    <xf numFmtId="166" fontId="9" fillId="6" borderId="34" xfId="0" applyNumberFormat="1" applyFont="1" applyFill="1" applyBorder="1"/>
    <xf numFmtId="166" fontId="9" fillId="6" borderId="32" xfId="0" applyNumberFormat="1" applyFont="1" applyFill="1" applyBorder="1"/>
    <xf numFmtId="0" fontId="2" fillId="6" borderId="31" xfId="4" applyFont="1" applyFill="1" applyBorder="1"/>
    <xf numFmtId="3" fontId="46" fillId="6" borderId="0" xfId="0" applyNumberFormat="1" applyFont="1" applyFill="1" applyAlignment="1">
      <alignment horizontal="right"/>
    </xf>
    <xf numFmtId="0" fontId="9" fillId="6" borderId="19" xfId="0" applyFont="1" applyFill="1" applyBorder="1" applyAlignment="1">
      <alignment horizontal="left"/>
    </xf>
    <xf numFmtId="0" fontId="47" fillId="6" borderId="31" xfId="0" applyFont="1" applyFill="1" applyBorder="1"/>
    <xf numFmtId="0" fontId="47" fillId="6" borderId="0" xfId="0" applyFont="1" applyFill="1"/>
    <xf numFmtId="0" fontId="47" fillId="6" borderId="19" xfId="0" applyFont="1" applyFill="1" applyBorder="1"/>
    <xf numFmtId="0" fontId="48" fillId="6" borderId="27" xfId="0" applyFont="1" applyFill="1" applyBorder="1"/>
    <xf numFmtId="3" fontId="49" fillId="6" borderId="0" xfId="0" applyNumberFormat="1" applyFont="1" applyFill="1"/>
    <xf numFmtId="3" fontId="49" fillId="6" borderId="31" xfId="0" applyNumberFormat="1" applyFont="1" applyFill="1" applyBorder="1"/>
    <xf numFmtId="0" fontId="2" fillId="3" borderId="0" xfId="4" applyFont="1" applyFill="1"/>
    <xf numFmtId="3" fontId="27" fillId="3" borderId="0" xfId="0" applyNumberFormat="1" applyFont="1" applyFill="1"/>
    <xf numFmtId="0" fontId="27" fillId="3" borderId="0" xfId="0" applyFont="1" applyFill="1" applyAlignment="1">
      <alignment horizontal="left"/>
    </xf>
    <xf numFmtId="166" fontId="27" fillId="3" borderId="0" xfId="0" applyNumberFormat="1" applyFont="1" applyFill="1"/>
    <xf numFmtId="3" fontId="43" fillId="6" borderId="0" xfId="0" applyNumberFormat="1" applyFont="1" applyFill="1" applyAlignment="1">
      <alignment horizontal="right"/>
    </xf>
    <xf numFmtId="3" fontId="43" fillId="3" borderId="0" xfId="0" applyNumberFormat="1" applyFont="1" applyFill="1" applyAlignment="1">
      <alignment horizontal="right"/>
    </xf>
    <xf numFmtId="0" fontId="50" fillId="0" borderId="0" xfId="7"/>
    <xf numFmtId="0" fontId="40" fillId="6" borderId="19" xfId="4" applyFont="1" applyFill="1" applyBorder="1"/>
    <xf numFmtId="3" fontId="41" fillId="6" borderId="19" xfId="0" applyNumberFormat="1" applyFont="1" applyFill="1" applyBorder="1" applyAlignment="1">
      <alignment horizontal="right"/>
    </xf>
    <xf numFmtId="0" fontId="2" fillId="6" borderId="19" xfId="4" applyFont="1" applyFill="1" applyBorder="1"/>
    <xf numFmtId="0" fontId="0" fillId="6" borderId="19" xfId="0" applyFill="1" applyBorder="1"/>
    <xf numFmtId="0" fontId="7" fillId="6" borderId="19" xfId="0" applyFont="1" applyFill="1" applyBorder="1"/>
    <xf numFmtId="166" fontId="0" fillId="6" borderId="19" xfId="0" applyNumberFormat="1" applyFill="1" applyBorder="1" applyAlignment="1">
      <alignment horizontal="left" vertical="center"/>
    </xf>
    <xf numFmtId="0" fontId="51" fillId="3" borderId="0" xfId="7" applyFont="1" applyFill="1"/>
    <xf numFmtId="0" fontId="52" fillId="6" borderId="0" xfId="4" applyFont="1" applyFill="1"/>
    <xf numFmtId="3" fontId="53" fillId="6" borderId="0" xfId="0" applyNumberFormat="1" applyFont="1" applyFill="1"/>
    <xf numFmtId="3" fontId="21" fillId="6" borderId="0" xfId="0" applyNumberFormat="1" applyFont="1" applyFill="1"/>
    <xf numFmtId="0" fontId="50" fillId="6" borderId="0" xfId="7" applyFill="1" applyBorder="1"/>
    <xf numFmtId="3" fontId="28" fillId="6" borderId="0" xfId="0" applyNumberFormat="1" applyFont="1" applyFill="1" applyAlignment="1">
      <alignment horizontal="right"/>
    </xf>
    <xf numFmtId="3" fontId="9" fillId="3" borderId="0" xfId="0" applyNumberFormat="1" applyFont="1" applyFill="1" applyAlignment="1">
      <alignment horizontal="center"/>
    </xf>
    <xf numFmtId="3" fontId="0" fillId="3" borderId="0" xfId="0" applyNumberFormat="1" applyFill="1" applyAlignment="1">
      <alignment horizontal="center"/>
    </xf>
    <xf numFmtId="3" fontId="15" fillId="6" borderId="4" xfId="0" applyNumberFormat="1" applyFont="1" applyFill="1" applyBorder="1"/>
    <xf numFmtId="3" fontId="15" fillId="6" borderId="5" xfId="0" applyNumberFormat="1" applyFont="1" applyFill="1" applyBorder="1"/>
    <xf numFmtId="3" fontId="15" fillId="6" borderId="10" xfId="0" applyNumberFormat="1" applyFont="1" applyFill="1" applyBorder="1"/>
    <xf numFmtId="3" fontId="15" fillId="6" borderId="0" xfId="0" applyNumberFormat="1" applyFont="1" applyFill="1"/>
    <xf numFmtId="3" fontId="0" fillId="6" borderId="8" xfId="0" applyNumberFormat="1" applyFill="1" applyBorder="1"/>
    <xf numFmtId="3" fontId="0" fillId="6" borderId="5" xfId="0" applyNumberFormat="1" applyFill="1" applyBorder="1"/>
    <xf numFmtId="3" fontId="17" fillId="6" borderId="5" xfId="0" applyNumberFormat="1" applyFont="1" applyFill="1" applyBorder="1"/>
    <xf numFmtId="3" fontId="15" fillId="6" borderId="7" xfId="0" applyNumberFormat="1" applyFont="1" applyFill="1" applyBorder="1"/>
    <xf numFmtId="3" fontId="15" fillId="6" borderId="8" xfId="0" applyNumberFormat="1" applyFont="1" applyFill="1" applyBorder="1"/>
    <xf numFmtId="3" fontId="15" fillId="6" borderId="1" xfId="0" applyNumberFormat="1" applyFont="1" applyFill="1" applyBorder="1"/>
    <xf numFmtId="3" fontId="15" fillId="6" borderId="2" xfId="0" applyNumberFormat="1" applyFont="1" applyFill="1" applyBorder="1"/>
    <xf numFmtId="3" fontId="16" fillId="6" borderId="0" xfId="0" applyNumberFormat="1" applyFont="1" applyFill="1"/>
    <xf numFmtId="3" fontId="15" fillId="6" borderId="19" xfId="0" applyNumberFormat="1" applyFont="1" applyFill="1" applyBorder="1"/>
    <xf numFmtId="3" fontId="18" fillId="6" borderId="19" xfId="0" applyNumberFormat="1" applyFont="1" applyFill="1" applyBorder="1"/>
    <xf numFmtId="3" fontId="15" fillId="6" borderId="13" xfId="0" applyNumberFormat="1" applyFont="1" applyFill="1" applyBorder="1"/>
    <xf numFmtId="3" fontId="15" fillId="6" borderId="14" xfId="0" applyNumberFormat="1" applyFont="1" applyFill="1" applyBorder="1"/>
    <xf numFmtId="3" fontId="18" fillId="6" borderId="14" xfId="0" applyNumberFormat="1" applyFont="1" applyFill="1" applyBorder="1"/>
    <xf numFmtId="3" fontId="15" fillId="6" borderId="16" xfId="0" applyNumberFormat="1" applyFont="1" applyFill="1" applyBorder="1"/>
    <xf numFmtId="3" fontId="15" fillId="6" borderId="18" xfId="0" applyNumberFormat="1" applyFont="1" applyFill="1" applyBorder="1"/>
    <xf numFmtId="3" fontId="0" fillId="6" borderId="14" xfId="0" applyNumberFormat="1" applyFill="1" applyBorder="1"/>
    <xf numFmtId="3" fontId="15" fillId="6" borderId="38" xfId="0" applyNumberFormat="1" applyFont="1" applyFill="1" applyBorder="1"/>
    <xf numFmtId="3" fontId="15" fillId="6" borderId="24" xfId="0" applyNumberFormat="1" applyFont="1" applyFill="1" applyBorder="1"/>
    <xf numFmtId="3" fontId="18" fillId="6" borderId="24" xfId="0" applyNumberFormat="1" applyFont="1" applyFill="1" applyBorder="1"/>
    <xf numFmtId="3" fontId="15" fillId="6" borderId="39" xfId="0" applyNumberFormat="1" applyFont="1" applyFill="1" applyBorder="1"/>
    <xf numFmtId="3" fontId="15" fillId="6" borderId="27" xfId="0" applyNumberFormat="1" applyFont="1" applyFill="1" applyBorder="1"/>
    <xf numFmtId="3" fontId="18" fillId="6" borderId="27" xfId="0" applyNumberFormat="1" applyFont="1" applyFill="1" applyBorder="1"/>
    <xf numFmtId="3" fontId="9" fillId="6" borderId="0" xfId="0" applyNumberFormat="1" applyFont="1" applyFill="1"/>
    <xf numFmtId="3" fontId="15" fillId="6" borderId="40" xfId="0" applyNumberFormat="1" applyFont="1" applyFill="1" applyBorder="1"/>
    <xf numFmtId="3" fontId="15" fillId="6" borderId="41" xfId="0" applyNumberFormat="1" applyFont="1" applyFill="1" applyBorder="1"/>
    <xf numFmtId="3" fontId="18" fillId="6" borderId="41" xfId="0" applyNumberFormat="1" applyFont="1" applyFill="1" applyBorder="1"/>
    <xf numFmtId="3" fontId="17" fillId="6" borderId="13" xfId="0" applyNumberFormat="1" applyFont="1" applyFill="1" applyBorder="1"/>
    <xf numFmtId="3" fontId="17" fillId="6" borderId="14" xfId="0" applyNumberFormat="1" applyFont="1" applyFill="1" applyBorder="1"/>
    <xf numFmtId="3" fontId="17" fillId="6" borderId="16" xfId="0" applyNumberFormat="1" applyFont="1" applyFill="1" applyBorder="1"/>
    <xf numFmtId="3" fontId="17" fillId="6" borderId="35" xfId="0" applyNumberFormat="1" applyFont="1" applyFill="1" applyBorder="1"/>
    <xf numFmtId="3" fontId="17" fillId="6" borderId="8" xfId="0" applyNumberFormat="1" applyFont="1" applyFill="1" applyBorder="1"/>
    <xf numFmtId="3" fontId="17" fillId="6" borderId="37" xfId="0" applyNumberFormat="1" applyFont="1" applyFill="1" applyBorder="1"/>
    <xf numFmtId="3" fontId="0" fillId="6" borderId="37" xfId="0" applyNumberFormat="1" applyFill="1" applyBorder="1"/>
    <xf numFmtId="3" fontId="0" fillId="6" borderId="16" xfId="0" applyNumberFormat="1" applyFill="1" applyBorder="1"/>
    <xf numFmtId="3" fontId="17" fillId="6" borderId="36" xfId="0" applyNumberFormat="1" applyFont="1" applyFill="1" applyBorder="1"/>
    <xf numFmtId="3" fontId="17" fillId="6" borderId="2" xfId="0" applyNumberFormat="1" applyFont="1" applyFill="1" applyBorder="1"/>
    <xf numFmtId="3" fontId="17" fillId="6" borderId="42" xfId="0" applyNumberFormat="1" applyFont="1" applyFill="1" applyBorder="1"/>
    <xf numFmtId="3" fontId="17" fillId="6" borderId="43" xfId="0" applyNumberFormat="1" applyFont="1" applyFill="1" applyBorder="1"/>
    <xf numFmtId="3" fontId="34" fillId="6" borderId="5" xfId="0" applyNumberFormat="1" applyFont="1" applyFill="1" applyBorder="1"/>
    <xf numFmtId="3" fontId="34" fillId="6" borderId="0" xfId="0" applyNumberFormat="1" applyFont="1" applyFill="1"/>
    <xf numFmtId="3" fontId="34" fillId="6" borderId="8" xfId="0" applyNumberFormat="1" applyFont="1" applyFill="1" applyBorder="1"/>
    <xf numFmtId="3" fontId="34" fillId="6" borderId="2" xfId="0" applyNumberFormat="1" applyFont="1" applyFill="1" applyBorder="1"/>
    <xf numFmtId="3" fontId="29" fillId="6" borderId="0" xfId="0" applyNumberFormat="1" applyFont="1" applyFill="1"/>
    <xf numFmtId="3" fontId="24" fillId="6" borderId="5" xfId="0" applyNumberFormat="1" applyFont="1" applyFill="1" applyBorder="1"/>
    <xf numFmtId="3" fontId="24" fillId="6" borderId="8" xfId="0" applyNumberFormat="1" applyFont="1" applyFill="1" applyBorder="1"/>
    <xf numFmtId="3" fontId="29" fillId="6" borderId="8" xfId="0" applyNumberFormat="1" applyFont="1" applyFill="1" applyBorder="1"/>
    <xf numFmtId="3" fontId="29" fillId="6" borderId="2" xfId="0" applyNumberFormat="1" applyFont="1" applyFill="1" applyBorder="1"/>
    <xf numFmtId="3" fontId="55" fillId="6" borderId="0" xfId="0" applyNumberFormat="1" applyFont="1" applyFill="1"/>
    <xf numFmtId="3" fontId="56" fillId="6" borderId="0" xfId="0" applyNumberFormat="1" applyFont="1" applyFill="1"/>
    <xf numFmtId="3" fontId="0" fillId="3" borderId="0" xfId="0" applyNumberFormat="1" applyFill="1" applyAlignment="1">
      <alignment horizontal="left"/>
    </xf>
    <xf numFmtId="3" fontId="28" fillId="6" borderId="8" xfId="0" applyNumberFormat="1" applyFont="1" applyFill="1" applyBorder="1"/>
    <xf numFmtId="3" fontId="28" fillId="6" borderId="2" xfId="0" applyNumberFormat="1" applyFont="1" applyFill="1" applyBorder="1"/>
    <xf numFmtId="3" fontId="0" fillId="6" borderId="19" xfId="0" applyNumberFormat="1" applyFill="1" applyBorder="1"/>
    <xf numFmtId="3" fontId="0" fillId="6" borderId="33" xfId="0" applyNumberFormat="1" applyFill="1" applyBorder="1"/>
    <xf numFmtId="3" fontId="34" fillId="6" borderId="41" xfId="0" applyNumberFormat="1" applyFont="1" applyFill="1" applyBorder="1"/>
    <xf numFmtId="3" fontId="34" fillId="6" borderId="19" xfId="0" applyNumberFormat="1" applyFont="1" applyFill="1" applyBorder="1"/>
    <xf numFmtId="3" fontId="34" fillId="6" borderId="14" xfId="0" applyNumberFormat="1" applyFont="1" applyFill="1" applyBorder="1"/>
    <xf numFmtId="3" fontId="34" fillId="6" borderId="24" xfId="0" applyNumberFormat="1" applyFont="1" applyFill="1" applyBorder="1"/>
    <xf numFmtId="3" fontId="34" fillId="6" borderId="27" xfId="0" applyNumberFormat="1" applyFont="1" applyFill="1" applyBorder="1"/>
    <xf numFmtId="3" fontId="24" fillId="6" borderId="2" xfId="0" applyNumberFormat="1" applyFont="1" applyFill="1" applyBorder="1"/>
    <xf numFmtId="3" fontId="0" fillId="6" borderId="2" xfId="0" applyNumberFormat="1" applyFill="1" applyBorder="1"/>
    <xf numFmtId="3" fontId="56" fillId="6" borderId="14" xfId="0" applyNumberFormat="1" applyFont="1" applyFill="1" applyBorder="1"/>
    <xf numFmtId="3" fontId="56" fillId="6" borderId="8" xfId="0" applyNumberFormat="1" applyFont="1" applyFill="1" applyBorder="1"/>
    <xf numFmtId="3" fontId="56" fillId="6" borderId="5" xfId="0" applyNumberFormat="1" applyFont="1" applyFill="1" applyBorder="1"/>
    <xf numFmtId="3" fontId="27" fillId="6" borderId="5" xfId="0" applyNumberFormat="1" applyFont="1" applyFill="1" applyBorder="1"/>
    <xf numFmtId="3" fontId="56" fillId="6" borderId="2" xfId="0" applyNumberFormat="1" applyFont="1" applyFill="1" applyBorder="1"/>
    <xf numFmtId="3" fontId="56" fillId="6" borderId="43" xfId="0" applyNumberFormat="1" applyFont="1" applyFill="1" applyBorder="1"/>
    <xf numFmtId="0" fontId="18" fillId="6" borderId="14" xfId="0" applyFont="1" applyFill="1" applyBorder="1"/>
    <xf numFmtId="0" fontId="18" fillId="6" borderId="24" xfId="0" applyFont="1" applyFill="1" applyBorder="1"/>
    <xf numFmtId="0" fontId="18" fillId="6" borderId="27" xfId="0" applyFont="1" applyFill="1" applyBorder="1"/>
    <xf numFmtId="0" fontId="18" fillId="6" borderId="19" xfId="0" applyFont="1" applyFill="1" applyBorder="1"/>
    <xf numFmtId="0" fontId="18" fillId="6" borderId="41" xfId="0" applyFont="1" applyFill="1" applyBorder="1"/>
    <xf numFmtId="3" fontId="27" fillId="6" borderId="14" xfId="0" applyNumberFormat="1" applyFont="1" applyFill="1" applyBorder="1"/>
    <xf numFmtId="3" fontId="0" fillId="6" borderId="4" xfId="0" applyNumberFormat="1" applyFill="1" applyBorder="1"/>
    <xf numFmtId="3" fontId="0" fillId="6" borderId="7" xfId="0" applyNumberFormat="1" applyFill="1" applyBorder="1"/>
    <xf numFmtId="3" fontId="0" fillId="6" borderId="1" xfId="0" applyNumberFormat="1" applyFill="1" applyBorder="1"/>
    <xf numFmtId="0" fontId="15" fillId="6" borderId="8" xfId="0" applyFont="1" applyFill="1" applyBorder="1"/>
    <xf numFmtId="0" fontId="18" fillId="6" borderId="8" xfId="0" applyFont="1" applyFill="1" applyBorder="1"/>
    <xf numFmtId="0" fontId="18" fillId="6" borderId="2" xfId="0" applyFont="1" applyFill="1" applyBorder="1"/>
    <xf numFmtId="0" fontId="15" fillId="6" borderId="2" xfId="0" applyFont="1" applyFill="1" applyBorder="1"/>
    <xf numFmtId="0" fontId="18" fillId="3" borderId="0" xfId="0" applyFont="1" applyFill="1"/>
    <xf numFmtId="0" fontId="29" fillId="6" borderId="0" xfId="0" applyFont="1" applyFill="1"/>
    <xf numFmtId="3" fontId="32" fillId="6" borderId="0" xfId="0" applyNumberFormat="1" applyFont="1" applyFill="1"/>
    <xf numFmtId="3" fontId="32" fillId="6" borderId="8" xfId="0" applyNumberFormat="1" applyFont="1" applyFill="1" applyBorder="1"/>
    <xf numFmtId="3" fontId="32" fillId="6" borderId="2" xfId="0" applyNumberFormat="1" applyFont="1" applyFill="1" applyBorder="1"/>
    <xf numFmtId="3" fontId="19" fillId="6" borderId="0" xfId="0" applyNumberFormat="1" applyFont="1" applyFill="1"/>
    <xf numFmtId="3" fontId="0" fillId="3" borderId="19" xfId="0" applyNumberFormat="1" applyFill="1" applyBorder="1"/>
    <xf numFmtId="3" fontId="0" fillId="2" borderId="19" xfId="0" applyNumberFormat="1" applyFill="1" applyBorder="1"/>
    <xf numFmtId="0" fontId="0" fillId="3" borderId="0" xfId="0" applyFill="1" applyAlignment="1">
      <alignment vertical="center"/>
    </xf>
    <xf numFmtId="0" fontId="0" fillId="3" borderId="0" xfId="0" applyFill="1" applyAlignment="1">
      <alignment vertical="center" wrapText="1"/>
    </xf>
    <xf numFmtId="0" fontId="31" fillId="3" borderId="0" xfId="0" applyFont="1" applyFill="1"/>
    <xf numFmtId="170" fontId="9" fillId="3" borderId="0" xfId="0" applyNumberFormat="1" applyFont="1" applyFill="1"/>
    <xf numFmtId="0" fontId="9" fillId="3" borderId="0" xfId="0" applyFont="1" applyFill="1" applyAlignment="1">
      <alignment horizontal="right"/>
    </xf>
    <xf numFmtId="0" fontId="50" fillId="3" borderId="0" xfId="7" applyFill="1"/>
    <xf numFmtId="0" fontId="0" fillId="6" borderId="0" xfId="0" applyFill="1" applyAlignment="1">
      <alignment horizontal="left" vertical="top" wrapText="1"/>
    </xf>
    <xf numFmtId="0" fontId="0" fillId="3" borderId="0" xfId="0" applyFill="1" applyAlignment="1">
      <alignment horizontal="left" vertical="top" wrapText="1"/>
    </xf>
    <xf numFmtId="166" fontId="53" fillId="6" borderId="0" xfId="0" applyNumberFormat="1" applyFont="1" applyFill="1"/>
    <xf numFmtId="9" fontId="27" fillId="6" borderId="0" xfId="3" applyFont="1" applyFill="1"/>
    <xf numFmtId="166" fontId="53" fillId="6" borderId="24" xfId="0" applyNumberFormat="1" applyFont="1" applyFill="1" applyBorder="1"/>
    <xf numFmtId="3" fontId="53" fillId="6" borderId="27" xfId="0" applyNumberFormat="1" applyFont="1" applyFill="1" applyBorder="1"/>
    <xf numFmtId="3" fontId="59" fillId="6" borderId="0" xfId="0" applyNumberFormat="1" applyFont="1" applyFill="1" applyAlignment="1">
      <alignment horizontal="right"/>
    </xf>
    <xf numFmtId="3" fontId="60" fillId="6" borderId="24" xfId="0" applyNumberFormat="1" applyFont="1" applyFill="1" applyBorder="1" applyAlignment="1">
      <alignment horizontal="right"/>
    </xf>
    <xf numFmtId="3" fontId="60" fillId="6" borderId="31" xfId="0" applyNumberFormat="1" applyFont="1" applyFill="1" applyBorder="1" applyAlignment="1">
      <alignment horizontal="right"/>
    </xf>
    <xf numFmtId="3" fontId="60" fillId="6" borderId="0" xfId="0" applyNumberFormat="1" applyFont="1" applyFill="1" applyAlignment="1">
      <alignment horizontal="right"/>
    </xf>
    <xf numFmtId="3" fontId="53" fillId="6" borderId="24" xfId="0" applyNumberFormat="1" applyFont="1" applyFill="1" applyBorder="1"/>
    <xf numFmtId="3" fontId="53" fillId="6" borderId="19" xfId="0" applyNumberFormat="1" applyFont="1" applyFill="1" applyBorder="1"/>
    <xf numFmtId="3" fontId="49" fillId="6" borderId="24" xfId="0" applyNumberFormat="1" applyFont="1" applyFill="1" applyBorder="1"/>
    <xf numFmtId="3" fontId="28" fillId="6" borderId="5" xfId="0" applyNumberFormat="1" applyFont="1" applyFill="1" applyBorder="1"/>
    <xf numFmtId="3" fontId="27" fillId="6" borderId="8" xfId="0" applyNumberFormat="1" applyFont="1" applyFill="1" applyBorder="1"/>
    <xf numFmtId="3" fontId="27" fillId="6" borderId="2" xfId="0" applyNumberFormat="1" applyFont="1" applyFill="1" applyBorder="1"/>
    <xf numFmtId="3" fontId="27" fillId="6" borderId="3" xfId="0" applyNumberFormat="1" applyFont="1" applyFill="1" applyBorder="1"/>
    <xf numFmtId="3" fontId="27" fillId="6" borderId="6" xfId="0" applyNumberFormat="1" applyFont="1" applyFill="1" applyBorder="1"/>
    <xf numFmtId="3" fontId="27" fillId="6" borderId="9" xfId="0" applyNumberFormat="1" applyFont="1" applyFill="1" applyBorder="1"/>
    <xf numFmtId="3" fontId="27" fillId="6" borderId="11" xfId="0" applyNumberFormat="1" applyFont="1" applyFill="1" applyBorder="1"/>
    <xf numFmtId="3" fontId="26" fillId="6" borderId="0" xfId="0" applyNumberFormat="1" applyFont="1" applyFill="1"/>
    <xf numFmtId="3" fontId="28" fillId="6" borderId="6" xfId="0" applyNumberFormat="1" applyFont="1" applyFill="1" applyBorder="1"/>
    <xf numFmtId="3" fontId="28" fillId="6" borderId="8" xfId="1" applyNumberFormat="1" applyFont="1" applyFill="1" applyBorder="1"/>
    <xf numFmtId="3" fontId="28" fillId="6" borderId="9" xfId="0" applyNumberFormat="1" applyFont="1" applyFill="1" applyBorder="1"/>
    <xf numFmtId="3" fontId="28" fillId="6" borderId="3" xfId="0" applyNumberFormat="1" applyFont="1" applyFill="1" applyBorder="1"/>
    <xf numFmtId="3" fontId="28" fillId="6" borderId="2" xfId="1" applyNumberFormat="1" applyFont="1" applyFill="1" applyBorder="1"/>
    <xf numFmtId="3" fontId="28" fillId="6" borderId="11" xfId="0" applyNumberFormat="1" applyFont="1" applyFill="1" applyBorder="1"/>
    <xf numFmtId="3" fontId="28" fillId="6" borderId="0" xfId="1" applyNumberFormat="1" applyFont="1" applyFill="1" applyBorder="1"/>
    <xf numFmtId="3" fontId="28" fillId="6" borderId="5" xfId="1" applyNumberFormat="1" applyFont="1" applyFill="1" applyBorder="1"/>
    <xf numFmtId="166" fontId="0" fillId="6" borderId="5" xfId="0" applyNumberFormat="1" applyFill="1" applyBorder="1"/>
    <xf numFmtId="166" fontId="24" fillId="6" borderId="5" xfId="0" applyNumberFormat="1" applyFont="1" applyFill="1" applyBorder="1"/>
    <xf numFmtId="166" fontId="0" fillId="6" borderId="8" xfId="0" applyNumberFormat="1" applyFill="1" applyBorder="1"/>
    <xf numFmtId="166" fontId="28" fillId="6" borderId="8" xfId="0" applyNumberFormat="1" applyFont="1" applyFill="1" applyBorder="1"/>
    <xf numFmtId="166" fontId="9" fillId="6" borderId="8" xfId="0" applyNumberFormat="1" applyFont="1" applyFill="1" applyBorder="1"/>
    <xf numFmtId="9" fontId="27" fillId="6" borderId="8" xfId="3" applyFont="1" applyFill="1" applyBorder="1"/>
    <xf numFmtId="166" fontId="27" fillId="6" borderId="8" xfId="0" applyNumberFormat="1" applyFont="1" applyFill="1" applyBorder="1"/>
    <xf numFmtId="166" fontId="24" fillId="6" borderId="8" xfId="0" applyNumberFormat="1" applyFont="1" applyFill="1" applyBorder="1"/>
    <xf numFmtId="9" fontId="24" fillId="6" borderId="8" xfId="3" applyFont="1" applyFill="1" applyBorder="1"/>
    <xf numFmtId="166" fontId="25" fillId="6" borderId="0" xfId="0" applyNumberFormat="1" applyFont="1" applyFill="1"/>
    <xf numFmtId="0" fontId="15" fillId="6" borderId="5" xfId="0" applyFont="1" applyFill="1" applyBorder="1"/>
    <xf numFmtId="0" fontId="17" fillId="6" borderId="0" xfId="0" applyFont="1" applyFill="1"/>
    <xf numFmtId="0" fontId="18" fillId="6" borderId="5" xfId="0" applyFont="1" applyFill="1" applyBorder="1"/>
    <xf numFmtId="3" fontId="34" fillId="6" borderId="5" xfId="0" applyNumberFormat="1" applyFont="1" applyFill="1" applyBorder="1" applyAlignment="1">
      <alignment horizontal="right"/>
    </xf>
    <xf numFmtId="166" fontId="28" fillId="6" borderId="5" xfId="0" applyNumberFormat="1" applyFont="1" applyFill="1" applyBorder="1"/>
    <xf numFmtId="3" fontId="28" fillId="6" borderId="5" xfId="0" applyNumberFormat="1" applyFont="1" applyFill="1" applyBorder="1" applyAlignment="1">
      <alignment horizontal="right"/>
    </xf>
    <xf numFmtId="0" fontId="17" fillId="6" borderId="0" xfId="0" applyFont="1" applyFill="1" applyAlignment="1">
      <alignment horizontal="left" vertical="center"/>
    </xf>
    <xf numFmtId="0" fontId="17" fillId="6" borderId="19" xfId="0" applyFont="1" applyFill="1" applyBorder="1" applyAlignment="1">
      <alignment horizontal="left" vertical="center"/>
    </xf>
    <xf numFmtId="4" fontId="27" fillId="6" borderId="19" xfId="0" applyNumberFormat="1" applyFont="1" applyFill="1" applyBorder="1"/>
    <xf numFmtId="0" fontId="2" fillId="6" borderId="5" xfId="0" applyFont="1" applyFill="1" applyBorder="1"/>
    <xf numFmtId="0" fontId="37" fillId="6" borderId="0" xfId="0" applyFont="1" applyFill="1"/>
    <xf numFmtId="0" fontId="2" fillId="6" borderId="0" xfId="0" applyFont="1" applyFill="1"/>
    <xf numFmtId="0" fontId="37" fillId="6" borderId="8" xfId="0" applyFont="1" applyFill="1" applyBorder="1"/>
    <xf numFmtId="0" fontId="2" fillId="6" borderId="8" xfId="0" applyFont="1" applyFill="1" applyBorder="1"/>
    <xf numFmtId="168" fontId="26" fillId="6" borderId="0" xfId="3" applyNumberFormat="1" applyFont="1" applyFill="1" applyBorder="1"/>
    <xf numFmtId="166" fontId="19" fillId="6" borderId="0" xfId="0" applyNumberFormat="1" applyFont="1" applyFill="1"/>
    <xf numFmtId="3" fontId="62" fillId="6" borderId="0" xfId="0" applyNumberFormat="1" applyFont="1" applyFill="1"/>
    <xf numFmtId="3" fontId="53" fillId="6" borderId="0" xfId="0" applyNumberFormat="1" applyFont="1" applyFill="1" applyAlignment="1">
      <alignment horizontal="right"/>
    </xf>
    <xf numFmtId="3" fontId="1" fillId="2" borderId="0" xfId="0" applyNumberFormat="1" applyFont="1" applyFill="1"/>
    <xf numFmtId="3" fontId="27" fillId="2" borderId="0" xfId="0" applyNumberFormat="1" applyFont="1" applyFill="1"/>
    <xf numFmtId="0" fontId="19" fillId="2" borderId="0" xfId="0" applyFont="1" applyFill="1"/>
    <xf numFmtId="1" fontId="2" fillId="6" borderId="0" xfId="0" applyNumberFormat="1" applyFont="1" applyFill="1" applyAlignment="1">
      <alignment horizontal="right" vertical="center"/>
    </xf>
    <xf numFmtId="0" fontId="0" fillId="6" borderId="5" xfId="0" applyFill="1" applyBorder="1"/>
    <xf numFmtId="0" fontId="0" fillId="6" borderId="6" xfId="0" applyFill="1" applyBorder="1"/>
    <xf numFmtId="0" fontId="0" fillId="6" borderId="11" xfId="0" applyFill="1" applyBorder="1"/>
    <xf numFmtId="0" fontId="0" fillId="6" borderId="8" xfId="0" applyFill="1" applyBorder="1"/>
    <xf numFmtId="0" fontId="0" fillId="6" borderId="9" xfId="0" applyFill="1" applyBorder="1"/>
    <xf numFmtId="1" fontId="2" fillId="6" borderId="0" xfId="0" applyNumberFormat="1" applyFont="1" applyFill="1" applyAlignment="1">
      <alignment horizontal="center" vertical="center"/>
    </xf>
    <xf numFmtId="1" fontId="9" fillId="6" borderId="5" xfId="0" applyNumberFormat="1" applyFont="1" applyFill="1" applyBorder="1"/>
    <xf numFmtId="1" fontId="9" fillId="6" borderId="6" xfId="0" applyNumberFormat="1" applyFont="1" applyFill="1" applyBorder="1"/>
    <xf numFmtId="1" fontId="9" fillId="6" borderId="8" xfId="0" applyNumberFormat="1" applyFont="1" applyFill="1" applyBorder="1"/>
    <xf numFmtId="1" fontId="9" fillId="6" borderId="9" xfId="0" applyNumberFormat="1" applyFont="1" applyFill="1" applyBorder="1"/>
    <xf numFmtId="1" fontId="9" fillId="6" borderId="0" xfId="0" applyNumberFormat="1" applyFont="1" applyFill="1"/>
    <xf numFmtId="1" fontId="9" fillId="6" borderId="11" xfId="0" applyNumberFormat="1" applyFont="1" applyFill="1" applyBorder="1"/>
    <xf numFmtId="0" fontId="0" fillId="6" borderId="1" xfId="0" applyFill="1" applyBorder="1" applyAlignment="1">
      <alignment horizontal="left" vertical="center"/>
    </xf>
    <xf numFmtId="0" fontId="0" fillId="6" borderId="2" xfId="0" applyFill="1" applyBorder="1"/>
    <xf numFmtId="2" fontId="9" fillId="6" borderId="2" xfId="0" applyNumberFormat="1" applyFont="1" applyFill="1" applyBorder="1"/>
    <xf numFmtId="2" fontId="9" fillId="6" borderId="3" xfId="0" applyNumberFormat="1" applyFont="1" applyFill="1" applyBorder="1"/>
    <xf numFmtId="0" fontId="0" fillId="6" borderId="4" xfId="0" applyFill="1" applyBorder="1"/>
    <xf numFmtId="0" fontId="0" fillId="6" borderId="10" xfId="0" applyFill="1" applyBorder="1"/>
    <xf numFmtId="0" fontId="0" fillId="6" borderId="7" xfId="0" applyFill="1" applyBorder="1"/>
    <xf numFmtId="164" fontId="37" fillId="6" borderId="4" xfId="0" applyNumberFormat="1" applyFont="1" applyFill="1" applyBorder="1" applyAlignment="1">
      <alignment vertical="center"/>
    </xf>
    <xf numFmtId="164" fontId="37" fillId="6" borderId="5" xfId="0" applyNumberFormat="1" applyFont="1" applyFill="1" applyBorder="1" applyAlignment="1">
      <alignment vertical="center"/>
    </xf>
    <xf numFmtId="164" fontId="37" fillId="6" borderId="10" xfId="0" applyNumberFormat="1" applyFont="1" applyFill="1" applyBorder="1" applyAlignment="1">
      <alignment vertical="center"/>
    </xf>
    <xf numFmtId="164" fontId="37" fillId="6" borderId="0" xfId="0" applyNumberFormat="1" applyFont="1" applyFill="1" applyAlignment="1">
      <alignment vertical="center"/>
    </xf>
    <xf numFmtId="164" fontId="37" fillId="6" borderId="7" xfId="0" applyNumberFormat="1" applyFont="1" applyFill="1" applyBorder="1" applyAlignment="1">
      <alignment vertical="center"/>
    </xf>
    <xf numFmtId="164" fontId="37" fillId="6" borderId="8" xfId="0" applyNumberFormat="1" applyFont="1" applyFill="1" applyBorder="1" applyAlignment="1">
      <alignment vertical="center"/>
    </xf>
    <xf numFmtId="164" fontId="63" fillId="6" borderId="4" xfId="0" applyNumberFormat="1" applyFont="1" applyFill="1" applyBorder="1" applyAlignment="1">
      <alignment vertical="center"/>
    </xf>
    <xf numFmtId="164" fontId="63" fillId="6" borderId="5" xfId="0" applyNumberFormat="1" applyFont="1" applyFill="1" applyBorder="1" applyAlignment="1">
      <alignment vertical="center"/>
    </xf>
    <xf numFmtId="164" fontId="63" fillId="6" borderId="6" xfId="0" applyNumberFormat="1" applyFont="1" applyFill="1" applyBorder="1" applyAlignment="1">
      <alignment vertical="center"/>
    </xf>
    <xf numFmtId="0" fontId="28" fillId="6" borderId="5" xfId="0" applyFont="1" applyFill="1" applyBorder="1"/>
    <xf numFmtId="0" fontId="28" fillId="6" borderId="6" xfId="0" applyFont="1" applyFill="1" applyBorder="1"/>
    <xf numFmtId="164" fontId="63" fillId="6" borderId="10" xfId="0" applyNumberFormat="1" applyFont="1" applyFill="1" applyBorder="1" applyAlignment="1">
      <alignment vertical="center"/>
    </xf>
    <xf numFmtId="164" fontId="63" fillId="6" borderId="0" xfId="0" applyNumberFormat="1" applyFont="1" applyFill="1" applyAlignment="1">
      <alignment vertical="center"/>
    </xf>
    <xf numFmtId="164" fontId="63" fillId="6" borderId="11" xfId="0" applyNumberFormat="1" applyFont="1" applyFill="1" applyBorder="1" applyAlignment="1">
      <alignment vertical="center"/>
    </xf>
    <xf numFmtId="0" fontId="28" fillId="6" borderId="0" xfId="0" applyFont="1" applyFill="1"/>
    <xf numFmtId="0" fontId="28" fillId="6" borderId="11" xfId="0" applyFont="1" applyFill="1" applyBorder="1"/>
    <xf numFmtId="164" fontId="63" fillId="6" borderId="7" xfId="0" applyNumberFormat="1" applyFont="1" applyFill="1" applyBorder="1" applyAlignment="1">
      <alignment vertical="center"/>
    </xf>
    <xf numFmtId="164" fontId="63" fillId="6" borderId="8" xfId="0" applyNumberFormat="1" applyFont="1" applyFill="1" applyBorder="1" applyAlignment="1">
      <alignment vertical="center"/>
    </xf>
    <xf numFmtId="164" fontId="63" fillId="6" borderId="9" xfId="0" applyNumberFormat="1" applyFont="1" applyFill="1" applyBorder="1" applyAlignment="1">
      <alignment vertical="center"/>
    </xf>
    <xf numFmtId="0" fontId="28" fillId="6" borderId="8" xfId="0" applyFont="1" applyFill="1" applyBorder="1"/>
    <xf numFmtId="0" fontId="28" fillId="6" borderId="9" xfId="0" applyFont="1" applyFill="1" applyBorder="1"/>
    <xf numFmtId="164" fontId="27" fillId="6" borderId="0" xfId="0" applyNumberFormat="1" applyFont="1" applyFill="1"/>
    <xf numFmtId="0" fontId="27" fillId="6" borderId="0" xfId="0" applyFont="1" applyFill="1"/>
    <xf numFmtId="164" fontId="63" fillId="6" borderId="4" xfId="0" applyNumberFormat="1" applyFont="1" applyFill="1" applyBorder="1" applyAlignment="1">
      <alignment horizontal="right" vertical="center"/>
    </xf>
    <xf numFmtId="164" fontId="63" fillId="6" borderId="5" xfId="0" applyNumberFormat="1" applyFont="1" applyFill="1" applyBorder="1" applyAlignment="1">
      <alignment horizontal="right" vertical="center"/>
    </xf>
    <xf numFmtId="164" fontId="63" fillId="6" borderId="6" xfId="0" applyNumberFormat="1" applyFont="1" applyFill="1" applyBorder="1" applyAlignment="1">
      <alignment horizontal="right" vertical="center"/>
    </xf>
    <xf numFmtId="164" fontId="63" fillId="6" borderId="10" xfId="0" applyNumberFormat="1" applyFont="1" applyFill="1" applyBorder="1" applyAlignment="1">
      <alignment horizontal="right" vertical="center"/>
    </xf>
    <xf numFmtId="164" fontId="63" fillId="6" borderId="0" xfId="0" applyNumberFormat="1" applyFont="1" applyFill="1" applyAlignment="1">
      <alignment horizontal="right" vertical="center"/>
    </xf>
    <xf numFmtId="164" fontId="63" fillId="6" borderId="11" xfId="0" applyNumberFormat="1" applyFont="1" applyFill="1" applyBorder="1" applyAlignment="1">
      <alignment horizontal="right" vertical="center"/>
    </xf>
    <xf numFmtId="164" fontId="63" fillId="6" borderId="7" xfId="0" applyNumberFormat="1" applyFont="1" applyFill="1" applyBorder="1" applyAlignment="1">
      <alignment horizontal="right" vertical="center"/>
    </xf>
    <xf numFmtId="164" fontId="63" fillId="6" borderId="8" xfId="0" applyNumberFormat="1" applyFont="1" applyFill="1" applyBorder="1" applyAlignment="1">
      <alignment horizontal="right" vertical="center"/>
    </xf>
    <xf numFmtId="164" fontId="63" fillId="6" borderId="9" xfId="0" applyNumberFormat="1" applyFont="1" applyFill="1" applyBorder="1" applyAlignment="1">
      <alignment horizontal="right" vertical="center"/>
    </xf>
    <xf numFmtId="3" fontId="27" fillId="6" borderId="4" xfId="0" applyNumberFormat="1" applyFont="1" applyFill="1" applyBorder="1"/>
    <xf numFmtId="9" fontId="27" fillId="6" borderId="5" xfId="3" applyFont="1" applyFill="1" applyBorder="1"/>
    <xf numFmtId="9" fontId="27" fillId="6" borderId="6" xfId="3" applyFont="1" applyFill="1" applyBorder="1"/>
    <xf numFmtId="3" fontId="27" fillId="6" borderId="10" xfId="0" applyNumberFormat="1" applyFont="1" applyFill="1" applyBorder="1"/>
    <xf numFmtId="9" fontId="27" fillId="6" borderId="11" xfId="3" applyFont="1" applyFill="1" applyBorder="1"/>
    <xf numFmtId="0" fontId="27" fillId="6" borderId="11" xfId="0" applyFont="1" applyFill="1" applyBorder="1"/>
    <xf numFmtId="3" fontId="27" fillId="6" borderId="7" xfId="0" applyNumberFormat="1" applyFont="1" applyFill="1" applyBorder="1"/>
    <xf numFmtId="0" fontId="27" fillId="6" borderId="8" xfId="0" applyFont="1" applyFill="1" applyBorder="1"/>
    <xf numFmtId="0" fontId="27" fillId="6" borderId="9" xfId="0" applyFont="1" applyFill="1" applyBorder="1"/>
    <xf numFmtId="9" fontId="27" fillId="6" borderId="0" xfId="3" applyFont="1" applyFill="1" applyAlignment="1">
      <alignment horizontal="right"/>
    </xf>
    <xf numFmtId="164" fontId="27" fillId="6" borderId="0" xfId="0" applyNumberFormat="1" applyFont="1" applyFill="1" applyAlignment="1">
      <alignment horizontal="right"/>
    </xf>
    <xf numFmtId="1" fontId="28" fillId="6" borderId="5" xfId="0" applyNumberFormat="1" applyFont="1" applyFill="1" applyBorder="1"/>
    <xf numFmtId="1" fontId="28" fillId="6" borderId="8" xfId="0" applyNumberFormat="1" applyFont="1" applyFill="1" applyBorder="1"/>
    <xf numFmtId="1" fontId="28" fillId="6" borderId="0" xfId="0" applyNumberFormat="1" applyFont="1" applyFill="1"/>
    <xf numFmtId="2" fontId="64" fillId="6" borderId="2" xfId="0" applyNumberFormat="1" applyFont="1" applyFill="1" applyBorder="1"/>
    <xf numFmtId="164" fontId="9" fillId="6" borderId="0" xfId="0" applyNumberFormat="1" applyFont="1" applyFill="1" applyAlignment="1">
      <alignment horizontal="right"/>
    </xf>
    <xf numFmtId="164" fontId="61" fillId="6" borderId="0" xfId="0" applyNumberFormat="1" applyFont="1" applyFill="1"/>
    <xf numFmtId="0" fontId="1" fillId="2" borderId="0" xfId="0" applyFont="1" applyFill="1"/>
    <xf numFmtId="164" fontId="28" fillId="6" borderId="13" xfId="0" applyNumberFormat="1" applyFont="1" applyFill="1" applyBorder="1" applyAlignment="1">
      <alignment horizontal="right"/>
    </xf>
    <xf numFmtId="164" fontId="28" fillId="6" borderId="14" xfId="0" applyNumberFormat="1" applyFont="1" applyFill="1" applyBorder="1" applyAlignment="1">
      <alignment horizontal="right"/>
    </xf>
    <xf numFmtId="164" fontId="28" fillId="6" borderId="15" xfId="0" applyNumberFormat="1" applyFont="1" applyFill="1" applyBorder="1" applyAlignment="1">
      <alignment horizontal="right"/>
    </xf>
    <xf numFmtId="0" fontId="28" fillId="6" borderId="14" xfId="0" applyFont="1" applyFill="1" applyBorder="1"/>
    <xf numFmtId="164" fontId="28" fillId="6" borderId="16" xfId="0" applyNumberFormat="1" applyFont="1" applyFill="1" applyBorder="1" applyAlignment="1">
      <alignment horizontal="right"/>
    </xf>
    <xf numFmtId="164" fontId="28" fillId="6" borderId="0" xfId="0" applyNumberFormat="1" applyFont="1" applyFill="1" applyAlignment="1">
      <alignment horizontal="right"/>
    </xf>
    <xf numFmtId="164" fontId="28" fillId="6" borderId="17" xfId="0" applyNumberFormat="1" applyFont="1" applyFill="1" applyBorder="1" applyAlignment="1">
      <alignment horizontal="right"/>
    </xf>
    <xf numFmtId="164" fontId="28" fillId="6" borderId="18" xfId="0" applyNumberFormat="1" applyFont="1" applyFill="1" applyBorder="1" applyAlignment="1">
      <alignment horizontal="right"/>
    </xf>
    <xf numFmtId="164" fontId="28" fillId="6" borderId="19" xfId="0" applyNumberFormat="1" applyFont="1" applyFill="1" applyBorder="1" applyAlignment="1">
      <alignment horizontal="right"/>
    </xf>
    <xf numFmtId="164" fontId="28" fillId="6" borderId="20" xfId="0" applyNumberFormat="1" applyFont="1" applyFill="1" applyBorder="1" applyAlignment="1">
      <alignment horizontal="right"/>
    </xf>
    <xf numFmtId="0" fontId="28" fillId="6" borderId="19" xfId="0" applyFont="1" applyFill="1" applyBorder="1"/>
    <xf numFmtId="164" fontId="28" fillId="6" borderId="13" xfId="0" applyNumberFormat="1" applyFont="1" applyFill="1" applyBorder="1"/>
    <xf numFmtId="164" fontId="28" fillId="6" borderId="14" xfId="0" applyNumberFormat="1" applyFont="1" applyFill="1" applyBorder="1"/>
    <xf numFmtId="164" fontId="28" fillId="6" borderId="15" xfId="0" applyNumberFormat="1" applyFont="1" applyFill="1" applyBorder="1"/>
    <xf numFmtId="0" fontId="28" fillId="6" borderId="15" xfId="0" applyFont="1" applyFill="1" applyBorder="1"/>
    <xf numFmtId="164" fontId="28" fillId="6" borderId="16" xfId="0" applyNumberFormat="1" applyFont="1" applyFill="1" applyBorder="1"/>
    <xf numFmtId="164" fontId="28" fillId="6" borderId="0" xfId="0" applyNumberFormat="1" applyFont="1" applyFill="1"/>
    <xf numFmtId="164" fontId="28" fillId="6" borderId="17" xfId="0" applyNumberFormat="1" applyFont="1" applyFill="1" applyBorder="1"/>
    <xf numFmtId="0" fontId="28" fillId="6" borderId="17" xfId="0" applyFont="1" applyFill="1" applyBorder="1"/>
    <xf numFmtId="164" fontId="28" fillId="6" borderId="18" xfId="0" applyNumberFormat="1" applyFont="1" applyFill="1" applyBorder="1"/>
    <xf numFmtId="164" fontId="28" fillId="6" borderId="19" xfId="0" applyNumberFormat="1" applyFont="1" applyFill="1" applyBorder="1"/>
    <xf numFmtId="164" fontId="28" fillId="6" borderId="20" xfId="0" applyNumberFormat="1" applyFont="1" applyFill="1" applyBorder="1"/>
    <xf numFmtId="0" fontId="28" fillId="6" borderId="20" xfId="0" applyFont="1" applyFill="1" applyBorder="1"/>
    <xf numFmtId="164" fontId="9" fillId="6" borderId="13" xfId="0" applyNumberFormat="1" applyFont="1" applyFill="1" applyBorder="1"/>
    <xf numFmtId="164" fontId="9" fillId="6" borderId="16" xfId="0" applyNumberFormat="1" applyFont="1" applyFill="1" applyBorder="1"/>
    <xf numFmtId="164" fontId="9" fillId="6" borderId="18" xfId="0" applyNumberFormat="1" applyFont="1" applyFill="1" applyBorder="1"/>
    <xf numFmtId="164" fontId="27" fillId="6" borderId="14" xfId="0" applyNumberFormat="1" applyFont="1" applyFill="1" applyBorder="1"/>
    <xf numFmtId="9" fontId="27" fillId="6" borderId="15" xfId="3" applyFont="1" applyFill="1" applyBorder="1"/>
    <xf numFmtId="3" fontId="27" fillId="6" borderId="21" xfId="0" applyNumberFormat="1" applyFont="1" applyFill="1" applyBorder="1"/>
    <xf numFmtId="9" fontId="27" fillId="6" borderId="17" xfId="3" applyFont="1" applyFill="1" applyBorder="1"/>
    <xf numFmtId="3" fontId="27" fillId="6" borderId="22" xfId="0" applyNumberFormat="1" applyFont="1" applyFill="1" applyBorder="1"/>
    <xf numFmtId="164" fontId="27" fillId="6" borderId="19" xfId="0" applyNumberFormat="1" applyFont="1" applyFill="1" applyBorder="1"/>
    <xf numFmtId="9" fontId="27" fillId="6" borderId="20" xfId="3" applyFont="1" applyFill="1" applyBorder="1"/>
    <xf numFmtId="164" fontId="27" fillId="6" borderId="18" xfId="0" applyNumberFormat="1" applyFont="1" applyFill="1" applyBorder="1"/>
    <xf numFmtId="3" fontId="27" fillId="6" borderId="23" xfId="0" applyNumberFormat="1" applyFont="1" applyFill="1" applyBorder="1"/>
    <xf numFmtId="1" fontId="27" fillId="6" borderId="0" xfId="0" applyNumberFormat="1" applyFont="1" applyFill="1"/>
    <xf numFmtId="0" fontId="9" fillId="6" borderId="0" xfId="0" applyFont="1" applyFill="1" applyAlignment="1">
      <alignment horizontal="right"/>
    </xf>
    <xf numFmtId="164" fontId="18" fillId="6" borderId="0" xfId="0" applyNumberFormat="1" applyFont="1" applyFill="1" applyAlignment="1">
      <alignment horizontal="right"/>
    </xf>
    <xf numFmtId="164" fontId="18" fillId="6" borderId="19" xfId="0" applyNumberFormat="1" applyFont="1" applyFill="1" applyBorder="1" applyAlignment="1">
      <alignment horizontal="right"/>
    </xf>
    <xf numFmtId="0" fontId="9" fillId="6" borderId="0" xfId="0" applyFont="1" applyFill="1" applyAlignment="1">
      <alignment horizontal="center" vertical="center" wrapText="1"/>
    </xf>
    <xf numFmtId="167" fontId="9" fillId="6" borderId="0" xfId="1" applyNumberFormat="1" applyFont="1" applyFill="1" applyBorder="1" applyAlignment="1">
      <alignment horizontal="center" vertical="center"/>
    </xf>
    <xf numFmtId="0" fontId="0" fillId="6" borderId="0" xfId="0" applyFill="1" applyAlignment="1">
      <alignment horizontal="center" vertical="center"/>
    </xf>
    <xf numFmtId="166" fontId="2" fillId="6" borderId="0" xfId="0" applyNumberFormat="1" applyFont="1" applyFill="1" applyAlignment="1">
      <alignment horizontal="left" vertical="center"/>
    </xf>
    <xf numFmtId="0" fontId="0" fillId="6" borderId="0" xfId="0" applyFill="1" applyAlignment="1">
      <alignment vertical="center"/>
    </xf>
    <xf numFmtId="166" fontId="2" fillId="3" borderId="0" xfId="0" applyNumberFormat="1" applyFont="1" applyFill="1" applyAlignment="1">
      <alignment horizontal="left" vertical="center"/>
    </xf>
    <xf numFmtId="166" fontId="0" fillId="5" borderId="0" xfId="0" applyNumberFormat="1" applyFill="1"/>
    <xf numFmtId="37" fontId="0" fillId="3" borderId="0" xfId="0" applyNumberFormat="1" applyFill="1"/>
    <xf numFmtId="0" fontId="1" fillId="3" borderId="0" xfId="0" applyFont="1" applyFill="1" applyAlignment="1">
      <alignment horizontal="left"/>
    </xf>
    <xf numFmtId="166" fontId="53" fillId="6" borderId="13" xfId="0" applyNumberFormat="1" applyFont="1" applyFill="1" applyBorder="1"/>
    <xf numFmtId="166" fontId="53" fillId="6" borderId="14" xfId="0" applyNumberFormat="1" applyFont="1" applyFill="1" applyBorder="1"/>
    <xf numFmtId="166" fontId="53" fillId="6" borderId="15" xfId="0" applyNumberFormat="1" applyFont="1" applyFill="1" applyBorder="1"/>
    <xf numFmtId="166" fontId="53" fillId="6" borderId="16" xfId="0" applyNumberFormat="1" applyFont="1" applyFill="1" applyBorder="1"/>
    <xf numFmtId="166" fontId="53" fillId="6" borderId="17" xfId="0" applyNumberFormat="1" applyFont="1" applyFill="1" applyBorder="1"/>
    <xf numFmtId="166" fontId="53" fillId="6" borderId="18" xfId="0" applyNumberFormat="1" applyFont="1" applyFill="1" applyBorder="1"/>
    <xf numFmtId="166" fontId="53" fillId="6" borderId="19" xfId="0" applyNumberFormat="1" applyFont="1" applyFill="1" applyBorder="1"/>
    <xf numFmtId="166" fontId="53" fillId="6" borderId="20" xfId="0" applyNumberFormat="1" applyFont="1" applyFill="1" applyBorder="1"/>
    <xf numFmtId="37" fontId="53" fillId="6" borderId="13" xfId="0" applyNumberFormat="1" applyFont="1" applyFill="1" applyBorder="1"/>
    <xf numFmtId="37" fontId="53" fillId="6" borderId="14" xfId="0" applyNumberFormat="1" applyFont="1" applyFill="1" applyBorder="1"/>
    <xf numFmtId="37" fontId="53" fillId="6" borderId="15" xfId="0" applyNumberFormat="1" applyFont="1" applyFill="1" applyBorder="1"/>
    <xf numFmtId="37" fontId="53" fillId="6" borderId="16" xfId="0" applyNumberFormat="1" applyFont="1" applyFill="1" applyBorder="1"/>
    <xf numFmtId="37" fontId="53" fillId="6" borderId="0" xfId="0" applyNumberFormat="1" applyFont="1" applyFill="1"/>
    <xf numFmtId="37" fontId="53" fillId="6" borderId="17" xfId="0" applyNumberFormat="1" applyFont="1" applyFill="1" applyBorder="1"/>
    <xf numFmtId="37" fontId="53" fillId="6" borderId="18" xfId="0" applyNumberFormat="1" applyFont="1" applyFill="1" applyBorder="1"/>
    <xf numFmtId="37" fontId="53" fillId="6" borderId="19" xfId="0" applyNumberFormat="1" applyFont="1" applyFill="1" applyBorder="1"/>
    <xf numFmtId="37" fontId="53" fillId="6" borderId="20" xfId="0" applyNumberFormat="1" applyFont="1" applyFill="1" applyBorder="1"/>
    <xf numFmtId="0" fontId="0" fillId="6" borderId="0" xfId="0" applyFill="1" applyAlignment="1">
      <alignment horizontal="center" vertical="center" wrapText="1"/>
    </xf>
    <xf numFmtId="167" fontId="4" fillId="6" borderId="0" xfId="1" applyNumberFormat="1" applyFont="1" applyFill="1" applyBorder="1" applyAlignment="1">
      <alignment horizontal="center" vertical="center"/>
    </xf>
    <xf numFmtId="166" fontId="1" fillId="2" borderId="0" xfId="0" applyNumberFormat="1" applyFont="1" applyFill="1"/>
    <xf numFmtId="0" fontId="24" fillId="6" borderId="0" xfId="0" applyFont="1" applyFill="1"/>
    <xf numFmtId="164" fontId="24" fillId="6" borderId="0" xfId="0" applyNumberFormat="1" applyFont="1" applyFill="1"/>
    <xf numFmtId="2" fontId="0" fillId="6" borderId="0" xfId="0" applyNumberFormat="1" applyFill="1"/>
    <xf numFmtId="171" fontId="0" fillId="6" borderId="0" xfId="0" applyNumberFormat="1" applyFill="1"/>
    <xf numFmtId="164" fontId="25" fillId="6" borderId="0" xfId="0" applyNumberFormat="1" applyFont="1" applyFill="1"/>
    <xf numFmtId="3" fontId="22" fillId="6" borderId="0" xfId="0" applyNumberFormat="1" applyFont="1" applyFill="1"/>
    <xf numFmtId="3" fontId="9" fillId="3" borderId="0" xfId="0" applyNumberFormat="1" applyFont="1" applyFill="1"/>
    <xf numFmtId="0" fontId="50" fillId="2" borderId="0" xfId="7" applyFill="1"/>
    <xf numFmtId="0" fontId="0" fillId="3" borderId="0" xfId="0" applyFill="1" applyAlignment="1">
      <alignment horizontal="left" vertical="top"/>
    </xf>
    <xf numFmtId="0" fontId="9" fillId="6" borderId="0" xfId="0" applyFont="1" applyFill="1" applyAlignment="1">
      <alignment horizontal="left" vertical="top"/>
    </xf>
    <xf numFmtId="0" fontId="0" fillId="3" borderId="0" xfId="0" applyFill="1" applyAlignment="1">
      <alignment vertical="top" wrapText="1"/>
    </xf>
    <xf numFmtId="9" fontId="0" fillId="8" borderId="0" xfId="3" applyFont="1" applyFill="1"/>
    <xf numFmtId="0" fontId="0" fillId="3" borderId="24" xfId="0" applyFill="1" applyBorder="1"/>
    <xf numFmtId="3" fontId="28" fillId="6" borderId="24" xfId="0" applyNumberFormat="1" applyFont="1" applyFill="1" applyBorder="1" applyAlignment="1">
      <alignment horizontal="right"/>
    </xf>
    <xf numFmtId="3" fontId="25" fillId="6" borderId="24" xfId="0" applyNumberFormat="1" applyFont="1" applyFill="1" applyBorder="1"/>
    <xf numFmtId="166" fontId="9" fillId="3" borderId="24" xfId="0" applyNumberFormat="1" applyFont="1" applyFill="1" applyBorder="1"/>
    <xf numFmtId="0" fontId="7" fillId="3" borderId="0" xfId="0" applyFont="1" applyFill="1" applyAlignment="1">
      <alignment vertical="top"/>
    </xf>
    <xf numFmtId="3" fontId="66" fillId="6" borderId="0" xfId="0" applyNumberFormat="1" applyFont="1" applyFill="1"/>
    <xf numFmtId="2" fontId="0" fillId="2" borderId="0" xfId="0" applyNumberFormat="1" applyFill="1"/>
    <xf numFmtId="0" fontId="0" fillId="3" borderId="24" xfId="0" applyFill="1" applyBorder="1" applyAlignment="1">
      <alignment vertical="top" wrapText="1"/>
    </xf>
    <xf numFmtId="0" fontId="9" fillId="3" borderId="24" xfId="0" applyFont="1" applyFill="1" applyBorder="1"/>
    <xf numFmtId="0" fontId="0" fillId="3" borderId="24" xfId="0" applyFill="1" applyBorder="1" applyAlignment="1">
      <alignment horizontal="left" vertical="top"/>
    </xf>
    <xf numFmtId="3" fontId="67" fillId="6" borderId="0" xfId="0" applyNumberFormat="1" applyFont="1" applyFill="1"/>
    <xf numFmtId="3" fontId="66" fillId="6" borderId="24" xfId="0" applyNumberFormat="1" applyFont="1" applyFill="1" applyBorder="1"/>
    <xf numFmtId="164" fontId="53" fillId="6" borderId="0" xfId="0" applyNumberFormat="1" applyFont="1" applyFill="1"/>
    <xf numFmtId="0" fontId="53" fillId="6" borderId="0" xfId="0" applyFont="1" applyFill="1"/>
    <xf numFmtId="3" fontId="68" fillId="6" borderId="0" xfId="0" applyNumberFormat="1" applyFont="1" applyFill="1"/>
    <xf numFmtId="166" fontId="69" fillId="3" borderId="0" xfId="0" applyNumberFormat="1" applyFont="1" applyFill="1" applyAlignment="1">
      <alignment horizontal="left"/>
    </xf>
    <xf numFmtId="3" fontId="70" fillId="6" borderId="0" xfId="0" applyNumberFormat="1" applyFont="1" applyFill="1"/>
    <xf numFmtId="3" fontId="70" fillId="6" borderId="19" xfId="0" applyNumberFormat="1" applyFont="1" applyFill="1" applyBorder="1"/>
    <xf numFmtId="3" fontId="66" fillId="6" borderId="19" xfId="0" applyNumberFormat="1" applyFont="1" applyFill="1" applyBorder="1"/>
    <xf numFmtId="3" fontId="70" fillId="6" borderId="24" xfId="0" applyNumberFormat="1" applyFont="1" applyFill="1" applyBorder="1"/>
    <xf numFmtId="166" fontId="70" fillId="6" borderId="0" xfId="0" applyNumberFormat="1" applyFont="1" applyFill="1"/>
    <xf numFmtId="3" fontId="70" fillId="6" borderId="31" xfId="0" applyNumberFormat="1" applyFont="1" applyFill="1" applyBorder="1"/>
    <xf numFmtId="166" fontId="70" fillId="6" borderId="24" xfId="0" applyNumberFormat="1" applyFont="1" applyFill="1" applyBorder="1"/>
    <xf numFmtId="166" fontId="53" fillId="6" borderId="5" xfId="0" applyNumberFormat="1" applyFont="1" applyFill="1" applyBorder="1"/>
    <xf numFmtId="166" fontId="32" fillId="6" borderId="0" xfId="0" applyNumberFormat="1" applyFont="1" applyFill="1"/>
    <xf numFmtId="3" fontId="62" fillId="6" borderId="5" xfId="0" applyNumberFormat="1" applyFont="1" applyFill="1" applyBorder="1"/>
    <xf numFmtId="3" fontId="53" fillId="6" borderId="5" xfId="0" applyNumberFormat="1" applyFont="1" applyFill="1" applyBorder="1"/>
    <xf numFmtId="166" fontId="70" fillId="6" borderId="5" xfId="0" applyNumberFormat="1" applyFont="1" applyFill="1" applyBorder="1"/>
    <xf numFmtId="166" fontId="68" fillId="6" borderId="0" xfId="0" applyNumberFormat="1" applyFont="1" applyFill="1"/>
    <xf numFmtId="166" fontId="7" fillId="2" borderId="0" xfId="0" applyNumberFormat="1" applyFont="1" applyFill="1"/>
    <xf numFmtId="3" fontId="71" fillId="6" borderId="0" xfId="0" applyNumberFormat="1" applyFont="1" applyFill="1"/>
    <xf numFmtId="0" fontId="7" fillId="2" borderId="0" xfId="0" applyFont="1" applyFill="1"/>
    <xf numFmtId="3" fontId="71" fillId="6" borderId="5" xfId="0" applyNumberFormat="1" applyFont="1" applyFill="1" applyBorder="1"/>
    <xf numFmtId="3" fontId="70" fillId="6" borderId="5" xfId="0" applyNumberFormat="1" applyFont="1" applyFill="1" applyBorder="1"/>
    <xf numFmtId="3" fontId="72" fillId="6" borderId="0" xfId="0" applyNumberFormat="1" applyFont="1" applyFill="1"/>
    <xf numFmtId="3" fontId="72" fillId="6" borderId="8" xfId="0" applyNumberFormat="1" applyFont="1" applyFill="1" applyBorder="1"/>
    <xf numFmtId="3" fontId="72" fillId="6" borderId="2" xfId="0" applyNumberFormat="1" applyFont="1" applyFill="1" applyBorder="1"/>
    <xf numFmtId="3" fontId="53" fillId="6" borderId="33" xfId="0" applyNumberFormat="1" applyFont="1" applyFill="1" applyBorder="1"/>
    <xf numFmtId="3" fontId="62" fillId="6" borderId="41" xfId="0" applyNumberFormat="1" applyFont="1" applyFill="1" applyBorder="1"/>
    <xf numFmtId="3" fontId="62" fillId="6" borderId="19" xfId="0" applyNumberFormat="1" applyFont="1" applyFill="1" applyBorder="1"/>
    <xf numFmtId="3" fontId="62" fillId="6" borderId="27" xfId="0" applyNumberFormat="1" applyFont="1" applyFill="1" applyBorder="1"/>
    <xf numFmtId="3" fontId="62" fillId="6" borderId="14" xfId="0" applyNumberFormat="1" applyFont="1" applyFill="1" applyBorder="1"/>
    <xf numFmtId="3" fontId="70" fillId="6" borderId="8" xfId="0" applyNumberFormat="1" applyFont="1" applyFill="1" applyBorder="1"/>
    <xf numFmtId="3" fontId="70" fillId="6" borderId="2" xfId="0" applyNumberFormat="1" applyFont="1" applyFill="1" applyBorder="1"/>
    <xf numFmtId="3" fontId="73" fillId="6" borderId="8" xfId="0" applyNumberFormat="1" applyFont="1" applyFill="1" applyBorder="1"/>
    <xf numFmtId="3" fontId="68" fillId="6" borderId="8" xfId="0" applyNumberFormat="1" applyFont="1" applyFill="1" applyBorder="1"/>
    <xf numFmtId="3" fontId="68" fillId="6" borderId="2" xfId="0" applyNumberFormat="1" applyFont="1" applyFill="1" applyBorder="1"/>
    <xf numFmtId="3" fontId="62" fillId="6" borderId="8" xfId="0" applyNumberFormat="1" applyFont="1" applyFill="1" applyBorder="1"/>
    <xf numFmtId="3" fontId="53" fillId="6" borderId="8" xfId="0" applyNumberFormat="1" applyFont="1" applyFill="1" applyBorder="1"/>
    <xf numFmtId="3" fontId="62" fillId="6" borderId="2" xfId="0" applyNumberFormat="1" applyFont="1" applyFill="1" applyBorder="1"/>
    <xf numFmtId="3" fontId="73" fillId="6" borderId="0" xfId="0" applyNumberFormat="1" applyFont="1" applyFill="1"/>
    <xf numFmtId="3" fontId="9" fillId="6" borderId="0" xfId="0" applyNumberFormat="1" applyFont="1" applyFill="1" applyAlignment="1">
      <alignment vertical="top"/>
    </xf>
    <xf numFmtId="0" fontId="9" fillId="3" borderId="0" xfId="0" applyFont="1" applyFill="1" applyAlignment="1">
      <alignment horizontal="left" vertical="top" wrapText="1"/>
    </xf>
    <xf numFmtId="0" fontId="0" fillId="3" borderId="0" xfId="0" applyFill="1" applyAlignment="1">
      <alignment horizontal="left" vertical="top" wrapText="1"/>
    </xf>
    <xf numFmtId="0" fontId="0" fillId="3" borderId="19" xfId="0" applyFill="1" applyBorder="1" applyAlignment="1">
      <alignment horizontal="center"/>
    </xf>
    <xf numFmtId="166" fontId="9" fillId="3" borderId="19" xfId="0" applyNumberFormat="1" applyFont="1" applyFill="1" applyBorder="1" applyAlignment="1">
      <alignment horizontal="center"/>
    </xf>
    <xf numFmtId="3" fontId="0" fillId="2" borderId="0" xfId="0" applyNumberFormat="1" applyFill="1" applyAlignment="1">
      <alignment horizontal="center"/>
    </xf>
    <xf numFmtId="0" fontId="0" fillId="2" borderId="5" xfId="0" applyFill="1" applyBorder="1" applyAlignment="1">
      <alignment horizontal="center"/>
    </xf>
    <xf numFmtId="3" fontId="0" fillId="2" borderId="5" xfId="0" applyNumberFormat="1" applyFill="1" applyBorder="1" applyAlignment="1">
      <alignment horizontal="left" wrapText="1"/>
    </xf>
    <xf numFmtId="3" fontId="0" fillId="2" borderId="0" xfId="0" applyNumberFormat="1" applyFill="1" applyAlignment="1">
      <alignment horizontal="left" wrapText="1"/>
    </xf>
    <xf numFmtId="0" fontId="0" fillId="2" borderId="0" xfId="0" applyFill="1" applyAlignment="1">
      <alignment horizontal="center"/>
    </xf>
    <xf numFmtId="166" fontId="1" fillId="2" borderId="0" xfId="0" applyNumberFormat="1" applyFont="1" applyFill="1" applyAlignment="1">
      <alignment horizontal="left" vertical="top" wrapText="1"/>
    </xf>
    <xf numFmtId="3" fontId="0" fillId="3" borderId="0" xfId="0" applyNumberFormat="1" applyFill="1" applyAlignment="1">
      <alignment horizontal="left" vertical="center"/>
    </xf>
    <xf numFmtId="3" fontId="0" fillId="6" borderId="0" xfId="0" applyNumberFormat="1" applyFill="1" applyAlignment="1">
      <alignment horizontal="left" vertical="center" wrapText="1"/>
    </xf>
    <xf numFmtId="166" fontId="0" fillId="3" borderId="5" xfId="0" applyNumberFormat="1" applyFill="1" applyBorder="1" applyAlignment="1">
      <alignment horizontal="left" vertical="center" wrapText="1"/>
    </xf>
    <xf numFmtId="166" fontId="0" fillId="3" borderId="0" xfId="0" applyNumberFormat="1" applyFill="1" applyAlignment="1">
      <alignment horizontal="left" vertical="center" wrapText="1"/>
    </xf>
    <xf numFmtId="166" fontId="0" fillId="3" borderId="8" xfId="0" applyNumberFormat="1" applyFill="1" applyBorder="1" applyAlignment="1">
      <alignment horizontal="left" vertical="center" wrapText="1"/>
    </xf>
    <xf numFmtId="166" fontId="0" fillId="6" borderId="5" xfId="0" applyNumberFormat="1" applyFill="1" applyBorder="1" applyAlignment="1">
      <alignment horizontal="left" vertical="center"/>
    </xf>
    <xf numFmtId="166" fontId="0" fillId="6" borderId="0" xfId="0" applyNumberFormat="1" applyFill="1" applyAlignment="1">
      <alignment horizontal="left" vertical="center"/>
    </xf>
    <xf numFmtId="166" fontId="9" fillId="6" borderId="5" xfId="0" applyNumberFormat="1" applyFont="1" applyFill="1" applyBorder="1" applyAlignment="1">
      <alignment horizontal="left" vertical="center"/>
    </xf>
    <xf numFmtId="166" fontId="9" fillId="6" borderId="0" xfId="0" applyNumberFormat="1" applyFont="1" applyFill="1" applyAlignment="1">
      <alignment horizontal="left" vertical="center"/>
    </xf>
    <xf numFmtId="166" fontId="9" fillId="6" borderId="8" xfId="0" applyNumberFormat="1" applyFont="1" applyFill="1" applyBorder="1" applyAlignment="1">
      <alignment horizontal="left" vertical="center"/>
    </xf>
    <xf numFmtId="166" fontId="0" fillId="6" borderId="8" xfId="0" applyNumberFormat="1" applyFill="1" applyBorder="1" applyAlignment="1">
      <alignment horizontal="left" vertical="center"/>
    </xf>
    <xf numFmtId="0" fontId="0" fillId="3" borderId="5" xfId="0" applyFill="1" applyBorder="1" applyAlignment="1">
      <alignment horizontal="left" vertical="center" wrapText="1"/>
    </xf>
    <xf numFmtId="0" fontId="0" fillId="3" borderId="0" xfId="0" applyFill="1" applyAlignment="1">
      <alignment horizontal="left" vertical="center" wrapText="1"/>
    </xf>
    <xf numFmtId="166" fontId="0" fillId="3" borderId="5" xfId="0" applyNumberFormat="1" applyFill="1" applyBorder="1" applyAlignment="1">
      <alignment horizontal="left" wrapText="1"/>
    </xf>
    <xf numFmtId="166" fontId="0" fillId="3" borderId="0" xfId="0" applyNumberFormat="1" applyFill="1" applyAlignment="1">
      <alignment horizontal="left" wrapText="1"/>
    </xf>
    <xf numFmtId="3" fontId="7" fillId="3" borderId="0" xfId="0" applyNumberFormat="1" applyFont="1" applyFill="1" applyAlignment="1">
      <alignment horizontal="center" vertical="top" wrapText="1"/>
    </xf>
    <xf numFmtId="3" fontId="9" fillId="3" borderId="0" xfId="0" applyNumberFormat="1" applyFont="1" applyFill="1" applyAlignment="1">
      <alignment horizontal="left" vertical="top"/>
    </xf>
    <xf numFmtId="3" fontId="0" fillId="9" borderId="0" xfId="0" applyNumberFormat="1" applyFill="1" applyAlignment="1">
      <alignment horizontal="center"/>
    </xf>
    <xf numFmtId="3" fontId="0" fillId="3" borderId="0" xfId="0" applyNumberFormat="1" applyFill="1" applyAlignment="1">
      <alignment horizontal="center"/>
    </xf>
    <xf numFmtId="3" fontId="0" fillId="3" borderId="0" xfId="0" quotePrefix="1" applyNumberFormat="1" applyFill="1" applyAlignment="1">
      <alignment horizontal="center"/>
    </xf>
    <xf numFmtId="3" fontId="9" fillId="3" borderId="0" xfId="0" applyNumberFormat="1" applyFont="1" applyFill="1" applyAlignment="1">
      <alignment horizontal="center"/>
    </xf>
    <xf numFmtId="3" fontId="9" fillId="3" borderId="0" xfId="0" applyNumberFormat="1" applyFont="1" applyFill="1" applyAlignment="1">
      <alignment horizontal="left" vertical="top" wrapText="1"/>
    </xf>
    <xf numFmtId="3" fontId="0" fillId="3" borderId="0" xfId="0" applyNumberFormat="1" applyFill="1" applyAlignment="1">
      <alignment horizontal="left"/>
    </xf>
    <xf numFmtId="3" fontId="9" fillId="3" borderId="0" xfId="0" applyNumberFormat="1" applyFont="1" applyFill="1" applyAlignment="1">
      <alignment horizontal="left"/>
    </xf>
    <xf numFmtId="3" fontId="0" fillId="3" borderId="0" xfId="0" applyNumberFormat="1" applyFill="1" applyAlignment="1">
      <alignment horizontal="left" wrapText="1"/>
    </xf>
    <xf numFmtId="166" fontId="0" fillId="3" borderId="0" xfId="0" applyNumberFormat="1" applyFill="1" applyAlignment="1">
      <alignment horizontal="left"/>
    </xf>
    <xf numFmtId="3" fontId="7" fillId="3" borderId="0" xfId="0" applyNumberFormat="1" applyFont="1" applyFill="1" applyAlignment="1">
      <alignment horizontal="left" vertical="top" wrapText="1"/>
    </xf>
    <xf numFmtId="3" fontId="9" fillId="3" borderId="0" xfId="0" applyNumberFormat="1" applyFont="1" applyFill="1" applyAlignment="1">
      <alignment horizontal="left" wrapText="1"/>
    </xf>
    <xf numFmtId="0" fontId="9" fillId="3" borderId="0" xfId="0" applyFont="1" applyFill="1" applyAlignment="1">
      <alignment horizontal="left" vertical="top"/>
    </xf>
    <xf numFmtId="0" fontId="0" fillId="6" borderId="0" xfId="0" applyFill="1" applyAlignment="1">
      <alignment horizontal="center"/>
    </xf>
    <xf numFmtId="0" fontId="65" fillId="5" borderId="0" xfId="0" applyFont="1" applyFill="1" applyAlignment="1">
      <alignment horizontal="left" vertical="center"/>
    </xf>
    <xf numFmtId="0" fontId="9" fillId="6" borderId="0" xfId="0" applyFont="1" applyFill="1" applyAlignment="1">
      <alignment horizontal="center"/>
    </xf>
    <xf numFmtId="0" fontId="0" fillId="6" borderId="4" xfId="0" applyFill="1" applyBorder="1" applyAlignment="1">
      <alignment horizontal="left" vertical="center"/>
    </xf>
    <xf numFmtId="0" fontId="0" fillId="6" borderId="7" xfId="0" applyFill="1" applyBorder="1" applyAlignment="1">
      <alignment horizontal="left" vertical="center"/>
    </xf>
    <xf numFmtId="0" fontId="0" fillId="6" borderId="10" xfId="0" applyFill="1" applyBorder="1" applyAlignment="1">
      <alignment horizontal="left" vertical="center"/>
    </xf>
    <xf numFmtId="164" fontId="2" fillId="3" borderId="0" xfId="0" applyNumberFormat="1" applyFont="1" applyFill="1" applyAlignment="1">
      <alignment horizontal="center" vertical="center"/>
    </xf>
    <xf numFmtId="0" fontId="0" fillId="3" borderId="0" xfId="0" applyFill="1" applyAlignment="1">
      <alignment horizontal="center"/>
    </xf>
    <xf numFmtId="0" fontId="3" fillId="5" borderId="0" xfId="0" applyFont="1" applyFill="1" applyAlignment="1">
      <alignment horizontal="left" vertical="center"/>
    </xf>
    <xf numFmtId="166" fontId="1" fillId="2" borderId="0" xfId="0" applyNumberFormat="1" applyFont="1" applyFill="1" applyAlignment="1">
      <alignment horizontal="left"/>
    </xf>
    <xf numFmtId="166" fontId="0" fillId="3" borderId="0" xfId="0" applyNumberFormat="1" applyFill="1" applyAlignment="1">
      <alignment horizontal="center"/>
    </xf>
    <xf numFmtId="37" fontId="0" fillId="3" borderId="0" xfId="0" applyNumberFormat="1" applyFill="1" applyAlignment="1">
      <alignment horizontal="center"/>
    </xf>
    <xf numFmtId="0" fontId="0" fillId="6" borderId="0" xfId="0" applyFill="1" applyAlignment="1">
      <alignment horizontal="center" vertical="center"/>
    </xf>
  </cellXfs>
  <cellStyles count="9">
    <cellStyle name="ČEPS" xfId="5" xr:uid="{7B448C5D-C4B3-4802-A74D-DDB3B9E35D09}"/>
    <cellStyle name="Comma" xfId="1" builtinId="3"/>
    <cellStyle name="Hyperlink" xfId="7" builtinId="8"/>
    <cellStyle name="Komma 2" xfId="8" xr:uid="{EC0B2F58-AC5C-4111-9405-CB07760AA39C}"/>
    <cellStyle name="Normal" xfId="0" builtinId="0"/>
    <cellStyle name="Normal 2" xfId="2" xr:uid="{CB8DC9EE-D3BA-4886-A2A2-AF7BC42D134F}"/>
    <cellStyle name="Normal 2 3" xfId="6" xr:uid="{A12B7B41-DD23-472D-B15D-FA697EAF3748}"/>
    <cellStyle name="Normal 5" xfId="4" xr:uid="{C935A2FC-7215-416C-A34C-9F7F5E10D8A9}"/>
    <cellStyle name="Percent" xfId="3" builtinId="5"/>
  </cellStyles>
  <dxfs count="22">
    <dxf>
      <font>
        <color theme="0" tint="-4.9989318521683403E-2"/>
      </font>
    </dxf>
    <dxf>
      <font>
        <color rgb="FF9C0006"/>
      </font>
    </dxf>
    <dxf>
      <font>
        <color rgb="FF9C0006"/>
      </font>
    </dxf>
    <dxf>
      <font>
        <color theme="0" tint="-0.14996795556505021"/>
      </font>
    </dxf>
    <dxf>
      <font>
        <color theme="0" tint="-4.9989318521683403E-2"/>
      </font>
    </dxf>
    <dxf>
      <font>
        <color rgb="FF9C0006"/>
      </font>
    </dxf>
    <dxf>
      <font>
        <color theme="0" tint="-0.499984740745262"/>
      </font>
    </dxf>
    <dxf>
      <font>
        <color theme="0" tint="-4.9989318521683403E-2"/>
      </font>
    </dxf>
    <dxf>
      <font>
        <strike val="0"/>
        <color theme="0" tint="-0.499984740745262"/>
      </font>
    </dxf>
    <dxf>
      <font>
        <color theme="0" tint="-4.9989318521683403E-2"/>
      </font>
    </dxf>
    <dxf>
      <font>
        <color theme="0" tint="-0.499984740745262"/>
      </font>
    </dxf>
    <dxf>
      <font>
        <color theme="0" tint="-4.9989318521683403E-2"/>
      </font>
    </dxf>
    <dxf>
      <font>
        <strike val="0"/>
        <color theme="0" tint="-0.499984740745262"/>
      </font>
    </dxf>
    <dxf>
      <font>
        <color theme="0" tint="-4.9989318521683403E-2"/>
      </font>
    </dxf>
    <dxf>
      <font>
        <color rgb="FF9C0006"/>
      </font>
    </dxf>
    <dxf>
      <font>
        <color rgb="FF9C0006"/>
      </font>
      <fill>
        <patternFill>
          <bgColor rgb="FFFFC7CE"/>
        </patternFill>
      </fill>
    </dxf>
    <dxf>
      <font>
        <color rgb="FF9C0006"/>
      </font>
      <fill>
        <patternFill>
          <bgColor rgb="FFFFC7CE"/>
        </patternFill>
      </fill>
    </dxf>
    <dxf>
      <font>
        <color theme="0" tint="-0.14996795556505021"/>
      </font>
    </dxf>
    <dxf>
      <font>
        <color rgb="FF9C0006"/>
      </font>
    </dxf>
    <dxf>
      <font>
        <color theme="0" tint="-4.9989318521683403E-2"/>
      </font>
    </dxf>
    <dxf>
      <font>
        <color theme="0" tint="-0.14996795556505021"/>
      </font>
    </dxf>
    <dxf>
      <font>
        <color theme="0" tint="-0.14996795556505021"/>
      </font>
    </dxf>
  </dxfs>
  <tableStyles count="0" defaultTableStyle="TableStyleMedium2" defaultPivotStyle="PivotStyleLight16"/>
  <colors>
    <mruColors>
      <color rgb="FFFF6600"/>
      <color rgb="FF99FF33"/>
      <color rgb="FFFF7C80"/>
      <color rgb="FFFF9900"/>
      <color rgb="FFCC9900"/>
      <color rgb="FF996633"/>
      <color rgb="FF00FFFF"/>
      <color rgb="FFCC3399"/>
      <color rgb="FF663300"/>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Flexibility!$U$29:$U$30</c:f>
              <c:strCache>
                <c:ptCount val="2"/>
                <c:pt idx="0">
                  <c:v>2030</c:v>
                </c:pt>
                <c:pt idx="1">
                  <c:v>HPS</c:v>
                </c:pt>
              </c:strCache>
            </c:strRef>
          </c:tx>
          <c:spPr>
            <a:solidFill>
              <a:schemeClr val="accent5">
                <a:lumMod val="75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Flexibility!$U$31:$U$44</c:f>
              <c:numCache>
                <c:formatCode>#,##0</c:formatCode>
                <c:ptCount val="14"/>
                <c:pt idx="0">
                  <c:v>0</c:v>
                </c:pt>
                <c:pt idx="1">
                  <c:v>0</c:v>
                </c:pt>
                <c:pt idx="2">
                  <c:v>930</c:v>
                </c:pt>
                <c:pt idx="3">
                  <c:v>33360.68115235</c:v>
                </c:pt>
                <c:pt idx="4">
                  <c:v>0</c:v>
                </c:pt>
                <c:pt idx="5">
                  <c:v>0</c:v>
                </c:pt>
                <c:pt idx="6">
                  <c:v>0</c:v>
                </c:pt>
                <c:pt idx="7">
                  <c:v>1224</c:v>
                </c:pt>
                <c:pt idx="8">
                  <c:v>0</c:v>
                </c:pt>
                <c:pt idx="9">
                  <c:v>1535.27997559</c:v>
                </c:pt>
                <c:pt idx="10">
                  <c:v>9549.7199707</c:v>
                </c:pt>
                <c:pt idx="11">
                  <c:v>2744</c:v>
                </c:pt>
                <c:pt idx="12">
                  <c:v>3800</c:v>
                </c:pt>
                <c:pt idx="13">
                  <c:v>9025.7401123099989</c:v>
                </c:pt>
              </c:numCache>
            </c:numRef>
          </c:val>
          <c:extLst>
            <c:ext xmlns:c16="http://schemas.microsoft.com/office/drawing/2014/chart" uri="{C3380CC4-5D6E-409C-BE32-E72D297353CC}">
              <c16:uniqueId val="{00000000-AC4B-4421-92B3-0C1EBF378CE7}"/>
            </c:ext>
          </c:extLst>
        </c:ser>
        <c:ser>
          <c:idx val="1"/>
          <c:order val="1"/>
          <c:tx>
            <c:strRef>
              <c:f>Flexibility!$V$29:$V$30</c:f>
              <c:strCache>
                <c:ptCount val="2"/>
                <c:pt idx="0">
                  <c:v>2030</c:v>
                </c:pt>
                <c:pt idx="1">
                  <c:v>DSR</c:v>
                </c:pt>
              </c:strCache>
            </c:strRef>
          </c:tx>
          <c:spPr>
            <a:solidFill>
              <a:schemeClr val="accent6">
                <a:lumMod val="50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Flexibility!$V$31:$V$44</c:f>
              <c:numCache>
                <c:formatCode>#,##0</c:formatCode>
                <c:ptCount val="14"/>
                <c:pt idx="0">
                  <c:v>90</c:v>
                </c:pt>
                <c:pt idx="1">
                  <c:v>36.799999999999997</c:v>
                </c:pt>
                <c:pt idx="2">
                  <c:v>40</c:v>
                </c:pt>
                <c:pt idx="3">
                  <c:v>6294</c:v>
                </c:pt>
                <c:pt idx="4">
                  <c:v>4490.8315430000002</c:v>
                </c:pt>
                <c:pt idx="5">
                  <c:v>0</c:v>
                </c:pt>
                <c:pt idx="6">
                  <c:v>1738.80004134</c:v>
                </c:pt>
                <c:pt idx="7">
                  <c:v>2047.8045348000001</c:v>
                </c:pt>
                <c:pt idx="8">
                  <c:v>700</c:v>
                </c:pt>
                <c:pt idx="9">
                  <c:v>0</c:v>
                </c:pt>
                <c:pt idx="10">
                  <c:v>0</c:v>
                </c:pt>
                <c:pt idx="11">
                  <c:v>4357.12</c:v>
                </c:pt>
                <c:pt idx="12">
                  <c:v>5481.5</c:v>
                </c:pt>
                <c:pt idx="13">
                  <c:v>1758.8649520500001</c:v>
                </c:pt>
              </c:numCache>
            </c:numRef>
          </c:val>
          <c:extLst>
            <c:ext xmlns:c16="http://schemas.microsoft.com/office/drawing/2014/chart" uri="{C3380CC4-5D6E-409C-BE32-E72D297353CC}">
              <c16:uniqueId val="{00000001-AC4B-4421-92B3-0C1EBF378CE7}"/>
            </c:ext>
          </c:extLst>
        </c:ser>
        <c:ser>
          <c:idx val="2"/>
          <c:order val="2"/>
          <c:tx>
            <c:strRef>
              <c:f>Flexibility!$W$29:$W$30</c:f>
              <c:strCache>
                <c:ptCount val="2"/>
                <c:pt idx="0">
                  <c:v>2030</c:v>
                </c:pt>
                <c:pt idx="1">
                  <c:v>Batteries</c:v>
                </c:pt>
              </c:strCache>
            </c:strRef>
          </c:tx>
          <c:spPr>
            <a:solidFill>
              <a:srgbClr val="C00000"/>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Flexibility!$W$31:$W$44</c:f>
              <c:numCache>
                <c:formatCode>#,##0</c:formatCode>
                <c:ptCount val="14"/>
                <c:pt idx="0">
                  <c:v>543.65438052594357</c:v>
                </c:pt>
                <c:pt idx="1">
                  <c:v>38.4376914997356</c:v>
                </c:pt>
                <c:pt idx="2">
                  <c:v>661.82331915377836</c:v>
                </c:pt>
                <c:pt idx="3">
                  <c:v>408.08068980522171</c:v>
                </c:pt>
                <c:pt idx="4">
                  <c:v>1487.8230566433542</c:v>
                </c:pt>
                <c:pt idx="5">
                  <c:v>133.75171869125762</c:v>
                </c:pt>
                <c:pt idx="6">
                  <c:v>5353.0410027126254</c:v>
                </c:pt>
                <c:pt idx="7">
                  <c:v>4254.2954078537796</c:v>
                </c:pt>
                <c:pt idx="8">
                  <c:v>13749.676681461286</c:v>
                </c:pt>
                <c:pt idx="9">
                  <c:v>3963.0138871483741</c:v>
                </c:pt>
                <c:pt idx="10">
                  <c:v>12389.299012036365</c:v>
                </c:pt>
                <c:pt idx="11">
                  <c:v>20392.219873670234</c:v>
                </c:pt>
                <c:pt idx="12">
                  <c:v>1304.7727783626831</c:v>
                </c:pt>
                <c:pt idx="13">
                  <c:v>18249.678950318259</c:v>
                </c:pt>
              </c:numCache>
            </c:numRef>
          </c:val>
          <c:extLst>
            <c:ext xmlns:c16="http://schemas.microsoft.com/office/drawing/2014/chart" uri="{C3380CC4-5D6E-409C-BE32-E72D297353CC}">
              <c16:uniqueId val="{00000002-AC4B-4421-92B3-0C1EBF378CE7}"/>
            </c:ext>
          </c:extLst>
        </c:ser>
        <c:ser>
          <c:idx val="3"/>
          <c:order val="3"/>
          <c:tx>
            <c:strRef>
              <c:f>Flexibility!$X$29:$X$30</c:f>
              <c:strCache>
                <c:ptCount val="2"/>
                <c:pt idx="0">
                  <c:v>2030</c:v>
                </c:pt>
                <c:pt idx="1">
                  <c:v>Gas</c:v>
                </c:pt>
              </c:strCache>
            </c:strRef>
          </c:tx>
          <c:spPr>
            <a:solidFill>
              <a:schemeClr val="accent4">
                <a:lumMod val="75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Flexibility!$X$31:$X$44</c:f>
              <c:numCache>
                <c:formatCode>#,##0</c:formatCode>
                <c:ptCount val="14"/>
                <c:pt idx="0">
                  <c:v>0</c:v>
                </c:pt>
                <c:pt idx="1">
                  <c:v>0</c:v>
                </c:pt>
                <c:pt idx="2">
                  <c:v>0</c:v>
                </c:pt>
                <c:pt idx="3">
                  <c:v>0</c:v>
                </c:pt>
                <c:pt idx="4">
                  <c:v>215.00000001000001</c:v>
                </c:pt>
                <c:pt idx="5">
                  <c:v>263.91000001999998</c:v>
                </c:pt>
                <c:pt idx="6">
                  <c:v>110.78899999999999</c:v>
                </c:pt>
                <c:pt idx="7">
                  <c:v>294</c:v>
                </c:pt>
                <c:pt idx="8">
                  <c:v>2835.8000001400001</c:v>
                </c:pt>
                <c:pt idx="9">
                  <c:v>6210</c:v>
                </c:pt>
                <c:pt idx="10">
                  <c:v>0</c:v>
                </c:pt>
                <c:pt idx="11">
                  <c:v>5810.7899999199999</c:v>
                </c:pt>
                <c:pt idx="12">
                  <c:v>636.00000010000008</c:v>
                </c:pt>
                <c:pt idx="13">
                  <c:v>12224.56800033</c:v>
                </c:pt>
              </c:numCache>
            </c:numRef>
          </c:val>
          <c:extLst>
            <c:ext xmlns:c16="http://schemas.microsoft.com/office/drawing/2014/chart" uri="{C3380CC4-5D6E-409C-BE32-E72D297353CC}">
              <c16:uniqueId val="{00000003-AC4B-4421-92B3-0C1EBF378CE7}"/>
            </c:ext>
          </c:extLst>
        </c:ser>
        <c:ser>
          <c:idx val="4"/>
          <c:order val="4"/>
          <c:tx>
            <c:strRef>
              <c:f>Flexibility!$Y$29:$Y$30</c:f>
              <c:strCache>
                <c:ptCount val="2"/>
                <c:pt idx="0">
                  <c:v>2040</c:v>
                </c:pt>
                <c:pt idx="1">
                  <c:v>HPS</c:v>
                </c:pt>
              </c:strCache>
            </c:strRef>
          </c:tx>
          <c:spPr>
            <a:solidFill>
              <a:srgbClr val="00B0F0"/>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Flexibility!$Y$31:$Y$44</c:f>
              <c:numCache>
                <c:formatCode>#,##0</c:formatCode>
                <c:ptCount val="14"/>
                <c:pt idx="0">
                  <c:v>0</c:v>
                </c:pt>
                <c:pt idx="1">
                  <c:v>0</c:v>
                </c:pt>
                <c:pt idx="2">
                  <c:v>0</c:v>
                </c:pt>
                <c:pt idx="3">
                  <c:v>-140</c:v>
                </c:pt>
                <c:pt idx="4">
                  <c:v>0</c:v>
                </c:pt>
                <c:pt idx="5">
                  <c:v>0</c:v>
                </c:pt>
                <c:pt idx="6">
                  <c:v>0</c:v>
                </c:pt>
                <c:pt idx="7">
                  <c:v>0</c:v>
                </c:pt>
                <c:pt idx="8">
                  <c:v>0</c:v>
                </c:pt>
                <c:pt idx="9">
                  <c:v>0</c:v>
                </c:pt>
                <c:pt idx="10">
                  <c:v>0</c:v>
                </c:pt>
                <c:pt idx="11">
                  <c:v>0</c:v>
                </c:pt>
                <c:pt idx="12">
                  <c:v>1043.1372070300004</c:v>
                </c:pt>
                <c:pt idx="13">
                  <c:v>270</c:v>
                </c:pt>
              </c:numCache>
            </c:numRef>
          </c:val>
          <c:extLst>
            <c:ext xmlns:c16="http://schemas.microsoft.com/office/drawing/2014/chart" uri="{C3380CC4-5D6E-409C-BE32-E72D297353CC}">
              <c16:uniqueId val="{00000004-AC4B-4421-92B3-0C1EBF378CE7}"/>
            </c:ext>
          </c:extLst>
        </c:ser>
        <c:ser>
          <c:idx val="5"/>
          <c:order val="5"/>
          <c:tx>
            <c:strRef>
              <c:f>Flexibility!$Z$29:$Z$30</c:f>
              <c:strCache>
                <c:ptCount val="2"/>
                <c:pt idx="0">
                  <c:v>2040</c:v>
                </c:pt>
                <c:pt idx="1">
                  <c:v>DSR</c:v>
                </c:pt>
              </c:strCache>
            </c:strRef>
          </c:tx>
          <c:spPr>
            <a:solidFill>
              <a:schemeClr val="accent6"/>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Flexibility!$Z$31:$Z$44</c:f>
              <c:numCache>
                <c:formatCode>#,##0</c:formatCode>
                <c:ptCount val="14"/>
                <c:pt idx="0">
                  <c:v>83.333333299999993</c:v>
                </c:pt>
                <c:pt idx="1">
                  <c:v>0</c:v>
                </c:pt>
                <c:pt idx="2">
                  <c:v>10</c:v>
                </c:pt>
                <c:pt idx="3">
                  <c:v>0</c:v>
                </c:pt>
                <c:pt idx="4">
                  <c:v>5433.3435050000007</c:v>
                </c:pt>
                <c:pt idx="5">
                  <c:v>0</c:v>
                </c:pt>
                <c:pt idx="6">
                  <c:v>0</c:v>
                </c:pt>
                <c:pt idx="7">
                  <c:v>143.34637459999976</c:v>
                </c:pt>
                <c:pt idx="8">
                  <c:v>0</c:v>
                </c:pt>
                <c:pt idx="9">
                  <c:v>0</c:v>
                </c:pt>
                <c:pt idx="10">
                  <c:v>1600</c:v>
                </c:pt>
                <c:pt idx="11">
                  <c:v>3673.96</c:v>
                </c:pt>
                <c:pt idx="12">
                  <c:v>0</c:v>
                </c:pt>
                <c:pt idx="13">
                  <c:v>1415.7350233499999</c:v>
                </c:pt>
              </c:numCache>
            </c:numRef>
          </c:val>
          <c:extLst>
            <c:ext xmlns:c16="http://schemas.microsoft.com/office/drawing/2014/chart" uri="{C3380CC4-5D6E-409C-BE32-E72D297353CC}">
              <c16:uniqueId val="{00000005-AC4B-4421-92B3-0C1EBF378CE7}"/>
            </c:ext>
          </c:extLst>
        </c:ser>
        <c:ser>
          <c:idx val="6"/>
          <c:order val="6"/>
          <c:tx>
            <c:strRef>
              <c:f>Flexibility!$AA$29:$AA$30</c:f>
              <c:strCache>
                <c:ptCount val="2"/>
                <c:pt idx="0">
                  <c:v>2040</c:v>
                </c:pt>
                <c:pt idx="1">
                  <c:v>Batteries</c:v>
                </c:pt>
              </c:strCache>
            </c:strRef>
          </c:tx>
          <c:spPr>
            <a:solidFill>
              <a:schemeClr val="accent6">
                <a:lumMod val="75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Flexibility!$AA$31:$AA$44</c:f>
              <c:numCache>
                <c:formatCode>#,##0</c:formatCode>
                <c:ptCount val="14"/>
                <c:pt idx="0">
                  <c:v>132.49168973429977</c:v>
                </c:pt>
                <c:pt idx="1">
                  <c:v>84.71406856942383</c:v>
                </c:pt>
                <c:pt idx="2">
                  <c:v>204.00624053079491</c:v>
                </c:pt>
                <c:pt idx="3">
                  <c:v>-110.5192215169908</c:v>
                </c:pt>
                <c:pt idx="4">
                  <c:v>736.48877680529199</c:v>
                </c:pt>
                <c:pt idx="5">
                  <c:v>146.77705864654416</c:v>
                </c:pt>
                <c:pt idx="6">
                  <c:v>-1529.2779221014084</c:v>
                </c:pt>
                <c:pt idx="7">
                  <c:v>4668.5977024315589</c:v>
                </c:pt>
                <c:pt idx="8">
                  <c:v>10574.993921895068</c:v>
                </c:pt>
                <c:pt idx="9">
                  <c:v>1985.0620219727061</c:v>
                </c:pt>
                <c:pt idx="10">
                  <c:v>7989.9575608505438</c:v>
                </c:pt>
                <c:pt idx="11">
                  <c:v>6919.3093248960249</c:v>
                </c:pt>
                <c:pt idx="12">
                  <c:v>1436.4765906784717</c:v>
                </c:pt>
                <c:pt idx="13">
                  <c:v>20026.914224217362</c:v>
                </c:pt>
              </c:numCache>
            </c:numRef>
          </c:val>
          <c:extLst>
            <c:ext xmlns:c16="http://schemas.microsoft.com/office/drawing/2014/chart" uri="{C3380CC4-5D6E-409C-BE32-E72D297353CC}">
              <c16:uniqueId val="{00000006-AC4B-4421-92B3-0C1EBF378CE7}"/>
            </c:ext>
          </c:extLst>
        </c:ser>
        <c:ser>
          <c:idx val="7"/>
          <c:order val="7"/>
          <c:tx>
            <c:strRef>
              <c:f>Flexibility!$AB$29:$AB$30</c:f>
              <c:strCache>
                <c:ptCount val="2"/>
                <c:pt idx="0">
                  <c:v>2040</c:v>
                </c:pt>
                <c:pt idx="1">
                  <c:v>Gas</c:v>
                </c:pt>
              </c:strCache>
            </c:strRef>
          </c:tx>
          <c:spPr>
            <a:solidFill>
              <a:schemeClr val="accent4">
                <a:lumMod val="60000"/>
                <a:lumOff val="40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Flexibility!$AB$31:$AB$44</c:f>
              <c:numCache>
                <c:formatCode>#,##0</c:formatCode>
                <c:ptCount val="14"/>
                <c:pt idx="0">
                  <c:v>0</c:v>
                </c:pt>
                <c:pt idx="1">
                  <c:v>0</c:v>
                </c:pt>
                <c:pt idx="2">
                  <c:v>808</c:v>
                </c:pt>
                <c:pt idx="3">
                  <c:v>878</c:v>
                </c:pt>
                <c:pt idx="4">
                  <c:v>-90.000000010000008</c:v>
                </c:pt>
                <c:pt idx="5">
                  <c:v>4810.12</c:v>
                </c:pt>
                <c:pt idx="6">
                  <c:v>9839</c:v>
                </c:pt>
                <c:pt idx="7">
                  <c:v>6331</c:v>
                </c:pt>
                <c:pt idx="8">
                  <c:v>7497.0000000300006</c:v>
                </c:pt>
                <c:pt idx="9">
                  <c:v>11390</c:v>
                </c:pt>
                <c:pt idx="10">
                  <c:v>377</c:v>
                </c:pt>
                <c:pt idx="11">
                  <c:v>28495.484622299999</c:v>
                </c:pt>
                <c:pt idx="12">
                  <c:v>16233</c:v>
                </c:pt>
                <c:pt idx="13">
                  <c:v>27676.299999969997</c:v>
                </c:pt>
              </c:numCache>
            </c:numRef>
          </c:val>
          <c:extLst>
            <c:ext xmlns:c16="http://schemas.microsoft.com/office/drawing/2014/chart" uri="{C3380CC4-5D6E-409C-BE32-E72D297353CC}">
              <c16:uniqueId val="{00000007-AC4B-4421-92B3-0C1EBF378CE7}"/>
            </c:ext>
          </c:extLst>
        </c:ser>
        <c:ser>
          <c:idx val="8"/>
          <c:order val="8"/>
          <c:tx>
            <c:strRef>
              <c:f>Flexibility!$AC$29:$AC$30</c:f>
              <c:strCache>
                <c:ptCount val="2"/>
                <c:pt idx="0">
                  <c:v>2050</c:v>
                </c:pt>
                <c:pt idx="1">
                  <c:v>HPS</c:v>
                </c:pt>
              </c:strCache>
            </c:strRef>
          </c:tx>
          <c:spPr>
            <a:solidFill>
              <a:schemeClr val="accent5">
                <a:lumMod val="60000"/>
                <a:lumOff val="40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Flexibility!$AC$31:$AC$44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8-AC4B-4421-92B3-0C1EBF378CE7}"/>
            </c:ext>
          </c:extLst>
        </c:ser>
        <c:ser>
          <c:idx val="9"/>
          <c:order val="9"/>
          <c:tx>
            <c:strRef>
              <c:f>Flexibility!$AD$29:$AD$30</c:f>
              <c:strCache>
                <c:ptCount val="2"/>
                <c:pt idx="0">
                  <c:v>2050</c:v>
                </c:pt>
                <c:pt idx="1">
                  <c:v>DSR</c:v>
                </c:pt>
              </c:strCache>
            </c:strRef>
          </c:tx>
          <c:spPr>
            <a:solidFill>
              <a:schemeClr val="accent6">
                <a:lumMod val="60000"/>
                <a:lumOff val="40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Flexibility!$AD$31:$AD$44</c:f>
              <c:numCache>
                <c:formatCode>#,##0</c:formatCode>
                <c:ptCount val="14"/>
                <c:pt idx="0">
                  <c:v>22.533333400000004</c:v>
                </c:pt>
                <c:pt idx="1">
                  <c:v>4.784000000000006</c:v>
                </c:pt>
                <c:pt idx="2">
                  <c:v>6.5</c:v>
                </c:pt>
                <c:pt idx="3">
                  <c:v>818.22000000000025</c:v>
                </c:pt>
                <c:pt idx="4">
                  <c:v>1290.1427559999975</c:v>
                </c:pt>
                <c:pt idx="5">
                  <c:v>0</c:v>
                </c:pt>
                <c:pt idx="6">
                  <c:v>226.04400501000009</c:v>
                </c:pt>
                <c:pt idx="7">
                  <c:v>284.84961840000005</c:v>
                </c:pt>
                <c:pt idx="8">
                  <c:v>91</c:v>
                </c:pt>
                <c:pt idx="9">
                  <c:v>0</c:v>
                </c:pt>
                <c:pt idx="10">
                  <c:v>208</c:v>
                </c:pt>
                <c:pt idx="11">
                  <c:v>1044.0403999999999</c:v>
                </c:pt>
                <c:pt idx="12">
                  <c:v>712.59499999999935</c:v>
                </c:pt>
                <c:pt idx="13">
                  <c:v>412.69799620000003</c:v>
                </c:pt>
              </c:numCache>
            </c:numRef>
          </c:val>
          <c:extLst>
            <c:ext xmlns:c16="http://schemas.microsoft.com/office/drawing/2014/chart" uri="{C3380CC4-5D6E-409C-BE32-E72D297353CC}">
              <c16:uniqueId val="{00000009-AC4B-4421-92B3-0C1EBF378CE7}"/>
            </c:ext>
          </c:extLst>
        </c:ser>
        <c:ser>
          <c:idx val="10"/>
          <c:order val="10"/>
          <c:tx>
            <c:strRef>
              <c:f>Flexibility!$AE$29:$AE$30</c:f>
              <c:strCache>
                <c:ptCount val="2"/>
                <c:pt idx="0">
                  <c:v>2050</c:v>
                </c:pt>
                <c:pt idx="1">
                  <c:v>Batteries</c:v>
                </c:pt>
              </c:strCache>
            </c:strRef>
          </c:tx>
          <c:spPr>
            <a:solidFill>
              <a:srgbClr val="FF8989"/>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Flexibility!$AE$31:$AE$44</c:f>
              <c:numCache>
                <c:formatCode>#,##0</c:formatCode>
                <c:ptCount val="14"/>
                <c:pt idx="0">
                  <c:v>51.95993537941979</c:v>
                </c:pt>
                <c:pt idx="1">
                  <c:v>4.1985872742530717</c:v>
                </c:pt>
                <c:pt idx="2">
                  <c:v>82.751927662716525</c:v>
                </c:pt>
                <c:pt idx="3">
                  <c:v>-34.056476980517687</c:v>
                </c:pt>
                <c:pt idx="4">
                  <c:v>278.98964961758202</c:v>
                </c:pt>
                <c:pt idx="5">
                  <c:v>185.13849826904959</c:v>
                </c:pt>
                <c:pt idx="6">
                  <c:v>365.45733777139822</c:v>
                </c:pt>
                <c:pt idx="7">
                  <c:v>1966.82236446155</c:v>
                </c:pt>
                <c:pt idx="8">
                  <c:v>3988.820495490465</c:v>
                </c:pt>
                <c:pt idx="9">
                  <c:v>568.48919265733093</c:v>
                </c:pt>
                <c:pt idx="10">
                  <c:v>8117.2292453973132</c:v>
                </c:pt>
                <c:pt idx="11">
                  <c:v>3719.7904060628643</c:v>
                </c:pt>
                <c:pt idx="12">
                  <c:v>1788.3997915990803</c:v>
                </c:pt>
                <c:pt idx="13">
                  <c:v>25261.119541599212</c:v>
                </c:pt>
              </c:numCache>
            </c:numRef>
          </c:val>
          <c:extLst>
            <c:ext xmlns:c16="http://schemas.microsoft.com/office/drawing/2014/chart" uri="{C3380CC4-5D6E-409C-BE32-E72D297353CC}">
              <c16:uniqueId val="{0000000A-AC4B-4421-92B3-0C1EBF378CE7}"/>
            </c:ext>
          </c:extLst>
        </c:ser>
        <c:ser>
          <c:idx val="11"/>
          <c:order val="11"/>
          <c:tx>
            <c:strRef>
              <c:f>Flexibility!$AF$29:$AF$30</c:f>
              <c:strCache>
                <c:ptCount val="2"/>
                <c:pt idx="0">
                  <c:v>2050</c:v>
                </c:pt>
                <c:pt idx="1">
                  <c:v>Gas</c:v>
                </c:pt>
              </c:strCache>
            </c:strRef>
          </c:tx>
          <c:spPr>
            <a:solidFill>
              <a:schemeClr val="accent4">
                <a:lumMod val="40000"/>
                <a:lumOff val="60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Flexibility!$AF$31:$AF$44</c:f>
              <c:numCache>
                <c:formatCode>#,##0</c:formatCode>
                <c:ptCount val="14"/>
                <c:pt idx="0">
                  <c:v>419.3234746</c:v>
                </c:pt>
                <c:pt idx="1">
                  <c:v>552.12907099999995</c:v>
                </c:pt>
                <c:pt idx="2">
                  <c:v>0</c:v>
                </c:pt>
                <c:pt idx="3">
                  <c:v>0</c:v>
                </c:pt>
                <c:pt idx="4">
                  <c:v>6.6118322899999953</c:v>
                </c:pt>
                <c:pt idx="5">
                  <c:v>873.34166200000072</c:v>
                </c:pt>
                <c:pt idx="6">
                  <c:v>-6493.1105200000011</c:v>
                </c:pt>
                <c:pt idx="7">
                  <c:v>8492.2644600000003</c:v>
                </c:pt>
                <c:pt idx="8">
                  <c:v>3430.0768100000005</c:v>
                </c:pt>
                <c:pt idx="9">
                  <c:v>7063.3700700000009</c:v>
                </c:pt>
                <c:pt idx="10">
                  <c:v>0</c:v>
                </c:pt>
                <c:pt idx="11">
                  <c:v>19971.107500699996</c:v>
                </c:pt>
                <c:pt idx="12">
                  <c:v>22937.894370000002</c:v>
                </c:pt>
                <c:pt idx="13">
                  <c:v>8433.2499996500046</c:v>
                </c:pt>
              </c:numCache>
            </c:numRef>
          </c:val>
          <c:extLst>
            <c:ext xmlns:c16="http://schemas.microsoft.com/office/drawing/2014/chart" uri="{C3380CC4-5D6E-409C-BE32-E72D297353CC}">
              <c16:uniqueId val="{0000000B-AC4B-4421-92B3-0C1EBF378CE7}"/>
            </c:ext>
          </c:extLst>
        </c:ser>
        <c:dLbls>
          <c:showLegendKey val="0"/>
          <c:showVal val="0"/>
          <c:showCatName val="0"/>
          <c:showSerName val="0"/>
          <c:showPercent val="0"/>
          <c:showBubbleSize val="0"/>
        </c:dLbls>
        <c:gapWidth val="50"/>
        <c:overlap val="100"/>
        <c:axId val="1133621999"/>
        <c:axId val="1244195391"/>
      </c:barChart>
      <c:catAx>
        <c:axId val="113362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44195391"/>
        <c:crosses val="autoZero"/>
        <c:auto val="1"/>
        <c:lblAlgn val="ctr"/>
        <c:lblOffset val="100"/>
        <c:noMultiLvlLbl val="0"/>
      </c:catAx>
      <c:valAx>
        <c:axId val="1244195391"/>
        <c:scaling>
          <c:orientation val="minMax"/>
          <c:max val="130000"/>
          <c:min val="-100"/>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33621999"/>
        <c:crosses val="autoZero"/>
        <c:crossBetween val="between"/>
        <c:minorUnit val="10000"/>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'Demand (old)'!$B$137</c:f>
              <c:strCache>
                <c:ptCount val="1"/>
                <c:pt idx="0">
                  <c:v>Households</c:v>
                </c:pt>
              </c:strCache>
            </c:strRef>
          </c:tx>
          <c:spPr>
            <a:solidFill>
              <a:schemeClr val="tx1"/>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(old)'!$B$138:$B$151</c15:sqref>
                  </c15:fullRef>
                </c:ext>
              </c:extLst>
              <c:f>('Demand (old)'!$B$138:$B$140,'Demand (old)'!$B$142:$B$151)</c:f>
              <c:numCache>
                <c:formatCode>0.0</c:formatCode>
                <c:ptCount val="13"/>
                <c:pt idx="0">
                  <c:v>2.111576813110585</c:v>
                </c:pt>
                <c:pt idx="1">
                  <c:v>1.6523386281414354</c:v>
                </c:pt>
                <c:pt idx="2">
                  <c:v>2.9127387221315666</c:v>
                </c:pt>
                <c:pt idx="3">
                  <c:v>24.142483306732149</c:v>
                </c:pt>
                <c:pt idx="4">
                  <c:v>9.758237114062764</c:v>
                </c:pt>
                <c:pt idx="5">
                  <c:v>45.961397149719552</c:v>
                </c:pt>
                <c:pt idx="6">
                  <c:v>16.848878942666087</c:v>
                </c:pt>
                <c:pt idx="7">
                  <c:v>23.020608525803496</c:v>
                </c:pt>
                <c:pt idx="8">
                  <c:v>27.808623684300141</c:v>
                </c:pt>
                <c:pt idx="9">
                  <c:v>72.986245663576753</c:v>
                </c:pt>
                <c:pt idx="10">
                  <c:v>105.41376793036197</c:v>
                </c:pt>
                <c:pt idx="11">
                  <c:v>147.54933996614554</c:v>
                </c:pt>
                <c:pt idx="12">
                  <c:v>125.26950242051855</c:v>
                </c:pt>
              </c:numCache>
            </c:numRef>
          </c:val>
          <c:extLst>
            <c:ext xmlns:c16="http://schemas.microsoft.com/office/drawing/2014/chart" uri="{C3380CC4-5D6E-409C-BE32-E72D297353CC}">
              <c16:uniqueId val="{00000000-488B-4972-9CC7-C4FCF49CA777}"/>
            </c:ext>
          </c:extLst>
        </c:ser>
        <c:ser>
          <c:idx val="1"/>
          <c:order val="1"/>
          <c:tx>
            <c:strRef>
              <c:f>'Demand (old)'!$C$137</c:f>
              <c:strCache>
                <c:ptCount val="1"/>
                <c:pt idx="0">
                  <c:v>Buildings</c:v>
                </c:pt>
              </c:strCache>
            </c:strRef>
          </c:tx>
          <c:spPr>
            <a:solidFill>
              <a:srgbClr val="66330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(old)'!$C$138:$C$151</c15:sqref>
                  </c15:fullRef>
                </c:ext>
              </c:extLst>
              <c:f>('Demand (old)'!$C$138:$C$140,'Demand (old)'!$C$142:$C$151)</c:f>
              <c:numCache>
                <c:formatCode>0.0</c:formatCode>
                <c:ptCount val="13"/>
                <c:pt idx="0">
                  <c:v>2.6073906524463841</c:v>
                </c:pt>
                <c:pt idx="1">
                  <c:v>2.4259820996468116</c:v>
                </c:pt>
                <c:pt idx="2">
                  <c:v>3.0953999568750752</c:v>
                </c:pt>
                <c:pt idx="3">
                  <c:v>18.496723118567548</c:v>
                </c:pt>
                <c:pt idx="4">
                  <c:v>8.5369914127732667</c:v>
                </c:pt>
                <c:pt idx="5">
                  <c:v>25.860808652649304</c:v>
                </c:pt>
                <c:pt idx="6">
                  <c:v>19.90063035145856</c:v>
                </c:pt>
                <c:pt idx="7">
                  <c:v>32.629185559677026</c:v>
                </c:pt>
                <c:pt idx="8">
                  <c:v>44.395861473465111</c:v>
                </c:pt>
                <c:pt idx="9">
                  <c:v>68.405060171341333</c:v>
                </c:pt>
                <c:pt idx="10">
                  <c:v>89.178913906190502</c:v>
                </c:pt>
                <c:pt idx="11">
                  <c:v>127.44248196798941</c:v>
                </c:pt>
                <c:pt idx="12">
                  <c:v>112.18381084093178</c:v>
                </c:pt>
              </c:numCache>
            </c:numRef>
          </c:val>
          <c:extLst>
            <c:ext xmlns:c16="http://schemas.microsoft.com/office/drawing/2014/chart" uri="{C3380CC4-5D6E-409C-BE32-E72D297353CC}">
              <c16:uniqueId val="{00000001-488B-4972-9CC7-C4FCF49CA777}"/>
            </c:ext>
          </c:extLst>
        </c:ser>
        <c:ser>
          <c:idx val="2"/>
          <c:order val="2"/>
          <c:tx>
            <c:strRef>
              <c:f>'Demand (old)'!$D$137</c:f>
              <c:strCache>
                <c:ptCount val="1"/>
                <c:pt idx="0">
                  <c:v>Industry</c:v>
                </c:pt>
              </c:strCache>
            </c:strRef>
          </c:tx>
          <c:spPr>
            <a:solidFill>
              <a:srgbClr val="FF000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(old)'!$D$138:$D$151</c15:sqref>
                  </c15:fullRef>
                </c:ext>
              </c:extLst>
              <c:f>('Demand (old)'!$D$138:$D$140,'Demand (old)'!$D$142:$D$151)</c:f>
              <c:numCache>
                <c:formatCode>0.0</c:formatCode>
                <c:ptCount val="13"/>
                <c:pt idx="0">
                  <c:v>2.9439000000015945</c:v>
                </c:pt>
                <c:pt idx="1">
                  <c:v>2.2929183333391974</c:v>
                </c:pt>
                <c:pt idx="2">
                  <c:v>5.1172666666694697</c:v>
                </c:pt>
                <c:pt idx="3">
                  <c:v>41.166333333363887</c:v>
                </c:pt>
                <c:pt idx="4">
                  <c:v>10.935953333337894</c:v>
                </c:pt>
                <c:pt idx="5">
                  <c:v>55.423944444485777</c:v>
                </c:pt>
                <c:pt idx="6">
                  <c:v>41.908422222246053</c:v>
                </c:pt>
                <c:pt idx="7">
                  <c:v>45.331309203355609</c:v>
                </c:pt>
                <c:pt idx="8">
                  <c:v>73.352501666753241</c:v>
                </c:pt>
                <c:pt idx="9">
                  <c:v>89.951833333411074</c:v>
                </c:pt>
                <c:pt idx="10">
                  <c:v>99.852868611171687</c:v>
                </c:pt>
                <c:pt idx="11">
                  <c:v>135.61282805559642</c:v>
                </c:pt>
                <c:pt idx="12">
                  <c:v>252.63388888901002</c:v>
                </c:pt>
              </c:numCache>
            </c:numRef>
          </c:val>
          <c:extLst>
            <c:ext xmlns:c16="http://schemas.microsoft.com/office/drawing/2014/chart" uri="{C3380CC4-5D6E-409C-BE32-E72D297353CC}">
              <c16:uniqueId val="{00000002-488B-4972-9CC7-C4FCF49CA777}"/>
            </c:ext>
          </c:extLst>
        </c:ser>
        <c:ser>
          <c:idx val="3"/>
          <c:order val="3"/>
          <c:tx>
            <c:strRef>
              <c:f>'Demand (old)'!$E$137</c:f>
              <c:strCache>
                <c:ptCount val="1"/>
                <c:pt idx="0">
                  <c:v>Transport</c:v>
                </c:pt>
              </c:strCache>
            </c:strRef>
          </c:tx>
          <c:spPr>
            <a:solidFill>
              <a:srgbClr val="FF990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(old)'!$E$138:$E$151</c15:sqref>
                  </c15:fullRef>
                </c:ext>
              </c:extLst>
              <c:f>('Demand (old)'!$E$138:$E$140,'Demand (old)'!$E$142:$E$151)</c:f>
              <c:numCache>
                <c:formatCode>0.0</c:formatCode>
                <c:ptCount val="13"/>
                <c:pt idx="0">
                  <c:v>3.3000000003937026E-2</c:v>
                </c:pt>
                <c:pt idx="1">
                  <c:v>0.10679694445020754</c:v>
                </c:pt>
                <c:pt idx="2">
                  <c:v>5.5000000002317466E-2</c:v>
                </c:pt>
                <c:pt idx="3">
                  <c:v>0.85900000001979415</c:v>
                </c:pt>
                <c:pt idx="4">
                  <c:v>0.46218805557782139</c:v>
                </c:pt>
                <c:pt idx="5">
                  <c:v>2.7380000000200972</c:v>
                </c:pt>
                <c:pt idx="6">
                  <c:v>1.7066000000879824</c:v>
                </c:pt>
                <c:pt idx="7">
                  <c:v>2.3635881600947357</c:v>
                </c:pt>
                <c:pt idx="8">
                  <c:v>3.1881597223481135</c:v>
                </c:pt>
                <c:pt idx="9">
                  <c:v>3.7390000001372554</c:v>
                </c:pt>
                <c:pt idx="10">
                  <c:v>6.5071830557322414</c:v>
                </c:pt>
                <c:pt idx="11">
                  <c:v>9.0084611112165938</c:v>
                </c:pt>
                <c:pt idx="12">
                  <c:v>11.676000000195845</c:v>
                </c:pt>
              </c:numCache>
            </c:numRef>
          </c:val>
          <c:extLst>
            <c:ext xmlns:c16="http://schemas.microsoft.com/office/drawing/2014/chart" uri="{C3380CC4-5D6E-409C-BE32-E72D297353CC}">
              <c16:uniqueId val="{00000003-488B-4972-9CC7-C4FCF49CA777}"/>
            </c:ext>
          </c:extLst>
        </c:ser>
        <c:ser>
          <c:idx val="4"/>
          <c:order val="4"/>
          <c:tx>
            <c:strRef>
              <c:f>'Demand (old)'!$F$137</c:f>
              <c:strCache>
                <c:ptCount val="1"/>
                <c:pt idx="0">
                  <c:v>Agriculture</c:v>
                </c:pt>
              </c:strCache>
            </c:strRef>
          </c:tx>
          <c:spPr>
            <a:solidFill>
              <a:srgbClr val="00206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(old)'!$F$138:$F$151</c15:sqref>
                  </c15:fullRef>
                </c:ext>
              </c:extLst>
              <c:f>('Demand (old)'!$F$138:$F$140,'Demand (old)'!$F$142:$F$151)</c:f>
              <c:numCache>
                <c:formatCode>0.0</c:formatCode>
                <c:ptCount val="13"/>
                <c:pt idx="0">
                  <c:v>0.13400000000000001</c:v>
                </c:pt>
                <c:pt idx="1">
                  <c:v>0.17919805555555557</c:v>
                </c:pt>
                <c:pt idx="2">
                  <c:v>0.21109999999999998</c:v>
                </c:pt>
                <c:pt idx="3">
                  <c:v>1.4749999999999999</c:v>
                </c:pt>
                <c:pt idx="4">
                  <c:v>1.8264880555555556</c:v>
                </c:pt>
                <c:pt idx="5">
                  <c:v>1.024</c:v>
                </c:pt>
                <c:pt idx="6">
                  <c:v>1.7981</c:v>
                </c:pt>
                <c:pt idx="7">
                  <c:v>11.446234369445026</c:v>
                </c:pt>
                <c:pt idx="8">
                  <c:v>1.8322511111111113</c:v>
                </c:pt>
                <c:pt idx="9">
                  <c:v>5.3769999999999998</c:v>
                </c:pt>
                <c:pt idx="10">
                  <c:v>3.1539988888888888</c:v>
                </c:pt>
                <c:pt idx="11">
                  <c:v>8.2687249999999999</c:v>
                </c:pt>
                <c:pt idx="12">
                  <c:v>5.0589999999999993</c:v>
                </c:pt>
              </c:numCache>
            </c:numRef>
          </c:val>
          <c:extLst>
            <c:ext xmlns:c16="http://schemas.microsoft.com/office/drawing/2014/chart" uri="{C3380CC4-5D6E-409C-BE32-E72D297353CC}">
              <c16:uniqueId val="{00000004-488B-4972-9CC7-C4FCF49CA777}"/>
            </c:ext>
          </c:extLst>
        </c:ser>
        <c:ser>
          <c:idx val="5"/>
          <c:order val="5"/>
          <c:tx>
            <c:strRef>
              <c:f>'Demand (old)'!$G$137</c:f>
              <c:strCache>
                <c:ptCount val="1"/>
                <c:pt idx="0">
                  <c:v>Other</c:v>
                </c:pt>
              </c:strCache>
            </c:strRef>
          </c:tx>
          <c:spPr>
            <a:solidFill>
              <a:srgbClr val="0070C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(old)'!$G$138:$G$151</c15:sqref>
                  </c15:fullRef>
                </c:ext>
              </c:extLst>
              <c:f>('Demand (old)'!$G$138:$G$140,'Demand (old)'!$G$142:$G$151)</c:f>
              <c:numCache>
                <c:formatCode>0.0</c:formatCode>
                <c:ptCount val="13"/>
                <c:pt idx="0">
                  <c:v>0</c:v>
                </c:pt>
                <c:pt idx="1">
                  <c:v>2.3388888888888887E-4</c:v>
                </c:pt>
                <c:pt idx="2">
                  <c:v>0</c:v>
                </c:pt>
                <c:pt idx="3">
                  <c:v>0</c:v>
                </c:pt>
                <c:pt idx="4">
                  <c:v>0</c:v>
                </c:pt>
                <c:pt idx="5">
                  <c:v>0</c:v>
                </c:pt>
                <c:pt idx="6">
                  <c:v>5.0199999999999995E-2</c:v>
                </c:pt>
                <c:pt idx="7">
                  <c:v>0</c:v>
                </c:pt>
                <c:pt idx="8">
                  <c:v>0</c:v>
                </c:pt>
                <c:pt idx="9">
                  <c:v>1.5760000000000001</c:v>
                </c:pt>
                <c:pt idx="10">
                  <c:v>0</c:v>
                </c:pt>
                <c:pt idx="11">
                  <c:v>1.1570119444444444</c:v>
                </c:pt>
                <c:pt idx="12">
                  <c:v>0</c:v>
                </c:pt>
              </c:numCache>
            </c:numRef>
          </c:val>
          <c:extLst>
            <c:ext xmlns:c16="http://schemas.microsoft.com/office/drawing/2014/chart" uri="{C3380CC4-5D6E-409C-BE32-E72D297353CC}">
              <c16:uniqueId val="{00000005-488B-4972-9CC7-C4FCF49CA777}"/>
            </c:ext>
          </c:extLst>
        </c:ser>
        <c:ser>
          <c:idx val="6"/>
          <c:order val="6"/>
          <c:tx>
            <c:strRef>
              <c:f>'Demand (old)'!$H$137</c:f>
              <c:strCache>
                <c:ptCount val="1"/>
                <c:pt idx="0">
                  <c:v>Energy</c:v>
                </c:pt>
              </c:strCache>
            </c:strRef>
          </c:tx>
          <c:spPr>
            <a:solidFill>
              <a:srgbClr val="00B0F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(old)'!$H$138:$H$151</c15:sqref>
                  </c15:fullRef>
                </c:ext>
              </c:extLst>
              <c:f>('Demand (old)'!$H$138:$H$140,'Demand (old)'!$H$142:$H$151)</c:f>
              <c:numCache>
                <c:formatCode>0.0</c:formatCode>
                <c:ptCount val="13"/>
                <c:pt idx="0">
                  <c:v>1.015485</c:v>
                </c:pt>
                <c:pt idx="1">
                  <c:v>0.4910788888888889</c:v>
                </c:pt>
                <c:pt idx="2">
                  <c:v>0.20699999999999999</c:v>
                </c:pt>
                <c:pt idx="3">
                  <c:v>2.597</c:v>
                </c:pt>
                <c:pt idx="4">
                  <c:v>0.83323888888888886</c:v>
                </c:pt>
                <c:pt idx="5">
                  <c:v>2.794</c:v>
                </c:pt>
                <c:pt idx="6">
                  <c:v>3.7263999999999999</c:v>
                </c:pt>
                <c:pt idx="7">
                  <c:v>3.4897908388888887</c:v>
                </c:pt>
                <c:pt idx="8">
                  <c:v>12.625531944444443</c:v>
                </c:pt>
                <c:pt idx="9">
                  <c:v>9.4610000000000003</c:v>
                </c:pt>
                <c:pt idx="10">
                  <c:v>12.505419999999999</c:v>
                </c:pt>
                <c:pt idx="11">
                  <c:v>23.869743055555556</c:v>
                </c:pt>
                <c:pt idx="12">
                  <c:v>31.053000000000001</c:v>
                </c:pt>
              </c:numCache>
            </c:numRef>
          </c:val>
          <c:extLst>
            <c:ext xmlns:c16="http://schemas.microsoft.com/office/drawing/2014/chart" uri="{C3380CC4-5D6E-409C-BE32-E72D297353CC}">
              <c16:uniqueId val="{00000006-488B-4972-9CC7-C4FCF49CA777}"/>
            </c:ext>
          </c:extLst>
        </c:ser>
        <c:ser>
          <c:idx val="7"/>
          <c:order val="7"/>
          <c:tx>
            <c:strRef>
              <c:f>'Demand (old)'!$I$137</c:f>
              <c:strCache>
                <c:ptCount val="1"/>
                <c:pt idx="0">
                  <c:v>Households</c:v>
                </c:pt>
              </c:strCache>
            </c:strRef>
          </c:tx>
          <c:spPr>
            <a:pattFill prst="lgCheck">
              <a:fgClr>
                <a:schemeClr val="tx1"/>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(old)'!$I$138:$I$151</c15:sqref>
                  </c15:fullRef>
                </c:ext>
              </c:extLst>
              <c:f>('Demand (old)'!$I$138:$I$140,'Demand (old)'!$I$142:$I$151)</c:f>
              <c:numCache>
                <c:formatCode>0.0</c:formatCode>
                <c:ptCount val="13"/>
                <c:pt idx="0">
                  <c:v>0.57117287518869686</c:v>
                </c:pt>
                <c:pt idx="1">
                  <c:v>0.28355908476442537</c:v>
                </c:pt>
                <c:pt idx="2">
                  <c:v>-0.10286634586714838</c:v>
                </c:pt>
                <c:pt idx="3">
                  <c:v>4.3270122153024282</c:v>
                </c:pt>
                <c:pt idx="4">
                  <c:v>-5.762639220433563E-2</c:v>
                </c:pt>
                <c:pt idx="5">
                  <c:v>-4.0552150807645049</c:v>
                </c:pt>
                <c:pt idx="6">
                  <c:v>4.6488154691638819</c:v>
                </c:pt>
                <c:pt idx="7">
                  <c:v>6.7703893319357036</c:v>
                </c:pt>
                <c:pt idx="8">
                  <c:v>8.2025019747361405</c:v>
                </c:pt>
                <c:pt idx="9">
                  <c:v>5.2288773689173951</c:v>
                </c:pt>
                <c:pt idx="10">
                  <c:v>16.002291822176772</c:v>
                </c:pt>
                <c:pt idx="11">
                  <c:v>-3.5529845241794931</c:v>
                </c:pt>
                <c:pt idx="12">
                  <c:v>28.398079350610445</c:v>
                </c:pt>
              </c:numCache>
            </c:numRef>
          </c:val>
          <c:extLst>
            <c:ext xmlns:c16="http://schemas.microsoft.com/office/drawing/2014/chart" uri="{C3380CC4-5D6E-409C-BE32-E72D297353CC}">
              <c16:uniqueId val="{00000007-488B-4972-9CC7-C4FCF49CA777}"/>
            </c:ext>
          </c:extLst>
        </c:ser>
        <c:ser>
          <c:idx val="8"/>
          <c:order val="8"/>
          <c:tx>
            <c:strRef>
              <c:f>'Demand (old)'!$J$137</c:f>
              <c:strCache>
                <c:ptCount val="1"/>
                <c:pt idx="0">
                  <c:v>Buildings</c:v>
                </c:pt>
              </c:strCache>
            </c:strRef>
          </c:tx>
          <c:spPr>
            <a:pattFill prst="lgCheck">
              <a:fgClr>
                <a:srgbClr val="6633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(old)'!$J$138:$J$151</c15:sqref>
                  </c15:fullRef>
                </c:ext>
              </c:extLst>
              <c:f>('Demand (old)'!$J$138:$J$140,'Demand (old)'!$J$142:$J$151)</c:f>
              <c:numCache>
                <c:formatCode>0.0</c:formatCode>
                <c:ptCount val="13"/>
                <c:pt idx="0">
                  <c:v>-0.10371304604144616</c:v>
                </c:pt>
                <c:pt idx="1">
                  <c:v>-0.28074911335360708</c:v>
                </c:pt>
                <c:pt idx="2">
                  <c:v>-0.19650762859872151</c:v>
                </c:pt>
                <c:pt idx="3">
                  <c:v>-1.6969079639031825</c:v>
                </c:pt>
                <c:pt idx="4">
                  <c:v>-0.1947042406988615</c:v>
                </c:pt>
                <c:pt idx="5">
                  <c:v>-4.0853585176666485</c:v>
                </c:pt>
                <c:pt idx="6">
                  <c:v>-0.8072289361569176</c:v>
                </c:pt>
                <c:pt idx="7">
                  <c:v>-4.3177443120352521</c:v>
                </c:pt>
                <c:pt idx="8">
                  <c:v>-6.8136971781907292</c:v>
                </c:pt>
                <c:pt idx="9">
                  <c:v>-11.353526420479639</c:v>
                </c:pt>
                <c:pt idx="10">
                  <c:v>14.303517687277449</c:v>
                </c:pt>
                <c:pt idx="11">
                  <c:v>-33.561713909915227</c:v>
                </c:pt>
                <c:pt idx="12">
                  <c:v>-7.0348525130517601</c:v>
                </c:pt>
              </c:numCache>
            </c:numRef>
          </c:val>
          <c:extLst>
            <c:ext xmlns:c16="http://schemas.microsoft.com/office/drawing/2014/chart" uri="{C3380CC4-5D6E-409C-BE32-E72D297353CC}">
              <c16:uniqueId val="{00000008-488B-4972-9CC7-C4FCF49CA777}"/>
            </c:ext>
          </c:extLst>
        </c:ser>
        <c:ser>
          <c:idx val="9"/>
          <c:order val="9"/>
          <c:tx>
            <c:strRef>
              <c:f>'Demand (old)'!$K$137</c:f>
              <c:strCache>
                <c:ptCount val="1"/>
                <c:pt idx="0">
                  <c:v>Industry</c:v>
                </c:pt>
              </c:strCache>
            </c:strRef>
          </c:tx>
          <c:spPr>
            <a:pattFill prst="lgCheck">
              <a:fgClr>
                <a:srgbClr val="FF00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(old)'!$K$138:$K$151</c15:sqref>
                  </c15:fullRef>
                </c:ext>
              </c:extLst>
              <c:f>('Demand (old)'!$K$138:$K$140,'Demand (old)'!$K$142:$K$151)</c:f>
              <c:numCache>
                <c:formatCode>0.0</c:formatCode>
                <c:ptCount val="13"/>
                <c:pt idx="0">
                  <c:v>-0.5712374990717386</c:v>
                </c:pt>
                <c:pt idx="1">
                  <c:v>7.9978737438343384E-2</c:v>
                </c:pt>
                <c:pt idx="2">
                  <c:v>0.30088249638067044</c:v>
                </c:pt>
                <c:pt idx="3">
                  <c:v>34.011193235328598</c:v>
                </c:pt>
                <c:pt idx="4">
                  <c:v>2.6000277938922824</c:v>
                </c:pt>
                <c:pt idx="5">
                  <c:v>51.338432207971444</c:v>
                </c:pt>
                <c:pt idx="6">
                  <c:v>29.58214527845022</c:v>
                </c:pt>
                <c:pt idx="7">
                  <c:v>45.334674566635236</c:v>
                </c:pt>
                <c:pt idx="8">
                  <c:v>11.617323634773854</c:v>
                </c:pt>
                <c:pt idx="9">
                  <c:v>-1.919217661678303</c:v>
                </c:pt>
                <c:pt idx="10">
                  <c:v>1.5960881378785103</c:v>
                </c:pt>
                <c:pt idx="11">
                  <c:v>18.540795788055647</c:v>
                </c:pt>
                <c:pt idx="12">
                  <c:v>115.93731892505011</c:v>
                </c:pt>
              </c:numCache>
            </c:numRef>
          </c:val>
          <c:extLst>
            <c:ext xmlns:c16="http://schemas.microsoft.com/office/drawing/2014/chart" uri="{C3380CC4-5D6E-409C-BE32-E72D297353CC}">
              <c16:uniqueId val="{00000009-488B-4972-9CC7-C4FCF49CA777}"/>
            </c:ext>
          </c:extLst>
        </c:ser>
        <c:ser>
          <c:idx val="10"/>
          <c:order val="10"/>
          <c:tx>
            <c:strRef>
              <c:f>'Demand (old)'!$L$137</c:f>
              <c:strCache>
                <c:ptCount val="1"/>
                <c:pt idx="0">
                  <c:v>Transport</c:v>
                </c:pt>
              </c:strCache>
            </c:strRef>
          </c:tx>
          <c:spPr>
            <a:pattFill prst="lgCheck">
              <a:fgClr>
                <a:srgbClr val="FF99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(old)'!$L$138:$L$151</c15:sqref>
                  </c15:fullRef>
                </c:ext>
              </c:extLst>
              <c:f>('Demand (old)'!$L$138:$L$140,'Demand (old)'!$L$142:$L$151)</c:f>
              <c:numCache>
                <c:formatCode>0.0</c:formatCode>
                <c:ptCount val="13"/>
                <c:pt idx="0">
                  <c:v>0.72958459492624728</c:v>
                </c:pt>
                <c:pt idx="1">
                  <c:v>1.3159848372834011</c:v>
                </c:pt>
                <c:pt idx="2">
                  <c:v>2.340448824268734</c:v>
                </c:pt>
                <c:pt idx="3">
                  <c:v>6.9168676893716228</c:v>
                </c:pt>
                <c:pt idx="4">
                  <c:v>8.2424279374291043</c:v>
                </c:pt>
                <c:pt idx="5">
                  <c:v>10.49414507920125</c:v>
                </c:pt>
                <c:pt idx="6">
                  <c:v>15.422197094433267</c:v>
                </c:pt>
                <c:pt idx="7">
                  <c:v>33.621443110743243</c:v>
                </c:pt>
                <c:pt idx="8">
                  <c:v>23.816054872647975</c:v>
                </c:pt>
                <c:pt idx="9">
                  <c:v>57.813446151531402</c:v>
                </c:pt>
                <c:pt idx="10">
                  <c:v>56.874255477033387</c:v>
                </c:pt>
                <c:pt idx="11">
                  <c:v>60.680690434277849</c:v>
                </c:pt>
                <c:pt idx="12">
                  <c:v>110.99916084403068</c:v>
                </c:pt>
              </c:numCache>
            </c:numRef>
          </c:val>
          <c:extLst>
            <c:ext xmlns:c16="http://schemas.microsoft.com/office/drawing/2014/chart" uri="{C3380CC4-5D6E-409C-BE32-E72D297353CC}">
              <c16:uniqueId val="{0000000A-488B-4972-9CC7-C4FCF49CA777}"/>
            </c:ext>
          </c:extLst>
        </c:ser>
        <c:ser>
          <c:idx val="11"/>
          <c:order val="11"/>
          <c:tx>
            <c:strRef>
              <c:f>'Demand (old)'!$M$137</c:f>
              <c:strCache>
                <c:ptCount val="1"/>
                <c:pt idx="0">
                  <c:v>Agriculture</c:v>
                </c:pt>
              </c:strCache>
            </c:strRef>
          </c:tx>
          <c:spPr>
            <a:pattFill prst="lgCheck">
              <a:fgClr>
                <a:srgbClr val="00206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(old)'!$M$138:$M$151</c15:sqref>
                  </c15:fullRef>
                </c:ext>
              </c:extLst>
              <c:f>('Demand (old)'!$M$138:$M$140,'Demand (old)'!$M$142:$M$151)</c:f>
              <c:numCache>
                <c:formatCode>0.0</c:formatCode>
                <c:ptCount val="13"/>
                <c:pt idx="0">
                  <c:v>2.6557127566685212E-2</c:v>
                </c:pt>
                <c:pt idx="1">
                  <c:v>3.6900255813428234E-2</c:v>
                </c:pt>
                <c:pt idx="2">
                  <c:v>3.6944735994339617E-2</c:v>
                </c:pt>
                <c:pt idx="3">
                  <c:v>0.38500217761868449</c:v>
                </c:pt>
                <c:pt idx="4">
                  <c:v>0.40330312834223569</c:v>
                </c:pt>
                <c:pt idx="5">
                  <c:v>0.21618851305479447</c:v>
                </c:pt>
                <c:pt idx="6">
                  <c:v>0.31106375526821339</c:v>
                </c:pt>
                <c:pt idx="7">
                  <c:v>1.7243275088057395</c:v>
                </c:pt>
                <c:pt idx="8">
                  <c:v>0.4355303881220145</c:v>
                </c:pt>
                <c:pt idx="9">
                  <c:v>1.212775749432554</c:v>
                </c:pt>
                <c:pt idx="10">
                  <c:v>0.57541574563878317</c:v>
                </c:pt>
                <c:pt idx="11">
                  <c:v>0.87629812714896893</c:v>
                </c:pt>
                <c:pt idx="12">
                  <c:v>1.2734502693700449</c:v>
                </c:pt>
              </c:numCache>
            </c:numRef>
          </c:val>
          <c:extLst>
            <c:ext xmlns:c16="http://schemas.microsoft.com/office/drawing/2014/chart" uri="{C3380CC4-5D6E-409C-BE32-E72D297353CC}">
              <c16:uniqueId val="{0000000B-488B-4972-9CC7-C4FCF49CA777}"/>
            </c:ext>
          </c:extLst>
        </c:ser>
        <c:ser>
          <c:idx val="12"/>
          <c:order val="12"/>
          <c:tx>
            <c:strRef>
              <c:f>'Demand (old)'!$N$137</c:f>
              <c:strCache>
                <c:ptCount val="1"/>
                <c:pt idx="0">
                  <c:v>Other</c:v>
                </c:pt>
              </c:strCache>
            </c:strRef>
          </c:tx>
          <c:spPr>
            <a:pattFill prst="lgCheck">
              <a:fgClr>
                <a:srgbClr val="0070C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(old)'!$N$138:$N$151</c15:sqref>
                  </c15:fullRef>
                </c:ext>
              </c:extLst>
              <c:f>('Demand (old)'!$N$138:$N$140,'Demand (old)'!$N$142:$N$151)</c:f>
              <c:numCache>
                <c:formatCode>0.0</c:formatCode>
                <c:ptCount val="13"/>
                <c:pt idx="0">
                  <c:v>0</c:v>
                </c:pt>
                <c:pt idx="1">
                  <c:v>0</c:v>
                </c:pt>
                <c:pt idx="2">
                  <c:v>0</c:v>
                </c:pt>
                <c:pt idx="3">
                  <c:v>0</c:v>
                </c:pt>
                <c:pt idx="4">
                  <c:v>0</c:v>
                </c:pt>
                <c:pt idx="5">
                  <c:v>0</c:v>
                </c:pt>
                <c:pt idx="6">
                  <c:v>0</c:v>
                </c:pt>
                <c:pt idx="7">
                  <c:v>0</c:v>
                </c:pt>
                <c:pt idx="8">
                  <c:v>0</c:v>
                </c:pt>
                <c:pt idx="9">
                  <c:v>0</c:v>
                </c:pt>
                <c:pt idx="10">
                  <c:v>0</c:v>
                </c:pt>
                <c:pt idx="11">
                  <c:v>1.1272761369321216</c:v>
                </c:pt>
                <c:pt idx="12">
                  <c:v>0</c:v>
                </c:pt>
              </c:numCache>
            </c:numRef>
          </c:val>
          <c:extLst>
            <c:ext xmlns:c16="http://schemas.microsoft.com/office/drawing/2014/chart" uri="{C3380CC4-5D6E-409C-BE32-E72D297353CC}">
              <c16:uniqueId val="{0000000C-488B-4972-9CC7-C4FCF49CA777}"/>
            </c:ext>
          </c:extLst>
        </c:ser>
        <c:ser>
          <c:idx val="13"/>
          <c:order val="13"/>
          <c:tx>
            <c:strRef>
              <c:f>'Demand (old)'!$O$137</c:f>
              <c:strCache>
                <c:ptCount val="1"/>
                <c:pt idx="0">
                  <c:v>Energy</c:v>
                </c:pt>
              </c:strCache>
            </c:strRef>
          </c:tx>
          <c:spPr>
            <a:pattFill prst="smCheck">
              <a:fgClr>
                <a:srgbClr val="00B0F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(old)'!$O$138:$O$151</c15:sqref>
                  </c15:fullRef>
                </c:ext>
              </c:extLst>
              <c:f>('Demand (old)'!$O$138:$O$140,'Demand (old)'!$O$142:$O$151)</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D-488B-4972-9CC7-C4FCF49CA777}"/>
            </c:ext>
          </c:extLst>
        </c:ser>
        <c:ser>
          <c:idx val="14"/>
          <c:order val="14"/>
          <c:tx>
            <c:strRef>
              <c:f>'Demand (old)'!$P$137</c:f>
              <c:strCache>
                <c:ptCount val="1"/>
                <c:pt idx="0">
                  <c:v>Households</c:v>
                </c:pt>
              </c:strCache>
            </c:strRef>
          </c:tx>
          <c:spPr>
            <a:pattFill prst="smCheck">
              <a:fgClr>
                <a:schemeClr val="tx1"/>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(old)'!$P$138:$P$151</c15:sqref>
                  </c15:fullRef>
                </c:ext>
              </c:extLst>
              <c:f>('Demand (old)'!$P$138:$P$140,'Demand (old)'!$P$142:$P$151)</c:f>
              <c:numCache>
                <c:formatCode>General</c:formatCode>
                <c:ptCount val="13"/>
                <c:pt idx="0">
                  <c:v>0</c:v>
                </c:pt>
                <c:pt idx="1">
                  <c:v>0.11763096200493121</c:v>
                </c:pt>
                <c:pt idx="2">
                  <c:v>0.14205332016086375</c:v>
                </c:pt>
                <c:pt idx="3">
                  <c:v>1.1544870285148175E-2</c:v>
                </c:pt>
                <c:pt idx="4">
                  <c:v>0</c:v>
                </c:pt>
                <c:pt idx="5">
                  <c:v>0.83013926630994306</c:v>
                </c:pt>
                <c:pt idx="6">
                  <c:v>0</c:v>
                </c:pt>
                <c:pt idx="7">
                  <c:v>0</c:v>
                </c:pt>
                <c:pt idx="8">
                  <c:v>2.8399662023590682</c:v>
                </c:pt>
                <c:pt idx="9">
                  <c:v>0</c:v>
                </c:pt>
                <c:pt idx="10">
                  <c:v>32.516989232978318</c:v>
                </c:pt>
                <c:pt idx="11">
                  <c:v>0</c:v>
                </c:pt>
                <c:pt idx="12">
                  <c:v>17.826879808832903</c:v>
                </c:pt>
              </c:numCache>
            </c:numRef>
          </c:val>
          <c:extLst>
            <c:ext xmlns:c16="http://schemas.microsoft.com/office/drawing/2014/chart" uri="{C3380CC4-5D6E-409C-BE32-E72D297353CC}">
              <c16:uniqueId val="{0000000E-488B-4972-9CC7-C4FCF49CA777}"/>
            </c:ext>
          </c:extLst>
        </c:ser>
        <c:ser>
          <c:idx val="15"/>
          <c:order val="15"/>
          <c:tx>
            <c:strRef>
              <c:f>'Demand (old)'!$Q$137</c:f>
              <c:strCache>
                <c:ptCount val="1"/>
                <c:pt idx="0">
                  <c:v>Buildings</c:v>
                </c:pt>
              </c:strCache>
            </c:strRef>
          </c:tx>
          <c:spPr>
            <a:pattFill prst="smCheck">
              <a:fgClr>
                <a:srgbClr val="6633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(old)'!$Q$138:$Q$151</c15:sqref>
                  </c15:fullRef>
                </c:ext>
              </c:extLst>
              <c:f>('Demand (old)'!$Q$138:$Q$140,'Demand (old)'!$Q$142:$Q$151)</c:f>
              <c:numCache>
                <c:formatCode>General</c:formatCode>
                <c:ptCount val="13"/>
                <c:pt idx="0">
                  <c:v>0</c:v>
                </c:pt>
                <c:pt idx="1">
                  <c:v>4.9501482845720174E-2</c:v>
                </c:pt>
                <c:pt idx="2">
                  <c:v>3.6742914878852215E-2</c:v>
                </c:pt>
                <c:pt idx="3">
                  <c:v>0</c:v>
                </c:pt>
                <c:pt idx="4">
                  <c:v>0</c:v>
                </c:pt>
                <c:pt idx="5">
                  <c:v>0.26589966381697389</c:v>
                </c:pt>
                <c:pt idx="6">
                  <c:v>0</c:v>
                </c:pt>
                <c:pt idx="7">
                  <c:v>0</c:v>
                </c:pt>
                <c:pt idx="8">
                  <c:v>0.70856663145759213</c:v>
                </c:pt>
                <c:pt idx="9">
                  <c:v>0</c:v>
                </c:pt>
                <c:pt idx="10">
                  <c:v>5.3564588837745664</c:v>
                </c:pt>
                <c:pt idx="11">
                  <c:v>0</c:v>
                </c:pt>
                <c:pt idx="12">
                  <c:v>4.2093363222680553</c:v>
                </c:pt>
              </c:numCache>
            </c:numRef>
          </c:val>
          <c:extLst>
            <c:ext xmlns:c16="http://schemas.microsoft.com/office/drawing/2014/chart" uri="{C3380CC4-5D6E-409C-BE32-E72D297353CC}">
              <c16:uniqueId val="{0000000F-488B-4972-9CC7-C4FCF49CA777}"/>
            </c:ext>
          </c:extLst>
        </c:ser>
        <c:ser>
          <c:idx val="16"/>
          <c:order val="16"/>
          <c:tx>
            <c:strRef>
              <c:f>'Demand (old)'!$R$137</c:f>
              <c:strCache>
                <c:ptCount val="1"/>
                <c:pt idx="0">
                  <c:v>Industry</c:v>
                </c:pt>
              </c:strCache>
            </c:strRef>
          </c:tx>
          <c:spPr>
            <a:pattFill prst="smCheck">
              <a:fgClr>
                <a:srgbClr val="FF00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(old)'!$R$138:$R$151</c15:sqref>
                  </c15:fullRef>
                </c:ext>
              </c:extLst>
              <c:f>('Demand (old)'!$R$138:$R$140,'Demand (old)'!$R$142:$R$151)</c:f>
              <c:numCache>
                <c:formatCode>General</c:formatCode>
                <c:ptCount val="13"/>
                <c:pt idx="0">
                  <c:v>0.38240054060350692</c:v>
                </c:pt>
                <c:pt idx="1">
                  <c:v>1.6287228189725729E-2</c:v>
                </c:pt>
                <c:pt idx="2">
                  <c:v>5.4419047526047812</c:v>
                </c:pt>
                <c:pt idx="3">
                  <c:v>14.717862089495886</c:v>
                </c:pt>
                <c:pt idx="4">
                  <c:v>0.92392844954308251</c:v>
                </c:pt>
                <c:pt idx="5">
                  <c:v>20.861410733848189</c:v>
                </c:pt>
                <c:pt idx="6">
                  <c:v>23.407950343861028</c:v>
                </c:pt>
                <c:pt idx="7">
                  <c:v>30.486970576847167</c:v>
                </c:pt>
                <c:pt idx="8">
                  <c:v>23.944666409478128</c:v>
                </c:pt>
                <c:pt idx="9">
                  <c:v>37.569458101808749</c:v>
                </c:pt>
                <c:pt idx="10">
                  <c:v>33.399189515954909</c:v>
                </c:pt>
                <c:pt idx="11">
                  <c:v>24.481843833585749</c:v>
                </c:pt>
                <c:pt idx="12">
                  <c:v>137.8418459265549</c:v>
                </c:pt>
              </c:numCache>
            </c:numRef>
          </c:val>
          <c:extLst>
            <c:ext xmlns:c16="http://schemas.microsoft.com/office/drawing/2014/chart" uri="{C3380CC4-5D6E-409C-BE32-E72D297353CC}">
              <c16:uniqueId val="{00000010-488B-4972-9CC7-C4FCF49CA777}"/>
            </c:ext>
          </c:extLst>
        </c:ser>
        <c:ser>
          <c:idx val="17"/>
          <c:order val="17"/>
          <c:tx>
            <c:strRef>
              <c:f>'Demand (old)'!$S$137</c:f>
              <c:strCache>
                <c:ptCount val="1"/>
                <c:pt idx="0">
                  <c:v>Transport</c:v>
                </c:pt>
              </c:strCache>
            </c:strRef>
          </c:tx>
          <c:spPr>
            <a:pattFill prst="smCheck">
              <a:fgClr>
                <a:srgbClr val="FF99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(old)'!$S$138:$S$151</c15:sqref>
                  </c15:fullRef>
                </c:ext>
              </c:extLst>
              <c:f>('Demand (old)'!$S$138:$S$140,'Demand (old)'!$S$142:$S$151)</c:f>
              <c:numCache>
                <c:formatCode>General</c:formatCode>
                <c:ptCount val="13"/>
                <c:pt idx="0">
                  <c:v>0.14899666051632551</c:v>
                </c:pt>
                <c:pt idx="1">
                  <c:v>0.50043110413676617</c:v>
                </c:pt>
                <c:pt idx="2">
                  <c:v>0.91488867243642791</c:v>
                </c:pt>
                <c:pt idx="3">
                  <c:v>0.84501964852259048</c:v>
                </c:pt>
                <c:pt idx="4">
                  <c:v>3.4995968194204279</c:v>
                </c:pt>
                <c:pt idx="5">
                  <c:v>0.28559387185581736</c:v>
                </c:pt>
                <c:pt idx="6">
                  <c:v>0.47844244165167948</c:v>
                </c:pt>
                <c:pt idx="7">
                  <c:v>2.4449511854134864</c:v>
                </c:pt>
                <c:pt idx="8">
                  <c:v>5.4989534807355467</c:v>
                </c:pt>
                <c:pt idx="9">
                  <c:v>7.0178543707002969</c:v>
                </c:pt>
                <c:pt idx="10">
                  <c:v>7.3972661401305233</c:v>
                </c:pt>
                <c:pt idx="11">
                  <c:v>3.3535240050230359</c:v>
                </c:pt>
                <c:pt idx="12">
                  <c:v>25.467546266897134</c:v>
                </c:pt>
              </c:numCache>
            </c:numRef>
          </c:val>
          <c:extLst>
            <c:ext xmlns:c16="http://schemas.microsoft.com/office/drawing/2014/chart" uri="{C3380CC4-5D6E-409C-BE32-E72D297353CC}">
              <c16:uniqueId val="{00000011-488B-4972-9CC7-C4FCF49CA777}"/>
            </c:ext>
          </c:extLst>
        </c:ser>
        <c:ser>
          <c:idx val="18"/>
          <c:order val="18"/>
          <c:tx>
            <c:strRef>
              <c:f>'Demand (old)'!$T$137</c:f>
              <c:strCache>
                <c:ptCount val="1"/>
                <c:pt idx="0">
                  <c:v>Agriculture</c:v>
                </c:pt>
              </c:strCache>
            </c:strRef>
          </c:tx>
          <c:spPr>
            <a:pattFill prst="smCheck">
              <a:fgClr>
                <a:srgbClr val="00206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(old)'!$T$138:$T$151</c15:sqref>
                  </c15:fullRef>
                </c:ext>
              </c:extLst>
              <c:f>('Demand (old)'!$T$138:$T$140,'Demand (old)'!$T$142:$T$151)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4.9622518944533733E-2</c:v>
                </c:pt>
                <c:pt idx="12">
                  <c:v>1.8846308331581791</c:v>
                </c:pt>
              </c:numCache>
            </c:numRef>
          </c:val>
          <c:extLst>
            <c:ext xmlns:c16="http://schemas.microsoft.com/office/drawing/2014/chart" uri="{C3380CC4-5D6E-409C-BE32-E72D297353CC}">
              <c16:uniqueId val="{00000012-488B-4972-9CC7-C4FCF49CA777}"/>
            </c:ext>
          </c:extLst>
        </c:ser>
        <c:ser>
          <c:idx val="19"/>
          <c:order val="19"/>
          <c:tx>
            <c:strRef>
              <c:f>'Demand (old)'!$U$137</c:f>
              <c:strCache>
                <c:ptCount val="1"/>
                <c:pt idx="0">
                  <c:v>Other</c:v>
                </c:pt>
              </c:strCache>
            </c:strRef>
          </c:tx>
          <c:spPr>
            <a:pattFill prst="smCheck">
              <a:fgClr>
                <a:srgbClr val="0070C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(old)'!$U$138:$U$151</c15:sqref>
                  </c15:fullRef>
                </c:ext>
              </c:extLst>
              <c:f>('Demand (old)'!$U$138:$U$140,'Demand (old)'!$U$142:$U$151)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13-488B-4972-9CC7-C4FCF49CA777}"/>
            </c:ext>
          </c:extLst>
        </c:ser>
        <c:ser>
          <c:idx val="20"/>
          <c:order val="20"/>
          <c:tx>
            <c:strRef>
              <c:f>'Demand (old)'!$V$137</c:f>
              <c:strCache>
                <c:ptCount val="1"/>
                <c:pt idx="0">
                  <c:v>Energy</c:v>
                </c:pt>
              </c:strCache>
            </c:strRef>
          </c:tx>
          <c:spPr>
            <a:pattFill prst="smCheck">
              <a:fgClr>
                <a:srgbClr val="00B0F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(old)'!$V$138:$V$151</c15:sqref>
                  </c15:fullRef>
                </c:ext>
              </c:extLst>
              <c:f>('Demand (old)'!$V$138:$V$140,'Demand (old)'!$V$142:$V$151)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14-488B-4972-9CC7-C4FCF49CA777}"/>
            </c:ext>
          </c:extLst>
        </c:ser>
        <c:dLbls>
          <c:showLegendKey val="0"/>
          <c:showVal val="0"/>
          <c:showCatName val="0"/>
          <c:showSerName val="0"/>
          <c:showPercent val="0"/>
          <c:showBubbleSize val="0"/>
        </c:dLbls>
        <c:gapWidth val="20"/>
        <c:overlap val="100"/>
        <c:axId val="1584086687"/>
        <c:axId val="1789689359"/>
      </c:barChart>
      <c:catAx>
        <c:axId val="158408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89689359"/>
        <c:crossesAt val="-100"/>
        <c:auto val="1"/>
        <c:lblAlgn val="ctr"/>
        <c:lblOffset val="100"/>
        <c:noMultiLvlLbl val="0"/>
      </c:catAx>
      <c:valAx>
        <c:axId val="1789689359"/>
        <c:scaling>
          <c:orientation val="minMax"/>
          <c:max val="1000"/>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84086687"/>
        <c:crosses val="autoZero"/>
        <c:crossBetween val="between"/>
        <c:majorUnit val="1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'Demand (old)'!$B$137</c:f>
              <c:strCache>
                <c:ptCount val="1"/>
                <c:pt idx="0">
                  <c:v>Households</c:v>
                </c:pt>
              </c:strCache>
            </c:strRef>
          </c:tx>
          <c:spPr>
            <a:solidFill>
              <a:schemeClr val="tx1"/>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(old)'!$B$138:$B$151</c15:sqref>
                  </c15:fullRef>
                </c:ext>
              </c:extLst>
              <c:f>('Demand (old)'!$B$138:$B$140,'Demand (old)'!$B$142:$B$151)</c:f>
              <c:numCache>
                <c:formatCode>0.0</c:formatCode>
                <c:ptCount val="13"/>
                <c:pt idx="0">
                  <c:v>2.111576813110585</c:v>
                </c:pt>
                <c:pt idx="1">
                  <c:v>1.6523386281414354</c:v>
                </c:pt>
                <c:pt idx="2">
                  <c:v>2.9127387221315666</c:v>
                </c:pt>
                <c:pt idx="3">
                  <c:v>24.142483306732149</c:v>
                </c:pt>
                <c:pt idx="4">
                  <c:v>9.758237114062764</c:v>
                </c:pt>
                <c:pt idx="5">
                  <c:v>45.961397149719552</c:v>
                </c:pt>
                <c:pt idx="6">
                  <c:v>16.848878942666087</c:v>
                </c:pt>
                <c:pt idx="7">
                  <c:v>23.020608525803496</c:v>
                </c:pt>
                <c:pt idx="8">
                  <c:v>27.808623684300141</c:v>
                </c:pt>
                <c:pt idx="9">
                  <c:v>72.986245663576753</c:v>
                </c:pt>
                <c:pt idx="10">
                  <c:v>105.41376793036197</c:v>
                </c:pt>
                <c:pt idx="11">
                  <c:v>147.54933996614554</c:v>
                </c:pt>
                <c:pt idx="12">
                  <c:v>125.26950242051855</c:v>
                </c:pt>
              </c:numCache>
            </c:numRef>
          </c:val>
          <c:extLst>
            <c:ext xmlns:c16="http://schemas.microsoft.com/office/drawing/2014/chart" uri="{C3380CC4-5D6E-409C-BE32-E72D297353CC}">
              <c16:uniqueId val="{00000000-B131-4765-AF54-94A16A68F152}"/>
            </c:ext>
          </c:extLst>
        </c:ser>
        <c:ser>
          <c:idx val="1"/>
          <c:order val="1"/>
          <c:tx>
            <c:strRef>
              <c:f>'Demand (old)'!$C$137</c:f>
              <c:strCache>
                <c:ptCount val="1"/>
                <c:pt idx="0">
                  <c:v>Buildings</c:v>
                </c:pt>
              </c:strCache>
            </c:strRef>
          </c:tx>
          <c:spPr>
            <a:solidFill>
              <a:srgbClr val="66330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(old)'!$C$138:$C$151</c15:sqref>
                  </c15:fullRef>
                </c:ext>
              </c:extLst>
              <c:f>('Demand (old)'!$C$138:$C$140,'Demand (old)'!$C$142:$C$151)</c:f>
              <c:numCache>
                <c:formatCode>0.0</c:formatCode>
                <c:ptCount val="13"/>
                <c:pt idx="0">
                  <c:v>2.6073906524463841</c:v>
                </c:pt>
                <c:pt idx="1">
                  <c:v>2.4259820996468116</c:v>
                </c:pt>
                <c:pt idx="2">
                  <c:v>3.0953999568750752</c:v>
                </c:pt>
                <c:pt idx="3">
                  <c:v>18.496723118567548</c:v>
                </c:pt>
                <c:pt idx="4">
                  <c:v>8.5369914127732667</c:v>
                </c:pt>
                <c:pt idx="5">
                  <c:v>25.860808652649304</c:v>
                </c:pt>
                <c:pt idx="6">
                  <c:v>19.90063035145856</c:v>
                </c:pt>
                <c:pt idx="7">
                  <c:v>32.629185559677026</c:v>
                </c:pt>
                <c:pt idx="8">
                  <c:v>44.395861473465111</c:v>
                </c:pt>
                <c:pt idx="9">
                  <c:v>68.405060171341333</c:v>
                </c:pt>
                <c:pt idx="10">
                  <c:v>89.178913906190502</c:v>
                </c:pt>
                <c:pt idx="11">
                  <c:v>127.44248196798941</c:v>
                </c:pt>
                <c:pt idx="12">
                  <c:v>112.18381084093178</c:v>
                </c:pt>
              </c:numCache>
            </c:numRef>
          </c:val>
          <c:extLst>
            <c:ext xmlns:c16="http://schemas.microsoft.com/office/drawing/2014/chart" uri="{C3380CC4-5D6E-409C-BE32-E72D297353CC}">
              <c16:uniqueId val="{00000001-B131-4765-AF54-94A16A68F152}"/>
            </c:ext>
          </c:extLst>
        </c:ser>
        <c:ser>
          <c:idx val="2"/>
          <c:order val="2"/>
          <c:tx>
            <c:strRef>
              <c:f>'Demand (old)'!$D$137</c:f>
              <c:strCache>
                <c:ptCount val="1"/>
                <c:pt idx="0">
                  <c:v>Industry</c:v>
                </c:pt>
              </c:strCache>
            </c:strRef>
          </c:tx>
          <c:spPr>
            <a:solidFill>
              <a:srgbClr val="FF000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(old)'!$D$138:$D$151</c15:sqref>
                  </c15:fullRef>
                </c:ext>
              </c:extLst>
              <c:f>('Demand (old)'!$D$138:$D$140,'Demand (old)'!$D$142:$D$151)</c:f>
              <c:numCache>
                <c:formatCode>0.0</c:formatCode>
                <c:ptCount val="13"/>
                <c:pt idx="0">
                  <c:v>2.9439000000015945</c:v>
                </c:pt>
                <c:pt idx="1">
                  <c:v>2.2929183333391974</c:v>
                </c:pt>
                <c:pt idx="2">
                  <c:v>5.1172666666694697</c:v>
                </c:pt>
                <c:pt idx="3">
                  <c:v>41.166333333363887</c:v>
                </c:pt>
                <c:pt idx="4">
                  <c:v>10.935953333337894</c:v>
                </c:pt>
                <c:pt idx="5">
                  <c:v>55.423944444485777</c:v>
                </c:pt>
                <c:pt idx="6">
                  <c:v>41.908422222246053</c:v>
                </c:pt>
                <c:pt idx="7">
                  <c:v>45.331309203355609</c:v>
                </c:pt>
                <c:pt idx="8">
                  <c:v>73.352501666753241</c:v>
                </c:pt>
                <c:pt idx="9">
                  <c:v>89.951833333411074</c:v>
                </c:pt>
                <c:pt idx="10">
                  <c:v>99.852868611171687</c:v>
                </c:pt>
                <c:pt idx="11">
                  <c:v>135.61282805559642</c:v>
                </c:pt>
                <c:pt idx="12">
                  <c:v>252.63388888901002</c:v>
                </c:pt>
              </c:numCache>
            </c:numRef>
          </c:val>
          <c:extLst>
            <c:ext xmlns:c16="http://schemas.microsoft.com/office/drawing/2014/chart" uri="{C3380CC4-5D6E-409C-BE32-E72D297353CC}">
              <c16:uniqueId val="{00000002-B131-4765-AF54-94A16A68F152}"/>
            </c:ext>
          </c:extLst>
        </c:ser>
        <c:ser>
          <c:idx val="3"/>
          <c:order val="3"/>
          <c:tx>
            <c:strRef>
              <c:f>'Demand (old)'!$E$137</c:f>
              <c:strCache>
                <c:ptCount val="1"/>
                <c:pt idx="0">
                  <c:v>Transport</c:v>
                </c:pt>
              </c:strCache>
            </c:strRef>
          </c:tx>
          <c:spPr>
            <a:solidFill>
              <a:srgbClr val="FF990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(old)'!$E$138:$E$151</c15:sqref>
                  </c15:fullRef>
                </c:ext>
              </c:extLst>
              <c:f>('Demand (old)'!$E$138:$E$140,'Demand (old)'!$E$142:$E$151)</c:f>
              <c:numCache>
                <c:formatCode>0.0</c:formatCode>
                <c:ptCount val="13"/>
                <c:pt idx="0">
                  <c:v>3.3000000003937026E-2</c:v>
                </c:pt>
                <c:pt idx="1">
                  <c:v>0.10679694445020754</c:v>
                </c:pt>
                <c:pt idx="2">
                  <c:v>5.5000000002317466E-2</c:v>
                </c:pt>
                <c:pt idx="3">
                  <c:v>0.85900000001979415</c:v>
                </c:pt>
                <c:pt idx="4">
                  <c:v>0.46218805557782139</c:v>
                </c:pt>
                <c:pt idx="5">
                  <c:v>2.7380000000200972</c:v>
                </c:pt>
                <c:pt idx="6">
                  <c:v>1.7066000000879824</c:v>
                </c:pt>
                <c:pt idx="7">
                  <c:v>2.3635881600947357</c:v>
                </c:pt>
                <c:pt idx="8">
                  <c:v>3.1881597223481135</c:v>
                </c:pt>
                <c:pt idx="9">
                  <c:v>3.7390000001372554</c:v>
                </c:pt>
                <c:pt idx="10">
                  <c:v>6.5071830557322414</c:v>
                </c:pt>
                <c:pt idx="11">
                  <c:v>9.0084611112165938</c:v>
                </c:pt>
                <c:pt idx="12">
                  <c:v>11.676000000195845</c:v>
                </c:pt>
              </c:numCache>
            </c:numRef>
          </c:val>
          <c:extLst>
            <c:ext xmlns:c16="http://schemas.microsoft.com/office/drawing/2014/chart" uri="{C3380CC4-5D6E-409C-BE32-E72D297353CC}">
              <c16:uniqueId val="{00000003-B131-4765-AF54-94A16A68F152}"/>
            </c:ext>
          </c:extLst>
        </c:ser>
        <c:ser>
          <c:idx val="4"/>
          <c:order val="4"/>
          <c:tx>
            <c:strRef>
              <c:f>'Demand (old)'!$F$137</c:f>
              <c:strCache>
                <c:ptCount val="1"/>
                <c:pt idx="0">
                  <c:v>Agriculture</c:v>
                </c:pt>
              </c:strCache>
            </c:strRef>
          </c:tx>
          <c:spPr>
            <a:solidFill>
              <a:srgbClr val="00206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(old)'!$F$138:$F$151</c15:sqref>
                  </c15:fullRef>
                </c:ext>
              </c:extLst>
              <c:f>('Demand (old)'!$F$138:$F$140,'Demand (old)'!$F$142:$F$151)</c:f>
              <c:numCache>
                <c:formatCode>0.0</c:formatCode>
                <c:ptCount val="13"/>
                <c:pt idx="0">
                  <c:v>0.13400000000000001</c:v>
                </c:pt>
                <c:pt idx="1">
                  <c:v>0.17919805555555557</c:v>
                </c:pt>
                <c:pt idx="2">
                  <c:v>0.21109999999999998</c:v>
                </c:pt>
                <c:pt idx="3">
                  <c:v>1.4749999999999999</c:v>
                </c:pt>
                <c:pt idx="4">
                  <c:v>1.8264880555555556</c:v>
                </c:pt>
                <c:pt idx="5">
                  <c:v>1.024</c:v>
                </c:pt>
                <c:pt idx="6">
                  <c:v>1.7981</c:v>
                </c:pt>
                <c:pt idx="7">
                  <c:v>11.446234369445026</c:v>
                </c:pt>
                <c:pt idx="8">
                  <c:v>1.8322511111111113</c:v>
                </c:pt>
                <c:pt idx="9">
                  <c:v>5.3769999999999998</c:v>
                </c:pt>
                <c:pt idx="10">
                  <c:v>3.1539988888888888</c:v>
                </c:pt>
                <c:pt idx="11">
                  <c:v>8.2687249999999999</c:v>
                </c:pt>
                <c:pt idx="12">
                  <c:v>5.0589999999999993</c:v>
                </c:pt>
              </c:numCache>
            </c:numRef>
          </c:val>
          <c:extLst>
            <c:ext xmlns:c16="http://schemas.microsoft.com/office/drawing/2014/chart" uri="{C3380CC4-5D6E-409C-BE32-E72D297353CC}">
              <c16:uniqueId val="{00000004-B131-4765-AF54-94A16A68F152}"/>
            </c:ext>
          </c:extLst>
        </c:ser>
        <c:ser>
          <c:idx val="5"/>
          <c:order val="5"/>
          <c:tx>
            <c:strRef>
              <c:f>'Demand (old)'!$G$137</c:f>
              <c:strCache>
                <c:ptCount val="1"/>
                <c:pt idx="0">
                  <c:v>Other</c:v>
                </c:pt>
              </c:strCache>
            </c:strRef>
          </c:tx>
          <c:spPr>
            <a:solidFill>
              <a:srgbClr val="0070C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(old)'!$G$138:$G$151</c15:sqref>
                  </c15:fullRef>
                </c:ext>
              </c:extLst>
              <c:f>('Demand (old)'!$G$138:$G$140,'Demand (old)'!$G$142:$G$151)</c:f>
              <c:numCache>
                <c:formatCode>0.0</c:formatCode>
                <c:ptCount val="13"/>
                <c:pt idx="0">
                  <c:v>0</c:v>
                </c:pt>
                <c:pt idx="1">
                  <c:v>2.3388888888888887E-4</c:v>
                </c:pt>
                <c:pt idx="2">
                  <c:v>0</c:v>
                </c:pt>
                <c:pt idx="3">
                  <c:v>0</c:v>
                </c:pt>
                <c:pt idx="4">
                  <c:v>0</c:v>
                </c:pt>
                <c:pt idx="5">
                  <c:v>0</c:v>
                </c:pt>
                <c:pt idx="6">
                  <c:v>5.0199999999999995E-2</c:v>
                </c:pt>
                <c:pt idx="7">
                  <c:v>0</c:v>
                </c:pt>
                <c:pt idx="8">
                  <c:v>0</c:v>
                </c:pt>
                <c:pt idx="9">
                  <c:v>1.5760000000000001</c:v>
                </c:pt>
                <c:pt idx="10">
                  <c:v>0</c:v>
                </c:pt>
                <c:pt idx="11">
                  <c:v>1.1570119444444444</c:v>
                </c:pt>
                <c:pt idx="12">
                  <c:v>0</c:v>
                </c:pt>
              </c:numCache>
            </c:numRef>
          </c:val>
          <c:extLst>
            <c:ext xmlns:c16="http://schemas.microsoft.com/office/drawing/2014/chart" uri="{C3380CC4-5D6E-409C-BE32-E72D297353CC}">
              <c16:uniqueId val="{00000005-B131-4765-AF54-94A16A68F152}"/>
            </c:ext>
          </c:extLst>
        </c:ser>
        <c:ser>
          <c:idx val="6"/>
          <c:order val="6"/>
          <c:tx>
            <c:strRef>
              <c:f>'Demand (old)'!$H$137</c:f>
              <c:strCache>
                <c:ptCount val="1"/>
                <c:pt idx="0">
                  <c:v>Energy</c:v>
                </c:pt>
              </c:strCache>
            </c:strRef>
          </c:tx>
          <c:spPr>
            <a:solidFill>
              <a:srgbClr val="00B0F0"/>
            </a:solid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(old)'!$H$138:$H$151</c15:sqref>
                  </c15:fullRef>
                </c:ext>
              </c:extLst>
              <c:f>('Demand (old)'!$H$138:$H$140,'Demand (old)'!$H$142:$H$151)</c:f>
              <c:numCache>
                <c:formatCode>0.0</c:formatCode>
                <c:ptCount val="13"/>
                <c:pt idx="0">
                  <c:v>1.015485</c:v>
                </c:pt>
                <c:pt idx="1">
                  <c:v>0.4910788888888889</c:v>
                </c:pt>
                <c:pt idx="2">
                  <c:v>0.20699999999999999</c:v>
                </c:pt>
                <c:pt idx="3">
                  <c:v>2.597</c:v>
                </c:pt>
                <c:pt idx="4">
                  <c:v>0.83323888888888886</c:v>
                </c:pt>
                <c:pt idx="5">
                  <c:v>2.794</c:v>
                </c:pt>
                <c:pt idx="6">
                  <c:v>3.7263999999999999</c:v>
                </c:pt>
                <c:pt idx="7">
                  <c:v>3.4897908388888887</c:v>
                </c:pt>
                <c:pt idx="8">
                  <c:v>12.625531944444443</c:v>
                </c:pt>
                <c:pt idx="9">
                  <c:v>9.4610000000000003</c:v>
                </c:pt>
                <c:pt idx="10">
                  <c:v>12.505419999999999</c:v>
                </c:pt>
                <c:pt idx="11">
                  <c:v>23.869743055555556</c:v>
                </c:pt>
                <c:pt idx="12">
                  <c:v>31.053000000000001</c:v>
                </c:pt>
              </c:numCache>
            </c:numRef>
          </c:val>
          <c:extLst>
            <c:ext xmlns:c16="http://schemas.microsoft.com/office/drawing/2014/chart" uri="{C3380CC4-5D6E-409C-BE32-E72D297353CC}">
              <c16:uniqueId val="{00000006-B131-4765-AF54-94A16A68F152}"/>
            </c:ext>
          </c:extLst>
        </c:ser>
        <c:ser>
          <c:idx val="7"/>
          <c:order val="7"/>
          <c:tx>
            <c:strRef>
              <c:f>'Demand (old)'!$I$137</c:f>
              <c:strCache>
                <c:ptCount val="1"/>
                <c:pt idx="0">
                  <c:v>Households</c:v>
                </c:pt>
              </c:strCache>
            </c:strRef>
          </c:tx>
          <c:spPr>
            <a:pattFill prst="lgCheck">
              <a:fgClr>
                <a:schemeClr val="tx1"/>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(old)'!$I$138:$I$151</c15:sqref>
                  </c15:fullRef>
                </c:ext>
              </c:extLst>
              <c:f>('Demand (old)'!$I$138:$I$140,'Demand (old)'!$I$142:$I$151)</c:f>
              <c:numCache>
                <c:formatCode>0.0</c:formatCode>
                <c:ptCount val="13"/>
                <c:pt idx="0">
                  <c:v>0.57117287518869686</c:v>
                </c:pt>
                <c:pt idx="1">
                  <c:v>0.28355908476442537</c:v>
                </c:pt>
                <c:pt idx="2">
                  <c:v>-0.10286634586714838</c:v>
                </c:pt>
                <c:pt idx="3">
                  <c:v>4.3270122153024282</c:v>
                </c:pt>
                <c:pt idx="4">
                  <c:v>-5.762639220433563E-2</c:v>
                </c:pt>
                <c:pt idx="5">
                  <c:v>-4.0552150807645049</c:v>
                </c:pt>
                <c:pt idx="6">
                  <c:v>4.6488154691638819</c:v>
                </c:pt>
                <c:pt idx="7">
                  <c:v>6.7703893319357036</c:v>
                </c:pt>
                <c:pt idx="8">
                  <c:v>8.2025019747361405</c:v>
                </c:pt>
                <c:pt idx="9">
                  <c:v>5.2288773689173951</c:v>
                </c:pt>
                <c:pt idx="10">
                  <c:v>16.002291822176772</c:v>
                </c:pt>
                <c:pt idx="11">
                  <c:v>-3.5529845241794931</c:v>
                </c:pt>
                <c:pt idx="12">
                  <c:v>28.398079350610445</c:v>
                </c:pt>
              </c:numCache>
            </c:numRef>
          </c:val>
          <c:extLst>
            <c:ext xmlns:c16="http://schemas.microsoft.com/office/drawing/2014/chart" uri="{C3380CC4-5D6E-409C-BE32-E72D297353CC}">
              <c16:uniqueId val="{00000007-B131-4765-AF54-94A16A68F152}"/>
            </c:ext>
          </c:extLst>
        </c:ser>
        <c:ser>
          <c:idx val="8"/>
          <c:order val="8"/>
          <c:tx>
            <c:strRef>
              <c:f>'Demand (old)'!$J$137</c:f>
              <c:strCache>
                <c:ptCount val="1"/>
                <c:pt idx="0">
                  <c:v>Buildings</c:v>
                </c:pt>
              </c:strCache>
            </c:strRef>
          </c:tx>
          <c:spPr>
            <a:pattFill prst="lgCheck">
              <a:fgClr>
                <a:srgbClr val="6633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(old)'!$J$138:$J$151</c15:sqref>
                  </c15:fullRef>
                </c:ext>
              </c:extLst>
              <c:f>('Demand (old)'!$J$138:$J$140,'Demand (old)'!$J$142:$J$151)</c:f>
              <c:numCache>
                <c:formatCode>0.0</c:formatCode>
                <c:ptCount val="13"/>
                <c:pt idx="0">
                  <c:v>-0.10371304604144616</c:v>
                </c:pt>
                <c:pt idx="1">
                  <c:v>-0.28074911335360708</c:v>
                </c:pt>
                <c:pt idx="2">
                  <c:v>-0.19650762859872151</c:v>
                </c:pt>
                <c:pt idx="3">
                  <c:v>-1.6969079639031825</c:v>
                </c:pt>
                <c:pt idx="4">
                  <c:v>-0.1947042406988615</c:v>
                </c:pt>
                <c:pt idx="5">
                  <c:v>-4.0853585176666485</c:v>
                </c:pt>
                <c:pt idx="6">
                  <c:v>-0.8072289361569176</c:v>
                </c:pt>
                <c:pt idx="7">
                  <c:v>-4.3177443120352521</c:v>
                </c:pt>
                <c:pt idx="8">
                  <c:v>-6.8136971781907292</c:v>
                </c:pt>
                <c:pt idx="9">
                  <c:v>-11.353526420479639</c:v>
                </c:pt>
                <c:pt idx="10">
                  <c:v>14.303517687277449</c:v>
                </c:pt>
                <c:pt idx="11">
                  <c:v>-33.561713909915227</c:v>
                </c:pt>
                <c:pt idx="12">
                  <c:v>-7.0348525130517601</c:v>
                </c:pt>
              </c:numCache>
            </c:numRef>
          </c:val>
          <c:extLst>
            <c:ext xmlns:c16="http://schemas.microsoft.com/office/drawing/2014/chart" uri="{C3380CC4-5D6E-409C-BE32-E72D297353CC}">
              <c16:uniqueId val="{00000008-B131-4765-AF54-94A16A68F152}"/>
            </c:ext>
          </c:extLst>
        </c:ser>
        <c:ser>
          <c:idx val="9"/>
          <c:order val="9"/>
          <c:tx>
            <c:strRef>
              <c:f>'Demand (old)'!$K$137</c:f>
              <c:strCache>
                <c:ptCount val="1"/>
                <c:pt idx="0">
                  <c:v>Industry</c:v>
                </c:pt>
              </c:strCache>
            </c:strRef>
          </c:tx>
          <c:spPr>
            <a:pattFill prst="lgCheck">
              <a:fgClr>
                <a:srgbClr val="FF00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(old)'!$K$138:$K$151</c15:sqref>
                  </c15:fullRef>
                </c:ext>
              </c:extLst>
              <c:f>('Demand (old)'!$K$138:$K$140,'Demand (old)'!$K$142:$K$151)</c:f>
              <c:numCache>
                <c:formatCode>0.0</c:formatCode>
                <c:ptCount val="13"/>
                <c:pt idx="0">
                  <c:v>-0.5712374990717386</c:v>
                </c:pt>
                <c:pt idx="1">
                  <c:v>7.9978737438343384E-2</c:v>
                </c:pt>
                <c:pt idx="2">
                  <c:v>0.30088249638067044</c:v>
                </c:pt>
                <c:pt idx="3">
                  <c:v>34.011193235328598</c:v>
                </c:pt>
                <c:pt idx="4">
                  <c:v>2.6000277938922824</c:v>
                </c:pt>
                <c:pt idx="5">
                  <c:v>51.338432207971444</c:v>
                </c:pt>
                <c:pt idx="6">
                  <c:v>29.58214527845022</c:v>
                </c:pt>
                <c:pt idx="7">
                  <c:v>45.334674566635236</c:v>
                </c:pt>
                <c:pt idx="8">
                  <c:v>11.617323634773854</c:v>
                </c:pt>
                <c:pt idx="9">
                  <c:v>-1.919217661678303</c:v>
                </c:pt>
                <c:pt idx="10">
                  <c:v>1.5960881378785103</c:v>
                </c:pt>
                <c:pt idx="11">
                  <c:v>18.540795788055647</c:v>
                </c:pt>
                <c:pt idx="12">
                  <c:v>115.93731892505011</c:v>
                </c:pt>
              </c:numCache>
            </c:numRef>
          </c:val>
          <c:extLst>
            <c:ext xmlns:c16="http://schemas.microsoft.com/office/drawing/2014/chart" uri="{C3380CC4-5D6E-409C-BE32-E72D297353CC}">
              <c16:uniqueId val="{00000009-B131-4765-AF54-94A16A68F152}"/>
            </c:ext>
          </c:extLst>
        </c:ser>
        <c:ser>
          <c:idx val="10"/>
          <c:order val="10"/>
          <c:tx>
            <c:strRef>
              <c:f>'Demand (old)'!$L$137</c:f>
              <c:strCache>
                <c:ptCount val="1"/>
                <c:pt idx="0">
                  <c:v>Transport</c:v>
                </c:pt>
              </c:strCache>
            </c:strRef>
          </c:tx>
          <c:spPr>
            <a:pattFill prst="lgCheck">
              <a:fgClr>
                <a:srgbClr val="FF99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(old)'!$L$138:$L$151</c15:sqref>
                  </c15:fullRef>
                </c:ext>
              </c:extLst>
              <c:f>('Demand (old)'!$L$138:$L$140,'Demand (old)'!$L$142:$L$151)</c:f>
              <c:numCache>
                <c:formatCode>0.0</c:formatCode>
                <c:ptCount val="13"/>
                <c:pt idx="0">
                  <c:v>0.72958459492624728</c:v>
                </c:pt>
                <c:pt idx="1">
                  <c:v>1.3159848372834011</c:v>
                </c:pt>
                <c:pt idx="2">
                  <c:v>2.340448824268734</c:v>
                </c:pt>
                <c:pt idx="3">
                  <c:v>6.9168676893716228</c:v>
                </c:pt>
                <c:pt idx="4">
                  <c:v>8.2424279374291043</c:v>
                </c:pt>
                <c:pt idx="5">
                  <c:v>10.49414507920125</c:v>
                </c:pt>
                <c:pt idx="6">
                  <c:v>15.422197094433267</c:v>
                </c:pt>
                <c:pt idx="7">
                  <c:v>33.621443110743243</c:v>
                </c:pt>
                <c:pt idx="8">
                  <c:v>23.816054872647975</c:v>
                </c:pt>
                <c:pt idx="9">
                  <c:v>57.813446151531402</c:v>
                </c:pt>
                <c:pt idx="10">
                  <c:v>56.874255477033387</c:v>
                </c:pt>
                <c:pt idx="11">
                  <c:v>60.680690434277849</c:v>
                </c:pt>
                <c:pt idx="12">
                  <c:v>110.99916084403068</c:v>
                </c:pt>
              </c:numCache>
            </c:numRef>
          </c:val>
          <c:extLst>
            <c:ext xmlns:c16="http://schemas.microsoft.com/office/drawing/2014/chart" uri="{C3380CC4-5D6E-409C-BE32-E72D297353CC}">
              <c16:uniqueId val="{0000000A-B131-4765-AF54-94A16A68F152}"/>
            </c:ext>
          </c:extLst>
        </c:ser>
        <c:ser>
          <c:idx val="11"/>
          <c:order val="11"/>
          <c:tx>
            <c:strRef>
              <c:f>'Demand (old)'!$M$137</c:f>
              <c:strCache>
                <c:ptCount val="1"/>
                <c:pt idx="0">
                  <c:v>Agriculture</c:v>
                </c:pt>
              </c:strCache>
            </c:strRef>
          </c:tx>
          <c:spPr>
            <a:pattFill prst="lgCheck">
              <a:fgClr>
                <a:srgbClr val="00206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(old)'!$M$138:$M$151</c15:sqref>
                  </c15:fullRef>
                </c:ext>
              </c:extLst>
              <c:f>('Demand (old)'!$M$138:$M$140,'Demand (old)'!$M$142:$M$151)</c:f>
              <c:numCache>
                <c:formatCode>0.0</c:formatCode>
                <c:ptCount val="13"/>
                <c:pt idx="0">
                  <c:v>2.6557127566685212E-2</c:v>
                </c:pt>
                <c:pt idx="1">
                  <c:v>3.6900255813428234E-2</c:v>
                </c:pt>
                <c:pt idx="2">
                  <c:v>3.6944735994339617E-2</c:v>
                </c:pt>
                <c:pt idx="3">
                  <c:v>0.38500217761868449</c:v>
                </c:pt>
                <c:pt idx="4">
                  <c:v>0.40330312834223569</c:v>
                </c:pt>
                <c:pt idx="5">
                  <c:v>0.21618851305479447</c:v>
                </c:pt>
                <c:pt idx="6">
                  <c:v>0.31106375526821339</c:v>
                </c:pt>
                <c:pt idx="7">
                  <c:v>1.7243275088057395</c:v>
                </c:pt>
                <c:pt idx="8">
                  <c:v>0.4355303881220145</c:v>
                </c:pt>
                <c:pt idx="9">
                  <c:v>1.212775749432554</c:v>
                </c:pt>
                <c:pt idx="10">
                  <c:v>0.57541574563878317</c:v>
                </c:pt>
                <c:pt idx="11">
                  <c:v>0.87629812714896893</c:v>
                </c:pt>
                <c:pt idx="12">
                  <c:v>1.2734502693700449</c:v>
                </c:pt>
              </c:numCache>
            </c:numRef>
          </c:val>
          <c:extLst>
            <c:ext xmlns:c16="http://schemas.microsoft.com/office/drawing/2014/chart" uri="{C3380CC4-5D6E-409C-BE32-E72D297353CC}">
              <c16:uniqueId val="{0000000B-B131-4765-AF54-94A16A68F152}"/>
            </c:ext>
          </c:extLst>
        </c:ser>
        <c:ser>
          <c:idx val="12"/>
          <c:order val="12"/>
          <c:tx>
            <c:strRef>
              <c:f>'Demand (old)'!$N$137</c:f>
              <c:strCache>
                <c:ptCount val="1"/>
                <c:pt idx="0">
                  <c:v>Other</c:v>
                </c:pt>
              </c:strCache>
            </c:strRef>
          </c:tx>
          <c:spPr>
            <a:pattFill prst="lgCheck">
              <a:fgClr>
                <a:srgbClr val="0070C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(old)'!$N$138:$N$151</c15:sqref>
                  </c15:fullRef>
                </c:ext>
              </c:extLst>
              <c:f>('Demand (old)'!$N$138:$N$140,'Demand (old)'!$N$142:$N$151)</c:f>
              <c:numCache>
                <c:formatCode>0.0</c:formatCode>
                <c:ptCount val="13"/>
                <c:pt idx="0">
                  <c:v>0</c:v>
                </c:pt>
                <c:pt idx="1">
                  <c:v>0</c:v>
                </c:pt>
                <c:pt idx="2">
                  <c:v>0</c:v>
                </c:pt>
                <c:pt idx="3">
                  <c:v>0</c:v>
                </c:pt>
                <c:pt idx="4">
                  <c:v>0</c:v>
                </c:pt>
                <c:pt idx="5">
                  <c:v>0</c:v>
                </c:pt>
                <c:pt idx="6">
                  <c:v>0</c:v>
                </c:pt>
                <c:pt idx="7">
                  <c:v>0</c:v>
                </c:pt>
                <c:pt idx="8">
                  <c:v>0</c:v>
                </c:pt>
                <c:pt idx="9">
                  <c:v>0</c:v>
                </c:pt>
                <c:pt idx="10">
                  <c:v>0</c:v>
                </c:pt>
                <c:pt idx="11">
                  <c:v>1.1272761369321216</c:v>
                </c:pt>
                <c:pt idx="12">
                  <c:v>0</c:v>
                </c:pt>
              </c:numCache>
            </c:numRef>
          </c:val>
          <c:extLst>
            <c:ext xmlns:c16="http://schemas.microsoft.com/office/drawing/2014/chart" uri="{C3380CC4-5D6E-409C-BE32-E72D297353CC}">
              <c16:uniqueId val="{0000000C-B131-4765-AF54-94A16A68F152}"/>
            </c:ext>
          </c:extLst>
        </c:ser>
        <c:ser>
          <c:idx val="13"/>
          <c:order val="13"/>
          <c:tx>
            <c:strRef>
              <c:f>'Demand (old)'!$O$137</c:f>
              <c:strCache>
                <c:ptCount val="1"/>
                <c:pt idx="0">
                  <c:v>Energy</c:v>
                </c:pt>
              </c:strCache>
            </c:strRef>
          </c:tx>
          <c:spPr>
            <a:pattFill prst="smCheck">
              <a:fgClr>
                <a:srgbClr val="00B0F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(old)'!$O$138:$O$151</c15:sqref>
                  </c15:fullRef>
                </c:ext>
              </c:extLst>
              <c:f>('Demand (old)'!$O$138:$O$140,'Demand (old)'!$O$142:$O$151)</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D-B131-4765-AF54-94A16A68F152}"/>
            </c:ext>
          </c:extLst>
        </c:ser>
        <c:ser>
          <c:idx val="14"/>
          <c:order val="14"/>
          <c:tx>
            <c:strRef>
              <c:f>'Demand (old)'!$P$137</c:f>
              <c:strCache>
                <c:ptCount val="1"/>
                <c:pt idx="0">
                  <c:v>Households</c:v>
                </c:pt>
              </c:strCache>
            </c:strRef>
          </c:tx>
          <c:spPr>
            <a:pattFill prst="smCheck">
              <a:fgClr>
                <a:schemeClr val="tx1"/>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(old)'!$P$138:$P$151</c15:sqref>
                  </c15:fullRef>
                </c:ext>
              </c:extLst>
              <c:f>('Demand (old)'!$P$138:$P$140,'Demand (old)'!$P$142:$P$151)</c:f>
              <c:numCache>
                <c:formatCode>General</c:formatCode>
                <c:ptCount val="13"/>
                <c:pt idx="0">
                  <c:v>0</c:v>
                </c:pt>
                <c:pt idx="1">
                  <c:v>0.11763096200493121</c:v>
                </c:pt>
                <c:pt idx="2">
                  <c:v>0.14205332016086375</c:v>
                </c:pt>
                <c:pt idx="3">
                  <c:v>1.1544870285148175E-2</c:v>
                </c:pt>
                <c:pt idx="4">
                  <c:v>0</c:v>
                </c:pt>
                <c:pt idx="5">
                  <c:v>0.83013926630994306</c:v>
                </c:pt>
                <c:pt idx="6">
                  <c:v>0</c:v>
                </c:pt>
                <c:pt idx="7">
                  <c:v>0</c:v>
                </c:pt>
                <c:pt idx="8">
                  <c:v>2.8399662023590682</c:v>
                </c:pt>
                <c:pt idx="9">
                  <c:v>0</c:v>
                </c:pt>
                <c:pt idx="10">
                  <c:v>32.516989232978318</c:v>
                </c:pt>
                <c:pt idx="11">
                  <c:v>0</c:v>
                </c:pt>
                <c:pt idx="12">
                  <c:v>17.826879808832903</c:v>
                </c:pt>
              </c:numCache>
            </c:numRef>
          </c:val>
          <c:extLst>
            <c:ext xmlns:c16="http://schemas.microsoft.com/office/drawing/2014/chart" uri="{C3380CC4-5D6E-409C-BE32-E72D297353CC}">
              <c16:uniqueId val="{0000000E-B131-4765-AF54-94A16A68F152}"/>
            </c:ext>
          </c:extLst>
        </c:ser>
        <c:ser>
          <c:idx val="15"/>
          <c:order val="15"/>
          <c:tx>
            <c:strRef>
              <c:f>'Demand (old)'!$Q$137</c:f>
              <c:strCache>
                <c:ptCount val="1"/>
                <c:pt idx="0">
                  <c:v>Buildings</c:v>
                </c:pt>
              </c:strCache>
            </c:strRef>
          </c:tx>
          <c:spPr>
            <a:pattFill prst="smCheck">
              <a:fgClr>
                <a:srgbClr val="6633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(old)'!$Q$138:$Q$151</c15:sqref>
                  </c15:fullRef>
                </c:ext>
              </c:extLst>
              <c:f>('Demand (old)'!$Q$138:$Q$140,'Demand (old)'!$Q$142:$Q$151)</c:f>
              <c:numCache>
                <c:formatCode>General</c:formatCode>
                <c:ptCount val="13"/>
                <c:pt idx="0">
                  <c:v>0</c:v>
                </c:pt>
                <c:pt idx="1">
                  <c:v>4.9501482845720174E-2</c:v>
                </c:pt>
                <c:pt idx="2">
                  <c:v>3.6742914878852215E-2</c:v>
                </c:pt>
                <c:pt idx="3">
                  <c:v>0</c:v>
                </c:pt>
                <c:pt idx="4">
                  <c:v>0</c:v>
                </c:pt>
                <c:pt idx="5">
                  <c:v>0.26589966381697389</c:v>
                </c:pt>
                <c:pt idx="6">
                  <c:v>0</c:v>
                </c:pt>
                <c:pt idx="7">
                  <c:v>0</c:v>
                </c:pt>
                <c:pt idx="8">
                  <c:v>0.70856663145759213</c:v>
                </c:pt>
                <c:pt idx="9">
                  <c:v>0</c:v>
                </c:pt>
                <c:pt idx="10">
                  <c:v>5.3564588837745664</c:v>
                </c:pt>
                <c:pt idx="11">
                  <c:v>0</c:v>
                </c:pt>
                <c:pt idx="12">
                  <c:v>4.2093363222680553</c:v>
                </c:pt>
              </c:numCache>
            </c:numRef>
          </c:val>
          <c:extLst>
            <c:ext xmlns:c16="http://schemas.microsoft.com/office/drawing/2014/chart" uri="{C3380CC4-5D6E-409C-BE32-E72D297353CC}">
              <c16:uniqueId val="{0000000F-B131-4765-AF54-94A16A68F152}"/>
            </c:ext>
          </c:extLst>
        </c:ser>
        <c:ser>
          <c:idx val="16"/>
          <c:order val="16"/>
          <c:tx>
            <c:strRef>
              <c:f>'Demand (old)'!$R$137</c:f>
              <c:strCache>
                <c:ptCount val="1"/>
                <c:pt idx="0">
                  <c:v>Industry</c:v>
                </c:pt>
              </c:strCache>
            </c:strRef>
          </c:tx>
          <c:spPr>
            <a:pattFill prst="smCheck">
              <a:fgClr>
                <a:srgbClr val="FF00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(old)'!$R$138:$R$151</c15:sqref>
                  </c15:fullRef>
                </c:ext>
              </c:extLst>
              <c:f>('Demand (old)'!$R$138:$R$140,'Demand (old)'!$R$142:$R$151)</c:f>
              <c:numCache>
                <c:formatCode>General</c:formatCode>
                <c:ptCount val="13"/>
                <c:pt idx="0">
                  <c:v>0.38240054060350692</c:v>
                </c:pt>
                <c:pt idx="1">
                  <c:v>1.6287228189725729E-2</c:v>
                </c:pt>
                <c:pt idx="2">
                  <c:v>5.4419047526047812</c:v>
                </c:pt>
                <c:pt idx="3">
                  <c:v>14.717862089495886</c:v>
                </c:pt>
                <c:pt idx="4">
                  <c:v>0.92392844954308251</c:v>
                </c:pt>
                <c:pt idx="5">
                  <c:v>20.861410733848189</c:v>
                </c:pt>
                <c:pt idx="6">
                  <c:v>23.407950343861028</c:v>
                </c:pt>
                <c:pt idx="7">
                  <c:v>30.486970576847167</c:v>
                </c:pt>
                <c:pt idx="8">
                  <c:v>23.944666409478128</c:v>
                </c:pt>
                <c:pt idx="9">
                  <c:v>37.569458101808749</c:v>
                </c:pt>
                <c:pt idx="10">
                  <c:v>33.399189515954909</c:v>
                </c:pt>
                <c:pt idx="11">
                  <c:v>24.481843833585749</c:v>
                </c:pt>
                <c:pt idx="12">
                  <c:v>137.8418459265549</c:v>
                </c:pt>
              </c:numCache>
            </c:numRef>
          </c:val>
          <c:extLst>
            <c:ext xmlns:c16="http://schemas.microsoft.com/office/drawing/2014/chart" uri="{C3380CC4-5D6E-409C-BE32-E72D297353CC}">
              <c16:uniqueId val="{00000010-B131-4765-AF54-94A16A68F152}"/>
            </c:ext>
          </c:extLst>
        </c:ser>
        <c:ser>
          <c:idx val="17"/>
          <c:order val="17"/>
          <c:tx>
            <c:strRef>
              <c:f>'Demand (old)'!$S$137</c:f>
              <c:strCache>
                <c:ptCount val="1"/>
                <c:pt idx="0">
                  <c:v>Transport</c:v>
                </c:pt>
              </c:strCache>
            </c:strRef>
          </c:tx>
          <c:spPr>
            <a:pattFill prst="smCheck">
              <a:fgClr>
                <a:srgbClr val="FF990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(old)'!$S$138:$S$151</c15:sqref>
                  </c15:fullRef>
                </c:ext>
              </c:extLst>
              <c:f>('Demand (old)'!$S$138:$S$140,'Demand (old)'!$S$142:$S$151)</c:f>
              <c:numCache>
                <c:formatCode>General</c:formatCode>
                <c:ptCount val="13"/>
                <c:pt idx="0">
                  <c:v>0.14899666051632551</c:v>
                </c:pt>
                <c:pt idx="1">
                  <c:v>0.50043110413676617</c:v>
                </c:pt>
                <c:pt idx="2">
                  <c:v>0.91488867243642791</c:v>
                </c:pt>
                <c:pt idx="3">
                  <c:v>0.84501964852259048</c:v>
                </c:pt>
                <c:pt idx="4">
                  <c:v>3.4995968194204279</c:v>
                </c:pt>
                <c:pt idx="5">
                  <c:v>0.28559387185581736</c:v>
                </c:pt>
                <c:pt idx="6">
                  <c:v>0.47844244165167948</c:v>
                </c:pt>
                <c:pt idx="7">
                  <c:v>2.4449511854134864</c:v>
                </c:pt>
                <c:pt idx="8">
                  <c:v>5.4989534807355467</c:v>
                </c:pt>
                <c:pt idx="9">
                  <c:v>7.0178543707002969</c:v>
                </c:pt>
                <c:pt idx="10">
                  <c:v>7.3972661401305233</c:v>
                </c:pt>
                <c:pt idx="11">
                  <c:v>3.3535240050230359</c:v>
                </c:pt>
                <c:pt idx="12">
                  <c:v>25.467546266897134</c:v>
                </c:pt>
              </c:numCache>
            </c:numRef>
          </c:val>
          <c:extLst>
            <c:ext xmlns:c16="http://schemas.microsoft.com/office/drawing/2014/chart" uri="{C3380CC4-5D6E-409C-BE32-E72D297353CC}">
              <c16:uniqueId val="{00000011-B131-4765-AF54-94A16A68F152}"/>
            </c:ext>
          </c:extLst>
        </c:ser>
        <c:ser>
          <c:idx val="18"/>
          <c:order val="18"/>
          <c:tx>
            <c:strRef>
              <c:f>'Demand (old)'!$T$137</c:f>
              <c:strCache>
                <c:ptCount val="1"/>
                <c:pt idx="0">
                  <c:v>Agriculture</c:v>
                </c:pt>
              </c:strCache>
            </c:strRef>
          </c:tx>
          <c:spPr>
            <a:pattFill prst="smCheck">
              <a:fgClr>
                <a:srgbClr val="00206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(old)'!$T$138:$T$151</c15:sqref>
                  </c15:fullRef>
                </c:ext>
              </c:extLst>
              <c:f>('Demand (old)'!$T$138:$T$140,'Demand (old)'!$T$142:$T$151)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4.9622518944533733E-2</c:v>
                </c:pt>
                <c:pt idx="12">
                  <c:v>1.8846308331581791</c:v>
                </c:pt>
              </c:numCache>
            </c:numRef>
          </c:val>
          <c:extLst>
            <c:ext xmlns:c16="http://schemas.microsoft.com/office/drawing/2014/chart" uri="{C3380CC4-5D6E-409C-BE32-E72D297353CC}">
              <c16:uniqueId val="{00000012-B131-4765-AF54-94A16A68F152}"/>
            </c:ext>
          </c:extLst>
        </c:ser>
        <c:ser>
          <c:idx val="19"/>
          <c:order val="19"/>
          <c:tx>
            <c:strRef>
              <c:f>'Demand (old)'!$U$137</c:f>
              <c:strCache>
                <c:ptCount val="1"/>
                <c:pt idx="0">
                  <c:v>Other</c:v>
                </c:pt>
              </c:strCache>
            </c:strRef>
          </c:tx>
          <c:spPr>
            <a:pattFill prst="smCheck">
              <a:fgClr>
                <a:srgbClr val="0070C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(old)'!$U$138:$U$151</c15:sqref>
                  </c15:fullRef>
                </c:ext>
              </c:extLst>
              <c:f>('Demand (old)'!$U$138:$U$140,'Demand (old)'!$U$142:$U$151)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13-B131-4765-AF54-94A16A68F152}"/>
            </c:ext>
          </c:extLst>
        </c:ser>
        <c:ser>
          <c:idx val="20"/>
          <c:order val="20"/>
          <c:tx>
            <c:strRef>
              <c:f>'Demand (old)'!$V$137</c:f>
              <c:strCache>
                <c:ptCount val="1"/>
                <c:pt idx="0">
                  <c:v>Energy</c:v>
                </c:pt>
              </c:strCache>
            </c:strRef>
          </c:tx>
          <c:spPr>
            <a:pattFill prst="smCheck">
              <a:fgClr>
                <a:srgbClr val="00B0F0"/>
              </a:fgClr>
              <a:bgClr>
                <a:schemeClr val="bg1"/>
              </a:bgClr>
            </a:pattFill>
            <a:ln>
              <a:noFill/>
            </a:ln>
            <a:effectLst/>
          </c:spPr>
          <c:invertIfNegative val="0"/>
          <c:cat>
            <c:strRef>
              <c:extLst>
                <c:ext xmlns:c15="http://schemas.microsoft.com/office/drawing/2012/chart" uri="{02D57815-91ED-43cb-92C2-25804820EDAC}">
                  <c15:fullRef>
                    <c15:sqref>'Demand (old)'!$A$138:$A$151</c15:sqref>
                  </c15:fullRef>
                </c:ext>
              </c:extLst>
              <c:f>('Demand (old)'!$A$138:$A$140,'Demand (old)'!$A$142:$A$151)</c:f>
              <c:strCache>
                <c:ptCount val="13"/>
                <c:pt idx="0">
                  <c:v>Estonia</c:v>
                </c:pt>
                <c:pt idx="1">
                  <c:v>Latvia</c:v>
                </c:pt>
                <c:pt idx="2">
                  <c:v>Lithuania</c:v>
                </c:pt>
                <c:pt idx="3">
                  <c:v>Finland</c:v>
                </c:pt>
                <c:pt idx="4">
                  <c:v>Denmark</c:v>
                </c:pt>
                <c:pt idx="5">
                  <c:v>Sweden</c:v>
                </c:pt>
                <c:pt idx="6">
                  <c:v>Belgium</c:v>
                </c:pt>
                <c:pt idx="7">
                  <c:v>Netherlands</c:v>
                </c:pt>
                <c:pt idx="8">
                  <c:v>Poland</c:v>
                </c:pt>
                <c:pt idx="9">
                  <c:v>Spain</c:v>
                </c:pt>
                <c:pt idx="10">
                  <c:v>UK</c:v>
                </c:pt>
                <c:pt idx="11">
                  <c:v>France</c:v>
                </c:pt>
                <c:pt idx="12">
                  <c:v>Germany</c:v>
                </c:pt>
              </c:strCache>
            </c:strRef>
          </c:cat>
          <c:val>
            <c:numRef>
              <c:extLst>
                <c:ext xmlns:c15="http://schemas.microsoft.com/office/drawing/2012/chart" uri="{02D57815-91ED-43cb-92C2-25804820EDAC}">
                  <c15:fullRef>
                    <c15:sqref>'Demand (old)'!$V$138:$V$151</c15:sqref>
                  </c15:fullRef>
                </c:ext>
              </c:extLst>
              <c:f>('Demand (old)'!$V$138:$V$140,'Demand (old)'!$V$142:$V$151)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14-B131-4765-AF54-94A16A68F152}"/>
            </c:ext>
          </c:extLst>
        </c:ser>
        <c:dLbls>
          <c:showLegendKey val="0"/>
          <c:showVal val="0"/>
          <c:showCatName val="0"/>
          <c:showSerName val="0"/>
          <c:showPercent val="0"/>
          <c:showBubbleSize val="0"/>
        </c:dLbls>
        <c:gapWidth val="20"/>
        <c:overlap val="100"/>
        <c:axId val="1584086687"/>
        <c:axId val="1789689359"/>
      </c:barChart>
      <c:catAx>
        <c:axId val="158408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89689359"/>
        <c:crossesAt val="-100"/>
        <c:auto val="1"/>
        <c:lblAlgn val="ctr"/>
        <c:lblOffset val="100"/>
        <c:noMultiLvlLbl val="0"/>
      </c:catAx>
      <c:valAx>
        <c:axId val="1789689359"/>
        <c:scaling>
          <c:orientation val="minMax"/>
          <c:max val="1000"/>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84086687"/>
        <c:crosses val="autoZero"/>
        <c:crossBetween val="between"/>
        <c:majorUnit val="1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'Summary (old)'!$B$58</c:f>
              <c:strCache>
                <c:ptCount val="1"/>
                <c:pt idx="0">
                  <c:v>Households</c:v>
                </c:pt>
              </c:strCache>
            </c:strRef>
          </c:tx>
          <c:spPr>
            <a:solidFill>
              <a:schemeClr val="accent6">
                <a:lumMod val="75000"/>
              </a:schemeClr>
            </a:solidFill>
            <a:ln>
              <a:noFill/>
            </a:ln>
            <a:effectLst/>
          </c:spPr>
          <c:invertIfNegative val="0"/>
          <c:dLbls>
            <c:dLbl>
              <c:idx val="0"/>
              <c:showLegendKey val="0"/>
              <c:showVal val="0"/>
              <c:showCatName val="0"/>
              <c:showSerName val="1"/>
              <c:showPercent val="0"/>
              <c:showBubbleSize val="0"/>
              <c:extLst>
                <c:ext xmlns:c15="http://schemas.microsoft.com/office/drawing/2012/chart" uri="{CE6537A1-D6FC-4f65-9D91-7224C49458BB}">
                  <c15:layout>
                    <c:manualLayout>
                      <c:w val="0.58392611111111115"/>
                      <c:h val="7.3407175925925924E-2"/>
                    </c:manualLayout>
                  </c15:layout>
                </c:ext>
                <c:ext xmlns:c16="http://schemas.microsoft.com/office/drawing/2014/chart" uri="{C3380CC4-5D6E-409C-BE32-E72D297353CC}">
                  <c16:uniqueId val="{00000015-E531-4AFE-9C01-B1A576661D3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'Summary (old)'!$C$58</c:f>
              <c:numCache>
                <c:formatCode>#,##0.0</c:formatCode>
                <c:ptCount val="1"/>
                <c:pt idx="0">
                  <c:v>605.43573886727052</c:v>
                </c:pt>
              </c:numCache>
            </c:numRef>
          </c:val>
          <c:extLst>
            <c:ext xmlns:c16="http://schemas.microsoft.com/office/drawing/2014/chart" uri="{C3380CC4-5D6E-409C-BE32-E72D297353CC}">
              <c16:uniqueId val="{00000000-E531-4AFE-9C01-B1A576661D33}"/>
            </c:ext>
          </c:extLst>
        </c:ser>
        <c:ser>
          <c:idx val="1"/>
          <c:order val="1"/>
          <c:tx>
            <c:strRef>
              <c:f>'Summary (old)'!$B$59</c:f>
              <c:strCache>
                <c:ptCount val="1"/>
                <c:pt idx="0">
                  <c:v>Buildings</c:v>
                </c:pt>
              </c:strCache>
            </c:strRef>
          </c:tx>
          <c:spPr>
            <a:solidFill>
              <a:srgbClr val="00B050"/>
            </a:solidFill>
            <a:ln>
              <a:noFill/>
            </a:ln>
            <a:effectLst/>
          </c:spPr>
          <c:invertIfNegative val="0"/>
          <c:dLbls>
            <c:dLbl>
              <c:idx val="0"/>
              <c:showLegendKey val="0"/>
              <c:showVal val="0"/>
              <c:showCatName val="0"/>
              <c:showSerName val="1"/>
              <c:showPercent val="0"/>
              <c:showBubbleSize val="0"/>
              <c:extLst>
                <c:ext xmlns:c15="http://schemas.microsoft.com/office/drawing/2012/chart" uri="{CE6537A1-D6FC-4f65-9D91-7224C49458BB}">
                  <c15:layout>
                    <c:manualLayout>
                      <c:w val="0.59142388888888875"/>
                      <c:h val="7.3407175925925924E-2"/>
                    </c:manualLayout>
                  </c15:layout>
                </c:ext>
                <c:ext xmlns:c16="http://schemas.microsoft.com/office/drawing/2014/chart" uri="{C3380CC4-5D6E-409C-BE32-E72D297353CC}">
                  <c16:uniqueId val="{00000016-E531-4AFE-9C01-B1A576661D3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'Summary (old)'!$C$59</c:f>
              <c:numCache>
                <c:formatCode>#,##0.0</c:formatCode>
                <c:ptCount val="1"/>
                <c:pt idx="0">
                  <c:v>555.15924016401209</c:v>
                </c:pt>
              </c:numCache>
            </c:numRef>
          </c:val>
          <c:extLst>
            <c:ext xmlns:c16="http://schemas.microsoft.com/office/drawing/2014/chart" uri="{C3380CC4-5D6E-409C-BE32-E72D297353CC}">
              <c16:uniqueId val="{00000001-E531-4AFE-9C01-B1A576661D33}"/>
            </c:ext>
          </c:extLst>
        </c:ser>
        <c:ser>
          <c:idx val="2"/>
          <c:order val="2"/>
          <c:tx>
            <c:strRef>
              <c:f>'Summary (old)'!$B$60</c:f>
              <c:strCache>
                <c:ptCount val="1"/>
                <c:pt idx="0">
                  <c:v>Industry</c:v>
                </c:pt>
              </c:strCache>
            </c:strRef>
          </c:tx>
          <c:spPr>
            <a:solidFill>
              <a:srgbClr val="92D050"/>
            </a:solidFill>
            <a:ln>
              <a:noFill/>
            </a:ln>
            <a:effectLst/>
          </c:spPr>
          <c:invertIfNegative val="0"/>
          <c:dLbls>
            <c:dLbl>
              <c:idx val="0"/>
              <c:showLegendKey val="0"/>
              <c:showVal val="0"/>
              <c:showCatName val="0"/>
              <c:showSerName val="1"/>
              <c:showPercent val="0"/>
              <c:showBubbleSize val="0"/>
              <c:extLst>
                <c:ext xmlns:c15="http://schemas.microsoft.com/office/drawing/2012/chart" uri="{CE6537A1-D6FC-4f65-9D91-7224C49458BB}">
                  <c15:layout>
                    <c:manualLayout>
                      <c:w val="0.57538"/>
                      <c:h val="7.3407175925925924E-2"/>
                    </c:manualLayout>
                  </c15:layout>
                </c:ext>
                <c:ext xmlns:c16="http://schemas.microsoft.com/office/drawing/2014/chart" uri="{C3380CC4-5D6E-409C-BE32-E72D297353CC}">
                  <c16:uniqueId val="{00000017-E531-4AFE-9C01-B1A576661D3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(old)'!$C$60</c:f>
              <c:numCache>
                <c:formatCode>#,##0.0</c:formatCode>
                <c:ptCount val="1"/>
                <c:pt idx="0">
                  <c:v>856.52396809274182</c:v>
                </c:pt>
              </c:numCache>
            </c:numRef>
          </c:val>
          <c:extLst>
            <c:ext xmlns:c16="http://schemas.microsoft.com/office/drawing/2014/chart" uri="{C3380CC4-5D6E-409C-BE32-E72D297353CC}">
              <c16:uniqueId val="{00000002-E531-4AFE-9C01-B1A576661D33}"/>
            </c:ext>
          </c:extLst>
        </c:ser>
        <c:ser>
          <c:idx val="3"/>
          <c:order val="3"/>
          <c:tx>
            <c:strRef>
              <c:f>'Summary (old)'!$B$61</c:f>
              <c:strCache>
                <c:ptCount val="1"/>
                <c:pt idx="0">
                  <c:v>Transport</c:v>
                </c:pt>
              </c:strCache>
            </c:strRef>
          </c:tx>
          <c:spPr>
            <a:solidFill>
              <a:srgbClr val="99FF33"/>
            </a:solidFill>
            <a:ln>
              <a:noFill/>
            </a:ln>
            <a:effectLst/>
          </c:spPr>
          <c:invertIfNegative val="0"/>
          <c:dLbls>
            <c:dLbl>
              <c:idx val="0"/>
              <c:showLegendKey val="0"/>
              <c:showVal val="0"/>
              <c:showCatName val="0"/>
              <c:showSerName val="1"/>
              <c:showPercent val="0"/>
              <c:showBubbleSize val="0"/>
              <c:extLst>
                <c:ext xmlns:c15="http://schemas.microsoft.com/office/drawing/2012/chart" uri="{CE6537A1-D6FC-4f65-9D91-7224C49458BB}">
                  <c15:layout>
                    <c:manualLayout>
                      <c:w val="0.58916000000000002"/>
                      <c:h val="3.2910185185185181E-2"/>
                    </c:manualLayout>
                  </c15:layout>
                </c:ext>
                <c:ext xmlns:c16="http://schemas.microsoft.com/office/drawing/2014/chart" uri="{C3380CC4-5D6E-409C-BE32-E72D297353CC}">
                  <c16:uniqueId val="{00000018-E531-4AFE-9C01-B1A576661D3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'Summary (old)'!$C$61</c:f>
              <c:numCache>
                <c:formatCode>#,##0.0</c:formatCode>
                <c:ptCount val="1"/>
                <c:pt idx="0">
                  <c:v>42.442977049886949</c:v>
                </c:pt>
              </c:numCache>
            </c:numRef>
          </c:val>
          <c:extLst>
            <c:ext xmlns:c16="http://schemas.microsoft.com/office/drawing/2014/chart" uri="{C3380CC4-5D6E-409C-BE32-E72D297353CC}">
              <c16:uniqueId val="{00000003-E531-4AFE-9C01-B1A576661D33}"/>
            </c:ext>
          </c:extLst>
        </c:ser>
        <c:ser>
          <c:idx val="4"/>
          <c:order val="4"/>
          <c:tx>
            <c:strRef>
              <c:f>'Summary (old)'!$B$62</c:f>
              <c:strCache>
                <c:ptCount val="1"/>
                <c:pt idx="0">
                  <c:v>Other</c:v>
                </c:pt>
              </c:strCache>
            </c:strRef>
          </c:tx>
          <c:spPr>
            <a:solidFill>
              <a:srgbClr val="FFFF00"/>
            </a:solidFill>
            <a:ln>
              <a:noFill/>
            </a:ln>
            <a:effectLst/>
          </c:spPr>
          <c:invertIfNegative val="0"/>
          <c:dLbls>
            <c:dLbl>
              <c:idx val="0"/>
              <c:showLegendKey val="0"/>
              <c:showVal val="0"/>
              <c:showCatName val="0"/>
              <c:showSerName val="1"/>
              <c:showPercent val="0"/>
              <c:showBubbleSize val="0"/>
              <c:extLst>
                <c:ext xmlns:c15="http://schemas.microsoft.com/office/drawing/2012/chart" uri="{CE6537A1-D6FC-4f65-9D91-7224C49458BB}">
                  <c15:layout>
                    <c:manualLayout>
                      <c:w val="0.59425444444444431"/>
                      <c:h val="8.7782870370370372E-2"/>
                    </c:manualLayout>
                  </c15:layout>
                </c:ext>
                <c:ext xmlns:c16="http://schemas.microsoft.com/office/drawing/2014/chart" uri="{C3380CC4-5D6E-409C-BE32-E72D297353CC}">
                  <c16:uniqueId val="{00000019-E531-4AFE-9C01-B1A576661D3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'Summary (old)'!$C$62</c:f>
              <c:numCache>
                <c:formatCode>#,##0.0</c:formatCode>
                <c:ptCount val="1"/>
                <c:pt idx="0">
                  <c:v>149.23722993055611</c:v>
                </c:pt>
              </c:numCache>
            </c:numRef>
          </c:val>
          <c:extLst>
            <c:ext xmlns:c16="http://schemas.microsoft.com/office/drawing/2014/chart" uri="{C3380CC4-5D6E-409C-BE32-E72D297353CC}">
              <c16:uniqueId val="{00000004-E531-4AFE-9C01-B1A576661D33}"/>
            </c:ext>
          </c:extLst>
        </c:ser>
        <c:ser>
          <c:idx val="5"/>
          <c:order val="5"/>
          <c:tx>
            <c:strRef>
              <c:f>'Summary (old)'!$B$63</c:f>
              <c:strCache>
                <c:ptCount val="1"/>
                <c:pt idx="0">
                  <c:v>Households</c:v>
                </c:pt>
              </c:strCache>
            </c:strRef>
          </c:tx>
          <c:spPr>
            <a:pattFill prst="lgCheck">
              <a:fgClr>
                <a:schemeClr val="accent6">
                  <a:lumMod val="75000"/>
                </a:schemeClr>
              </a:fgClr>
              <a:bgClr>
                <a:schemeClr val="bg1"/>
              </a:bgClr>
            </a:pattFill>
            <a:ln>
              <a:noFill/>
            </a:ln>
            <a:effectLst/>
          </c:spPr>
          <c:invertIfNegative val="0"/>
          <c:dLbls>
            <c:delete val="1"/>
          </c:dLbls>
          <c:val>
            <c:numRef>
              <c:f>'Summary (old)'!$C$63</c:f>
              <c:numCache>
                <c:formatCode>#,##0.0</c:formatCode>
                <c:ptCount val="1"/>
                <c:pt idx="0">
                  <c:v>66.664007149780403</c:v>
                </c:pt>
              </c:numCache>
            </c:numRef>
          </c:val>
          <c:extLst>
            <c:ext xmlns:c16="http://schemas.microsoft.com/office/drawing/2014/chart" uri="{C3380CC4-5D6E-409C-BE32-E72D297353CC}">
              <c16:uniqueId val="{00000005-E531-4AFE-9C01-B1A576661D33}"/>
            </c:ext>
          </c:extLst>
        </c:ser>
        <c:ser>
          <c:idx val="6"/>
          <c:order val="6"/>
          <c:tx>
            <c:strRef>
              <c:f>'Summary (old)'!$B$64</c:f>
              <c:strCache>
                <c:ptCount val="1"/>
                <c:pt idx="0">
                  <c:v>Buildings</c:v>
                </c:pt>
              </c:strCache>
            </c:strRef>
          </c:tx>
          <c:spPr>
            <a:pattFill prst="lgCheck">
              <a:fgClr>
                <a:srgbClr val="00B050"/>
              </a:fgClr>
              <a:bgClr>
                <a:schemeClr val="bg1"/>
              </a:bgClr>
            </a:pattFill>
            <a:ln>
              <a:noFill/>
            </a:ln>
            <a:effectLst/>
          </c:spPr>
          <c:invertIfNegative val="0"/>
          <c:dLbls>
            <c:delete val="1"/>
          </c:dLbls>
          <c:val>
            <c:numRef>
              <c:f>'Summary (old)'!$C$64</c:f>
              <c:numCache>
                <c:formatCode>#,##0.0</c:formatCode>
                <c:ptCount val="1"/>
                <c:pt idx="0">
                  <c:v>-56.143186092814545</c:v>
                </c:pt>
              </c:numCache>
            </c:numRef>
          </c:val>
          <c:extLst>
            <c:ext xmlns:c16="http://schemas.microsoft.com/office/drawing/2014/chart" uri="{C3380CC4-5D6E-409C-BE32-E72D297353CC}">
              <c16:uniqueId val="{00000006-E531-4AFE-9C01-B1A576661D33}"/>
            </c:ext>
          </c:extLst>
        </c:ser>
        <c:ser>
          <c:idx val="7"/>
          <c:order val="7"/>
          <c:tx>
            <c:strRef>
              <c:f>'Summary (old)'!$B$65</c:f>
              <c:strCache>
                <c:ptCount val="1"/>
                <c:pt idx="0">
                  <c:v>Industry</c:v>
                </c:pt>
              </c:strCache>
            </c:strRef>
          </c:tx>
          <c:spPr>
            <a:pattFill prst="lgCheck">
              <a:fgClr>
                <a:srgbClr val="92D050"/>
              </a:fgClr>
              <a:bgClr>
                <a:schemeClr val="bg1"/>
              </a:bgClr>
            </a:pattFill>
            <a:ln>
              <a:noFill/>
            </a:ln>
            <a:effectLst/>
          </c:spPr>
          <c:invertIfNegative val="0"/>
          <c:dLbls>
            <c:delete val="1"/>
          </c:dLbls>
          <c:val>
            <c:numRef>
              <c:f>'Summary (old)'!$C$65</c:f>
              <c:numCache>
                <c:formatCode>#,##0.0</c:formatCode>
                <c:ptCount val="1"/>
                <c:pt idx="0">
                  <c:v>308.44840564110484</c:v>
                </c:pt>
              </c:numCache>
            </c:numRef>
          </c:val>
          <c:extLst>
            <c:ext xmlns:c16="http://schemas.microsoft.com/office/drawing/2014/chart" uri="{C3380CC4-5D6E-409C-BE32-E72D297353CC}">
              <c16:uniqueId val="{00000007-E531-4AFE-9C01-B1A576661D33}"/>
            </c:ext>
          </c:extLst>
        </c:ser>
        <c:ser>
          <c:idx val="8"/>
          <c:order val="8"/>
          <c:tx>
            <c:strRef>
              <c:f>'Summary (old)'!$B$66</c:f>
              <c:strCache>
                <c:ptCount val="1"/>
                <c:pt idx="0">
                  <c:v>Transport</c:v>
                </c:pt>
              </c:strCache>
            </c:strRef>
          </c:tx>
          <c:spPr>
            <a:pattFill prst="lgCheck">
              <a:fgClr>
                <a:srgbClr val="99FF33"/>
              </a:fgClr>
              <a:bgClr>
                <a:schemeClr val="bg1"/>
              </a:bgClr>
            </a:pattFill>
            <a:ln>
              <a:noFill/>
            </a:ln>
            <a:effectLst/>
          </c:spPr>
          <c:invertIfNegative val="0"/>
          <c:dLbls>
            <c:delete val="1"/>
          </c:dLbls>
          <c:val>
            <c:numRef>
              <c:f>'Summary (old)'!$C$66</c:f>
              <c:numCache>
                <c:formatCode>#,##0.0</c:formatCode>
                <c:ptCount val="1"/>
                <c:pt idx="0">
                  <c:v>389.26670694717814</c:v>
                </c:pt>
              </c:numCache>
            </c:numRef>
          </c:val>
          <c:extLst>
            <c:ext xmlns:c16="http://schemas.microsoft.com/office/drawing/2014/chart" uri="{C3380CC4-5D6E-409C-BE32-E72D297353CC}">
              <c16:uniqueId val="{00000008-E531-4AFE-9C01-B1A576661D33}"/>
            </c:ext>
          </c:extLst>
        </c:ser>
        <c:ser>
          <c:idx val="9"/>
          <c:order val="9"/>
          <c:tx>
            <c:strRef>
              <c:f>'Summary (old)'!$B$67</c:f>
              <c:strCache>
                <c:ptCount val="1"/>
                <c:pt idx="0">
                  <c:v>Other</c:v>
                </c:pt>
              </c:strCache>
            </c:strRef>
          </c:tx>
          <c:spPr>
            <a:pattFill prst="lgCheck">
              <a:fgClr>
                <a:srgbClr val="FFFF00"/>
              </a:fgClr>
              <a:bgClr>
                <a:schemeClr val="bg1"/>
              </a:bgClr>
            </a:pattFill>
            <a:ln>
              <a:noFill/>
            </a:ln>
            <a:effectLst/>
          </c:spPr>
          <c:invertIfNegative val="0"/>
          <c:dLbls>
            <c:delete val="1"/>
          </c:dLbls>
          <c:val>
            <c:numRef>
              <c:f>'Summary (old)'!$C$67</c:f>
              <c:numCache>
                <c:formatCode>#,##0.0</c:formatCode>
                <c:ptCount val="1"/>
                <c:pt idx="0">
                  <c:v>8.6410336191086081</c:v>
                </c:pt>
              </c:numCache>
            </c:numRef>
          </c:val>
          <c:extLst>
            <c:ext xmlns:c16="http://schemas.microsoft.com/office/drawing/2014/chart" uri="{C3380CC4-5D6E-409C-BE32-E72D297353CC}">
              <c16:uniqueId val="{00000009-E531-4AFE-9C01-B1A576661D33}"/>
            </c:ext>
          </c:extLst>
        </c:ser>
        <c:ser>
          <c:idx val="10"/>
          <c:order val="10"/>
          <c:tx>
            <c:strRef>
              <c:f>'Summary (old)'!$B$68</c:f>
              <c:strCache>
                <c:ptCount val="1"/>
                <c:pt idx="0">
                  <c:v>Households</c:v>
                </c:pt>
              </c:strCache>
            </c:strRef>
          </c:tx>
          <c:spPr>
            <a:pattFill prst="smCheck">
              <a:fgClr>
                <a:schemeClr val="accent6">
                  <a:lumMod val="75000"/>
                </a:schemeClr>
              </a:fgClr>
              <a:bgClr>
                <a:schemeClr val="bg1"/>
              </a:bgClr>
            </a:pattFill>
            <a:ln>
              <a:noFill/>
            </a:ln>
            <a:effectLst/>
          </c:spPr>
          <c:invertIfNegative val="0"/>
          <c:dLbls>
            <c:delete val="1"/>
          </c:dLbls>
          <c:val>
            <c:numRef>
              <c:f>'Summary (old)'!$C$68</c:f>
              <c:numCache>
                <c:formatCode>#,##0.0</c:formatCode>
                <c:ptCount val="1"/>
                <c:pt idx="0">
                  <c:v>54.285203662931181</c:v>
                </c:pt>
              </c:numCache>
            </c:numRef>
          </c:val>
          <c:extLst>
            <c:ext xmlns:c16="http://schemas.microsoft.com/office/drawing/2014/chart" uri="{C3380CC4-5D6E-409C-BE32-E72D297353CC}">
              <c16:uniqueId val="{0000000A-E531-4AFE-9C01-B1A576661D33}"/>
            </c:ext>
          </c:extLst>
        </c:ser>
        <c:ser>
          <c:idx val="11"/>
          <c:order val="11"/>
          <c:tx>
            <c:strRef>
              <c:f>'Summary (old)'!$B$69</c:f>
              <c:strCache>
                <c:ptCount val="1"/>
                <c:pt idx="0">
                  <c:v>Buildings</c:v>
                </c:pt>
              </c:strCache>
            </c:strRef>
          </c:tx>
          <c:spPr>
            <a:solidFill>
              <a:srgbClr val="00B050"/>
            </a:solidFill>
            <a:ln>
              <a:noFill/>
            </a:ln>
            <a:effectLst/>
          </c:spPr>
          <c:invertIfNegative val="0"/>
          <c:dLbls>
            <c:delete val="1"/>
          </c:dLbls>
          <c:val>
            <c:numRef>
              <c:f>'Summary (old)'!$C$69</c:f>
              <c:numCache>
                <c:formatCode>#,##0.0</c:formatCode>
                <c:ptCount val="1"/>
                <c:pt idx="0">
                  <c:v>10.62650589904176</c:v>
                </c:pt>
              </c:numCache>
            </c:numRef>
          </c:val>
          <c:extLst>
            <c:ext xmlns:c16="http://schemas.microsoft.com/office/drawing/2014/chart" uri="{C3380CC4-5D6E-409C-BE32-E72D297353CC}">
              <c16:uniqueId val="{0000000B-E531-4AFE-9C01-B1A576661D33}"/>
            </c:ext>
          </c:extLst>
        </c:ser>
        <c:ser>
          <c:idx val="12"/>
          <c:order val="12"/>
          <c:tx>
            <c:strRef>
              <c:f>'Summary (old)'!$B$70</c:f>
              <c:strCache>
                <c:ptCount val="1"/>
                <c:pt idx="0">
                  <c:v>Industry</c:v>
                </c:pt>
              </c:strCache>
            </c:strRef>
          </c:tx>
          <c:spPr>
            <a:pattFill prst="smCheck">
              <a:fgClr>
                <a:srgbClr val="92D050"/>
              </a:fgClr>
              <a:bgClr>
                <a:schemeClr val="bg1"/>
              </a:bgClr>
            </a:pattFill>
            <a:ln>
              <a:noFill/>
            </a:ln>
            <a:effectLst/>
          </c:spPr>
          <c:invertIfNegative val="0"/>
          <c:dLbls>
            <c:delete val="1"/>
          </c:dLbls>
          <c:val>
            <c:numRef>
              <c:f>'Summary (old)'!$C$70</c:f>
              <c:numCache>
                <c:formatCode>#,##0.0</c:formatCode>
                <c:ptCount val="1"/>
                <c:pt idx="0">
                  <c:v>353.4757185023758</c:v>
                </c:pt>
              </c:numCache>
            </c:numRef>
          </c:val>
          <c:extLst>
            <c:ext xmlns:c16="http://schemas.microsoft.com/office/drawing/2014/chart" uri="{C3380CC4-5D6E-409C-BE32-E72D297353CC}">
              <c16:uniqueId val="{0000000C-E531-4AFE-9C01-B1A576661D33}"/>
            </c:ext>
          </c:extLst>
        </c:ser>
        <c:ser>
          <c:idx val="13"/>
          <c:order val="13"/>
          <c:tx>
            <c:strRef>
              <c:f>'Summary (old)'!$B$71</c:f>
              <c:strCache>
                <c:ptCount val="1"/>
                <c:pt idx="0">
                  <c:v>Transport</c:v>
                </c:pt>
              </c:strCache>
            </c:strRef>
          </c:tx>
          <c:spPr>
            <a:pattFill prst="smCheck">
              <a:fgClr>
                <a:srgbClr val="99FF33"/>
              </a:fgClr>
              <a:bgClr>
                <a:schemeClr val="bg1"/>
              </a:bgClr>
            </a:pattFill>
            <a:ln>
              <a:noFill/>
            </a:ln>
            <a:effectLst/>
          </c:spPr>
          <c:invertIfNegative val="0"/>
          <c:dLbls>
            <c:delete val="1"/>
          </c:dLbls>
          <c:val>
            <c:numRef>
              <c:f>'Summary (old)'!$C$71</c:f>
              <c:numCache>
                <c:formatCode>#,##0.0</c:formatCode>
                <c:ptCount val="1"/>
                <c:pt idx="0">
                  <c:v>57.853064667440051</c:v>
                </c:pt>
              </c:numCache>
            </c:numRef>
          </c:val>
          <c:extLst>
            <c:ext xmlns:c16="http://schemas.microsoft.com/office/drawing/2014/chart" uri="{C3380CC4-5D6E-409C-BE32-E72D297353CC}">
              <c16:uniqueId val="{0000000D-E531-4AFE-9C01-B1A576661D33}"/>
            </c:ext>
          </c:extLst>
        </c:ser>
        <c:ser>
          <c:idx val="14"/>
          <c:order val="14"/>
          <c:tx>
            <c:strRef>
              <c:f>'Summary (old)'!$B$72</c:f>
              <c:strCache>
                <c:ptCount val="1"/>
                <c:pt idx="0">
                  <c:v>Other</c:v>
                </c:pt>
              </c:strCache>
            </c:strRef>
          </c:tx>
          <c:spPr>
            <a:pattFill prst="smCheck">
              <a:fgClr>
                <a:srgbClr val="FFFF00"/>
              </a:fgClr>
              <a:bgClr>
                <a:schemeClr val="bg1"/>
              </a:bgClr>
            </a:pattFill>
            <a:ln>
              <a:noFill/>
            </a:ln>
            <a:effectLst/>
          </c:spPr>
          <c:invertIfNegative val="0"/>
          <c:dLbls>
            <c:delete val="1"/>
          </c:dLbls>
          <c:val>
            <c:numRef>
              <c:f>'Summary (old)'!$C$72</c:f>
              <c:numCache>
                <c:formatCode>#,##0.0</c:formatCode>
                <c:ptCount val="1"/>
                <c:pt idx="0">
                  <c:v>1.9342533521027128</c:v>
                </c:pt>
              </c:numCache>
            </c:numRef>
          </c:val>
          <c:extLst>
            <c:ext xmlns:c16="http://schemas.microsoft.com/office/drawing/2014/chart" uri="{C3380CC4-5D6E-409C-BE32-E72D297353CC}">
              <c16:uniqueId val="{0000000E-E531-4AFE-9C01-B1A576661D33}"/>
            </c:ext>
          </c:extLst>
        </c:ser>
        <c:dLbls>
          <c:showLegendKey val="0"/>
          <c:showVal val="1"/>
          <c:showCatName val="0"/>
          <c:showSerName val="0"/>
          <c:showPercent val="0"/>
          <c:showBubbleSize val="0"/>
        </c:dLbls>
        <c:gapWidth val="30"/>
        <c:overlap val="100"/>
        <c:axId val="469716447"/>
        <c:axId val="588345311"/>
      </c:barChart>
      <c:catAx>
        <c:axId val="469716447"/>
        <c:scaling>
          <c:orientation val="minMax"/>
        </c:scaling>
        <c:delete val="1"/>
        <c:axPos val="b"/>
        <c:numFmt formatCode="General" sourceLinked="1"/>
        <c:majorTickMark val="out"/>
        <c:minorTickMark val="none"/>
        <c:tickLblPos val="nextTo"/>
        <c:crossAx val="588345311"/>
        <c:crosses val="autoZero"/>
        <c:auto val="1"/>
        <c:lblAlgn val="ctr"/>
        <c:lblOffset val="100"/>
        <c:noMultiLvlLbl val="0"/>
      </c:catAx>
      <c:valAx>
        <c:axId val="588345311"/>
        <c:scaling>
          <c:orientation val="minMax"/>
          <c:max val="3500"/>
          <c:min val="0"/>
        </c:scaling>
        <c:delete val="0"/>
        <c:axPos val="l"/>
        <c:majorGridlines>
          <c:spPr>
            <a:ln w="9525" cap="flat" cmpd="sng" algn="ctr">
              <a:solidFill>
                <a:schemeClr val="tx1">
                  <a:lumMod val="50000"/>
                  <a:lumOff val="50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b="0"/>
                  <a:t>Consumption, 1000 TWh/y</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69716447"/>
        <c:crosses val="autoZero"/>
        <c:crossBetween val="between"/>
        <c:majorUnit val="500"/>
        <c:dispUnits>
          <c:builtInUnit val="thousands"/>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b="1">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'Summary (old)'!$F$58</c:f>
              <c:strCache>
                <c:ptCount val="1"/>
                <c:pt idx="0">
                  <c:v>HPS</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'Summary (old)'!$G$58</c:f>
              <c:numCache>
                <c:formatCode>#,##0.0</c:formatCode>
                <c:ptCount val="1"/>
                <c:pt idx="0">
                  <c:v>62169.421210949993</c:v>
                </c:pt>
              </c:numCache>
            </c:numRef>
          </c:val>
          <c:extLst>
            <c:ext xmlns:c16="http://schemas.microsoft.com/office/drawing/2014/chart" uri="{C3380CC4-5D6E-409C-BE32-E72D297353CC}">
              <c16:uniqueId val="{00000001-91B2-4D9C-8991-8864A65FEF42}"/>
            </c:ext>
          </c:extLst>
        </c:ser>
        <c:ser>
          <c:idx val="1"/>
          <c:order val="1"/>
          <c:tx>
            <c:strRef>
              <c:f>'Summary (old)'!$F$59</c:f>
              <c:strCache>
                <c:ptCount val="1"/>
                <c:pt idx="0">
                  <c:v>DSR</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'Summary (old)'!$G$59</c:f>
              <c:numCache>
                <c:formatCode>#,##0.0</c:formatCode>
                <c:ptCount val="1"/>
                <c:pt idx="0">
                  <c:v>19759.300000000003</c:v>
                </c:pt>
              </c:numCache>
            </c:numRef>
          </c:val>
          <c:extLst>
            <c:ext xmlns:c16="http://schemas.microsoft.com/office/drawing/2014/chart" uri="{C3380CC4-5D6E-409C-BE32-E72D297353CC}">
              <c16:uniqueId val="{00000003-91B2-4D9C-8991-8864A65FEF42}"/>
            </c:ext>
          </c:extLst>
        </c:ser>
        <c:ser>
          <c:idx val="2"/>
          <c:order val="2"/>
          <c:tx>
            <c:strRef>
              <c:f>'Summary (old)'!$F$60</c:f>
              <c:strCache>
                <c:ptCount val="1"/>
                <c:pt idx="0">
                  <c:v>Batteries</c:v>
                </c:pt>
              </c:strCache>
            </c:strRef>
          </c:tx>
          <c:spPr>
            <a:solidFill>
              <a:schemeClr val="accent1">
                <a:lumMod val="60000"/>
                <a:lumOff val="40000"/>
              </a:schemeClr>
            </a:solidFill>
            <a:ln>
              <a:noFill/>
            </a:ln>
            <a:effectLst/>
          </c:spPr>
          <c:invertIfNegative val="0"/>
          <c:dLbls>
            <c:delete val="1"/>
          </c:dLbls>
          <c:val>
            <c:numRef>
              <c:f>'Summary (old)'!$G$60</c:f>
              <c:numCache>
                <c:formatCode>#,##0.0</c:formatCode>
                <c:ptCount val="1"/>
                <c:pt idx="0">
                  <c:v>10787.47</c:v>
                </c:pt>
              </c:numCache>
            </c:numRef>
          </c:val>
          <c:extLst>
            <c:ext xmlns:c16="http://schemas.microsoft.com/office/drawing/2014/chart" uri="{C3380CC4-5D6E-409C-BE32-E72D297353CC}">
              <c16:uniqueId val="{00000005-91B2-4D9C-8991-8864A65FEF42}"/>
            </c:ext>
          </c:extLst>
        </c:ser>
        <c:ser>
          <c:idx val="3"/>
          <c:order val="3"/>
          <c:tx>
            <c:strRef>
              <c:f>'Summary (old)'!$F$61</c:f>
              <c:strCache>
                <c:ptCount val="1"/>
                <c:pt idx="0">
                  <c:v>Gas</c:v>
                </c:pt>
              </c:strCache>
            </c:strRef>
          </c:tx>
          <c:spPr>
            <a:solidFill>
              <a:srgbClr val="00FFFF"/>
            </a:solidFill>
            <a:ln>
              <a:noFill/>
            </a:ln>
            <a:effectLst/>
          </c:spPr>
          <c:invertIfNegative val="0"/>
          <c:dLbls>
            <c:delete val="1"/>
          </c:dLbls>
          <c:val>
            <c:numRef>
              <c:f>'Summary (old)'!$G$61</c:f>
              <c:numCache>
                <c:formatCode>#,##0.0</c:formatCode>
                <c:ptCount val="1"/>
                <c:pt idx="0">
                  <c:v>7166.03</c:v>
                </c:pt>
              </c:numCache>
            </c:numRef>
          </c:val>
          <c:extLst>
            <c:ext xmlns:c16="http://schemas.microsoft.com/office/drawing/2014/chart" uri="{C3380CC4-5D6E-409C-BE32-E72D297353CC}">
              <c16:uniqueId val="{00000007-91B2-4D9C-8991-8864A65FEF42}"/>
            </c:ext>
          </c:extLst>
        </c:ser>
        <c:ser>
          <c:idx val="4"/>
          <c:order val="4"/>
          <c:tx>
            <c:strRef>
              <c:f>'Summary (old)'!$F$62</c:f>
              <c:strCache>
                <c:ptCount val="1"/>
                <c:pt idx="0">
                  <c:v>HPS</c:v>
                </c:pt>
              </c:strCache>
            </c:strRef>
          </c:tx>
          <c:spPr>
            <a:pattFill prst="pct5">
              <a:fgClr>
                <a:srgbClr val="0070C0"/>
              </a:fgClr>
              <a:bgClr>
                <a:schemeClr val="bg1"/>
              </a:bgClr>
            </a:pattFill>
            <a:ln>
              <a:noFill/>
            </a:ln>
            <a:effectLst/>
          </c:spPr>
          <c:invertIfNegative val="0"/>
          <c:dLbls>
            <c:delete val="1"/>
          </c:dLbls>
          <c:val>
            <c:numRef>
              <c:f>'Summary (old)'!$G$62</c:f>
              <c:numCache>
                <c:formatCode>#,##0</c:formatCode>
                <c:ptCount val="1"/>
                <c:pt idx="0">
                  <c:v>586.56860351499927</c:v>
                </c:pt>
              </c:numCache>
            </c:numRef>
          </c:val>
          <c:extLst>
            <c:ext xmlns:c16="http://schemas.microsoft.com/office/drawing/2014/chart" uri="{C3380CC4-5D6E-409C-BE32-E72D297353CC}">
              <c16:uniqueId val="{00000009-91B2-4D9C-8991-8864A65FEF42}"/>
            </c:ext>
          </c:extLst>
        </c:ser>
        <c:ser>
          <c:idx val="5"/>
          <c:order val="5"/>
          <c:tx>
            <c:strRef>
              <c:f>'Summary (old)'!$F$63</c:f>
              <c:strCache>
                <c:ptCount val="1"/>
                <c:pt idx="0">
                  <c:v>DSR</c:v>
                </c:pt>
              </c:strCache>
            </c:strRef>
          </c:tx>
          <c:spPr>
            <a:pattFill prst="lgCheck">
              <a:fgClr>
                <a:srgbClr val="00B0F0"/>
              </a:fgClr>
              <a:bgClr>
                <a:schemeClr val="bg1"/>
              </a:bgClr>
            </a:pattFill>
            <a:ln>
              <a:noFill/>
            </a:ln>
            <a:effectLst/>
          </c:spPr>
          <c:invertIfNegative val="0"/>
          <c:dLbls>
            <c:delete val="1"/>
          </c:dLbls>
          <c:val>
            <c:numRef>
              <c:f>'Summary (old)'!$G$63</c:f>
              <c:numCache>
                <c:formatCode>#,##0</c:formatCode>
                <c:ptCount val="1"/>
                <c:pt idx="0">
                  <c:v>13456.280189314995</c:v>
                </c:pt>
              </c:numCache>
            </c:numRef>
          </c:val>
          <c:extLst>
            <c:ext xmlns:c16="http://schemas.microsoft.com/office/drawing/2014/chart" uri="{C3380CC4-5D6E-409C-BE32-E72D297353CC}">
              <c16:uniqueId val="{0000000A-91B2-4D9C-8991-8864A65FEF42}"/>
            </c:ext>
          </c:extLst>
        </c:ser>
        <c:ser>
          <c:idx val="6"/>
          <c:order val="6"/>
          <c:tx>
            <c:strRef>
              <c:f>'Summary (old)'!$F$64</c:f>
              <c:strCache>
                <c:ptCount val="1"/>
                <c:pt idx="0">
                  <c:v>Batteries</c:v>
                </c:pt>
              </c:strCache>
            </c:strRef>
          </c:tx>
          <c:spPr>
            <a:pattFill prst="lgCheck">
              <a:fgClr>
                <a:schemeClr val="accent1">
                  <a:lumMod val="60000"/>
                  <a:lumOff val="40000"/>
                </a:schemeClr>
              </a:fgClr>
              <a:bgClr>
                <a:schemeClr val="bg1"/>
              </a:bgClr>
            </a:pattFill>
            <a:ln>
              <a:noFill/>
            </a:ln>
            <a:effectLst/>
          </c:spPr>
          <c:invertIfNegative val="0"/>
          <c:dLbls>
            <c:dLbl>
              <c:idx val="0"/>
              <c:showLegendKey val="0"/>
              <c:showVal val="0"/>
              <c:showCatName val="0"/>
              <c:showSerName val="1"/>
              <c:showPercent val="0"/>
              <c:showBubbleSize val="0"/>
              <c:extLst>
                <c:ext xmlns:c15="http://schemas.microsoft.com/office/drawing/2012/chart" uri="{CE6537A1-D6FC-4f65-9D91-7224C49458BB}">
                  <c15:layout>
                    <c:manualLayout>
                      <c:w val="0.36984118357487922"/>
                      <c:h val="0.12897075899926105"/>
                    </c:manualLayout>
                  </c15:layout>
                </c:ext>
                <c:ext xmlns:c16="http://schemas.microsoft.com/office/drawing/2014/chart" uri="{C3380CC4-5D6E-409C-BE32-E72D297353CC}">
                  <c16:uniqueId val="{00000015-91B2-4D9C-8991-8864A65FEF42}"/>
                </c:ext>
              </c:extLst>
            </c:dLbl>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'Summary (old)'!$G$64</c:f>
              <c:numCache>
                <c:formatCode>#,##0</c:formatCode>
                <c:ptCount val="1"/>
                <c:pt idx="0">
                  <c:v>98775.094468687748</c:v>
                </c:pt>
              </c:numCache>
            </c:numRef>
          </c:val>
          <c:extLst>
            <c:ext xmlns:c16="http://schemas.microsoft.com/office/drawing/2014/chart" uri="{C3380CC4-5D6E-409C-BE32-E72D297353CC}">
              <c16:uniqueId val="{0000000B-91B2-4D9C-8991-8864A65FEF42}"/>
            </c:ext>
          </c:extLst>
        </c:ser>
        <c:ser>
          <c:idx val="7"/>
          <c:order val="7"/>
          <c:tx>
            <c:strRef>
              <c:f>'Summary (old)'!$F$65</c:f>
              <c:strCache>
                <c:ptCount val="1"/>
                <c:pt idx="0">
                  <c:v>Gas</c:v>
                </c:pt>
              </c:strCache>
            </c:strRef>
          </c:tx>
          <c:spPr>
            <a:pattFill prst="lgCheck">
              <a:fgClr>
                <a:srgbClr val="00FFFF"/>
              </a:fgClr>
              <a:bgClr>
                <a:schemeClr val="bg1"/>
              </a:bgClr>
            </a:pattFill>
            <a:ln>
              <a:noFill/>
            </a:ln>
            <a:effectLst/>
          </c:spPr>
          <c:invertIfNegative val="0"/>
          <c:dLbls>
            <c:dLbl>
              <c:idx val="0"/>
              <c:showLegendKey val="0"/>
              <c:showVal val="0"/>
              <c:showCatName val="0"/>
              <c:showSerName val="1"/>
              <c:showPercent val="0"/>
              <c:showBubbleSize val="0"/>
              <c:extLst>
                <c:ext xmlns:c15="http://schemas.microsoft.com/office/drawing/2012/chart" uri="{CE6537A1-D6FC-4f65-9D91-7224C49458BB}">
                  <c15:layout>
                    <c:manualLayout>
                      <c:w val="0.36681219806763277"/>
                      <c:h val="4.8948708023974573E-2"/>
                    </c:manualLayout>
                  </c15:layout>
                </c:ext>
                <c:ext xmlns:c16="http://schemas.microsoft.com/office/drawing/2014/chart" uri="{C3380CC4-5D6E-409C-BE32-E72D297353CC}">
                  <c16:uniqueId val="{00000014-91B2-4D9C-8991-8864A65FEF42}"/>
                </c:ext>
              </c:extLst>
            </c:dLbl>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(old)'!$G$65</c:f>
              <c:numCache>
                <c:formatCode>#,##0</c:formatCode>
                <c:ptCount val="1"/>
                <c:pt idx="0">
                  <c:v>78557.279311664999</c:v>
                </c:pt>
              </c:numCache>
            </c:numRef>
          </c:val>
          <c:extLst>
            <c:ext xmlns:c16="http://schemas.microsoft.com/office/drawing/2014/chart" uri="{C3380CC4-5D6E-409C-BE32-E72D297353CC}">
              <c16:uniqueId val="{0000000C-91B2-4D9C-8991-8864A65FEF42}"/>
            </c:ext>
          </c:extLst>
        </c:ser>
        <c:dLbls>
          <c:showLegendKey val="0"/>
          <c:showVal val="1"/>
          <c:showCatName val="0"/>
          <c:showSerName val="0"/>
          <c:showPercent val="0"/>
          <c:showBubbleSize val="0"/>
        </c:dLbls>
        <c:gapWidth val="30"/>
        <c:overlap val="100"/>
        <c:axId val="469716447"/>
        <c:axId val="588345311"/>
      </c:barChart>
      <c:catAx>
        <c:axId val="469716447"/>
        <c:scaling>
          <c:orientation val="minMax"/>
        </c:scaling>
        <c:delete val="1"/>
        <c:axPos val="b"/>
        <c:numFmt formatCode="General" sourceLinked="1"/>
        <c:majorTickMark val="out"/>
        <c:minorTickMark val="none"/>
        <c:tickLblPos val="nextTo"/>
        <c:crossAx val="588345311"/>
        <c:crosses val="autoZero"/>
        <c:auto val="1"/>
        <c:lblAlgn val="ctr"/>
        <c:lblOffset val="100"/>
        <c:noMultiLvlLbl val="0"/>
      </c:catAx>
      <c:valAx>
        <c:axId val="588345311"/>
        <c:scaling>
          <c:orientation val="minMax"/>
          <c:max val="300000"/>
          <c:min val="0"/>
        </c:scaling>
        <c:delete val="0"/>
        <c:axPos val="l"/>
        <c:majorGridlines>
          <c:spPr>
            <a:ln w="9525" cap="flat" cmpd="sng" algn="ctr">
              <a:solidFill>
                <a:schemeClr val="tx1">
                  <a:lumMod val="50000"/>
                  <a:lumOff val="50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b="0"/>
                  <a:t>Flexibility capacity,</a:t>
                </a:r>
                <a:r>
                  <a:rPr lang="en-US" b="0" baseline="0"/>
                  <a:t> GW</a:t>
                </a:r>
                <a:endParaRPr lang="en-US" b="0"/>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69716447"/>
        <c:crosses val="autoZero"/>
        <c:crossBetween val="between"/>
        <c:majorUnit val="25000"/>
        <c:dispUnits>
          <c:builtInUnit val="thousands"/>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b="1">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'Summary (old)'!$J$58</c:f>
              <c:strCache>
                <c:ptCount val="1"/>
                <c:pt idx="0">
                  <c:v>Solar</c:v>
                </c:pt>
              </c:strCache>
            </c:strRef>
          </c:tx>
          <c:spPr>
            <a:solidFill>
              <a:srgbClr val="C00000"/>
            </a:solidFill>
            <a:ln>
              <a:noFill/>
            </a:ln>
            <a:effectLst/>
          </c:spPr>
          <c:invertIfNegative val="0"/>
          <c:dLbls>
            <c:dLbl>
              <c:idx val="0"/>
              <c:dLblPos val="inEnd"/>
              <c:showLegendKey val="0"/>
              <c:showVal val="0"/>
              <c:showCatName val="0"/>
              <c:showSerName val="1"/>
              <c:showPercent val="0"/>
              <c:showBubbleSize val="0"/>
              <c:extLst>
                <c:ext xmlns:c15="http://schemas.microsoft.com/office/drawing/2012/chart" uri="{CE6537A1-D6FC-4f65-9D91-7224C49458BB}">
                  <c15:layout>
                    <c:manualLayout>
                      <c:w val="0.29330374396135267"/>
                      <c:h val="8.8959733511617817E-2"/>
                    </c:manualLayout>
                  </c15:layout>
                </c:ext>
                <c:ext xmlns:c16="http://schemas.microsoft.com/office/drawing/2014/chart" uri="{C3380CC4-5D6E-409C-BE32-E72D297353CC}">
                  <c16:uniqueId val="{0000000B-01E4-40DA-B119-D071B1C1FB78}"/>
                </c:ext>
              </c:extLst>
            </c:dLbl>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'Summary (old)'!$K$58</c:f>
              <c:numCache>
                <c:formatCode>#,##0</c:formatCode>
                <c:ptCount val="1"/>
                <c:pt idx="0">
                  <c:v>174621.22</c:v>
                </c:pt>
              </c:numCache>
            </c:numRef>
          </c:val>
          <c:extLst>
            <c:ext xmlns:c16="http://schemas.microsoft.com/office/drawing/2014/chart" uri="{C3380CC4-5D6E-409C-BE32-E72D297353CC}">
              <c16:uniqueId val="{00000000-01E4-40DA-B119-D071B1C1FB78}"/>
            </c:ext>
          </c:extLst>
        </c:ser>
        <c:ser>
          <c:idx val="1"/>
          <c:order val="1"/>
          <c:tx>
            <c:strRef>
              <c:f>'Summary (old)'!$J$59</c:f>
              <c:strCache>
                <c:ptCount val="1"/>
                <c:pt idx="0">
                  <c:v>Onshore wind</c:v>
                </c:pt>
              </c:strCache>
            </c:strRef>
          </c:tx>
          <c:spPr>
            <a:solidFill>
              <a:srgbClr val="FF0000"/>
            </a:solidFill>
            <a:ln>
              <a:noFill/>
            </a:ln>
            <a:effectLst/>
          </c:spPr>
          <c:invertIfNegative val="0"/>
          <c:dLbls>
            <c:dLbl>
              <c:idx val="0"/>
              <c:dLblPos val="inEnd"/>
              <c:showLegendKey val="0"/>
              <c:showVal val="0"/>
              <c:showCatName val="0"/>
              <c:showSerName val="1"/>
              <c:showPercent val="0"/>
              <c:showBubbleSize val="0"/>
              <c:extLst>
                <c:ext xmlns:c15="http://schemas.microsoft.com/office/drawing/2012/chart" uri="{CE6537A1-D6FC-4f65-9D91-7224C49458BB}">
                  <c15:layout>
                    <c:manualLayout>
                      <c:w val="0.40442934782608686"/>
                      <c:h val="0.20899280997454753"/>
                    </c:manualLayout>
                  </c15:layout>
                </c:ext>
                <c:ext xmlns:c16="http://schemas.microsoft.com/office/drawing/2014/chart" uri="{C3380CC4-5D6E-409C-BE32-E72D297353CC}">
                  <c16:uniqueId val="{0000000A-01E4-40DA-B119-D071B1C1FB78}"/>
                </c:ext>
              </c:extLst>
            </c:dLbl>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'Summary (old)'!$K$59</c:f>
              <c:numCache>
                <c:formatCode>#,##0</c:formatCode>
                <c:ptCount val="1"/>
                <c:pt idx="0">
                  <c:v>203570.42</c:v>
                </c:pt>
              </c:numCache>
            </c:numRef>
          </c:val>
          <c:extLst>
            <c:ext xmlns:c16="http://schemas.microsoft.com/office/drawing/2014/chart" uri="{C3380CC4-5D6E-409C-BE32-E72D297353CC}">
              <c16:uniqueId val="{00000001-01E4-40DA-B119-D071B1C1FB78}"/>
            </c:ext>
          </c:extLst>
        </c:ser>
        <c:ser>
          <c:idx val="2"/>
          <c:order val="2"/>
          <c:tx>
            <c:strRef>
              <c:f>'Summary (old)'!$J$60</c:f>
              <c:strCache>
                <c:ptCount val="1"/>
                <c:pt idx="0">
                  <c:v>Offshore wind</c:v>
                </c:pt>
              </c:strCache>
            </c:strRef>
          </c:tx>
          <c:spPr>
            <a:solidFill>
              <a:srgbClr val="FF7C80"/>
            </a:solidFill>
            <a:ln>
              <a:noFill/>
            </a:ln>
            <a:effectLst/>
          </c:spPr>
          <c:invertIfNegative val="0"/>
          <c:dLbls>
            <c:dLbl>
              <c:idx val="0"/>
              <c:layout>
                <c:manualLayout>
                  <c:x val="0"/>
                  <c:y val="1.6463750777062185E-2"/>
                </c:manualLayout>
              </c:layout>
              <c:dLblPos val="ctr"/>
              <c:showLegendKey val="0"/>
              <c:showVal val="0"/>
              <c:showCatName val="0"/>
              <c:showSerName val="1"/>
              <c:showPercent val="0"/>
              <c:showBubbleSize val="0"/>
              <c:extLst>
                <c:ext xmlns:c15="http://schemas.microsoft.com/office/drawing/2012/chart" uri="{CE6537A1-D6FC-4f65-9D91-7224C49458BB}">
                  <c15:layout>
                    <c:manualLayout>
                      <c:w val="0.38951268115942028"/>
                      <c:h val="0.20899280997454753"/>
                    </c:manualLayout>
                  </c15:layout>
                </c:ext>
                <c:ext xmlns:c16="http://schemas.microsoft.com/office/drawing/2014/chart" uri="{C3380CC4-5D6E-409C-BE32-E72D297353CC}">
                  <c16:uniqueId val="{0000000C-01E4-40DA-B119-D071B1C1FB7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'Summary (old)'!$K$60</c:f>
              <c:numCache>
                <c:formatCode>#,##0</c:formatCode>
                <c:ptCount val="1"/>
                <c:pt idx="0">
                  <c:v>46143.86</c:v>
                </c:pt>
              </c:numCache>
            </c:numRef>
          </c:val>
          <c:extLst>
            <c:ext xmlns:c16="http://schemas.microsoft.com/office/drawing/2014/chart" uri="{C3380CC4-5D6E-409C-BE32-E72D297353CC}">
              <c16:uniqueId val="{00000002-01E4-40DA-B119-D071B1C1FB78}"/>
            </c:ext>
          </c:extLst>
        </c:ser>
        <c:ser>
          <c:idx val="3"/>
          <c:order val="3"/>
          <c:tx>
            <c:strRef>
              <c:f>'Summary (old)'!$J$61</c:f>
              <c:strCache>
                <c:ptCount val="1"/>
                <c:pt idx="0">
                  <c:v>Solar</c:v>
                </c:pt>
              </c:strCache>
            </c:strRef>
          </c:tx>
          <c:spPr>
            <a:pattFill prst="lgCheck">
              <a:fgClr>
                <a:srgbClr val="C00000"/>
              </a:fgClr>
              <a:bgClr>
                <a:schemeClr val="bg1"/>
              </a:bgClr>
            </a:pattFill>
            <a:ln>
              <a:noFill/>
            </a:ln>
            <a:effectLst/>
          </c:spPr>
          <c:invertIfNegative val="0"/>
          <c:dLbls>
            <c:delete val="1"/>
          </c:dLbls>
          <c:val>
            <c:numRef>
              <c:f>'Summary (old)'!$K$61</c:f>
              <c:numCache>
                <c:formatCode>#,##0</c:formatCode>
                <c:ptCount val="1"/>
                <c:pt idx="0">
                  <c:v>312486.58213769377</c:v>
                </c:pt>
              </c:numCache>
            </c:numRef>
          </c:val>
          <c:extLst>
            <c:ext xmlns:c16="http://schemas.microsoft.com/office/drawing/2014/chart" uri="{C3380CC4-5D6E-409C-BE32-E72D297353CC}">
              <c16:uniqueId val="{00000003-01E4-40DA-B119-D071B1C1FB78}"/>
            </c:ext>
          </c:extLst>
        </c:ser>
        <c:ser>
          <c:idx val="4"/>
          <c:order val="4"/>
          <c:tx>
            <c:strRef>
              <c:f>'Summary (old)'!$J$62</c:f>
              <c:strCache>
                <c:ptCount val="1"/>
                <c:pt idx="0">
                  <c:v>Onshore wind</c:v>
                </c:pt>
              </c:strCache>
            </c:strRef>
          </c:tx>
          <c:spPr>
            <a:pattFill prst="lgCheck">
              <a:fgClr>
                <a:srgbClr val="FF0000"/>
              </a:fgClr>
              <a:bgClr>
                <a:schemeClr val="bg1"/>
              </a:bgClr>
            </a:pattFill>
            <a:ln>
              <a:noFill/>
            </a:ln>
            <a:effectLst/>
          </c:spPr>
          <c:invertIfNegative val="0"/>
          <c:dLbls>
            <c:delete val="1"/>
          </c:dLbls>
          <c:val>
            <c:numRef>
              <c:f>'Summary (old)'!$K$62</c:f>
              <c:numCache>
                <c:formatCode>#,##0</c:formatCode>
                <c:ptCount val="1"/>
                <c:pt idx="0">
                  <c:v>105774.53411839748</c:v>
                </c:pt>
              </c:numCache>
            </c:numRef>
          </c:val>
          <c:extLst>
            <c:ext xmlns:c16="http://schemas.microsoft.com/office/drawing/2014/chart" uri="{C3380CC4-5D6E-409C-BE32-E72D297353CC}">
              <c16:uniqueId val="{00000004-01E4-40DA-B119-D071B1C1FB78}"/>
            </c:ext>
          </c:extLst>
        </c:ser>
        <c:ser>
          <c:idx val="5"/>
          <c:order val="5"/>
          <c:tx>
            <c:strRef>
              <c:f>'Summary (old)'!$J$63</c:f>
              <c:strCache>
                <c:ptCount val="1"/>
                <c:pt idx="0">
                  <c:v>Offshore wind</c:v>
                </c:pt>
              </c:strCache>
            </c:strRef>
          </c:tx>
          <c:spPr>
            <a:pattFill prst="lgCheck">
              <a:fgClr>
                <a:srgbClr val="FF7C80"/>
              </a:fgClr>
              <a:bgClr>
                <a:schemeClr val="bg1"/>
              </a:bgClr>
            </a:pattFill>
            <a:ln>
              <a:noFill/>
            </a:ln>
            <a:effectLst/>
          </c:spPr>
          <c:invertIfNegative val="0"/>
          <c:dLbls>
            <c:delete val="1"/>
          </c:dLbls>
          <c:val>
            <c:numRef>
              <c:f>'Summary (old)'!$K$63</c:f>
              <c:numCache>
                <c:formatCode>#,##0</c:formatCode>
                <c:ptCount val="1"/>
                <c:pt idx="0">
                  <c:v>203994.51</c:v>
                </c:pt>
              </c:numCache>
            </c:numRef>
          </c:val>
          <c:extLst>
            <c:ext xmlns:c16="http://schemas.microsoft.com/office/drawing/2014/chart" uri="{C3380CC4-5D6E-409C-BE32-E72D297353CC}">
              <c16:uniqueId val="{00000005-01E4-40DA-B119-D071B1C1FB78}"/>
            </c:ext>
          </c:extLst>
        </c:ser>
        <c:dLbls>
          <c:dLblPos val="inEnd"/>
          <c:showLegendKey val="0"/>
          <c:showVal val="1"/>
          <c:showCatName val="0"/>
          <c:showSerName val="0"/>
          <c:showPercent val="0"/>
          <c:showBubbleSize val="0"/>
        </c:dLbls>
        <c:gapWidth val="30"/>
        <c:overlap val="100"/>
        <c:axId val="469716447"/>
        <c:axId val="588345311"/>
      </c:barChart>
      <c:catAx>
        <c:axId val="469716447"/>
        <c:scaling>
          <c:orientation val="minMax"/>
        </c:scaling>
        <c:delete val="1"/>
        <c:axPos val="b"/>
        <c:numFmt formatCode="General" sourceLinked="1"/>
        <c:majorTickMark val="out"/>
        <c:minorTickMark val="none"/>
        <c:tickLblPos val="nextTo"/>
        <c:crossAx val="588345311"/>
        <c:crosses val="autoZero"/>
        <c:auto val="1"/>
        <c:lblAlgn val="ctr"/>
        <c:lblOffset val="100"/>
        <c:noMultiLvlLbl val="0"/>
      </c:catAx>
      <c:valAx>
        <c:axId val="588345311"/>
        <c:scaling>
          <c:orientation val="minMax"/>
          <c:max val="1100000"/>
          <c:min val="0"/>
        </c:scaling>
        <c:delete val="0"/>
        <c:axPos val="l"/>
        <c:majorGridlines>
          <c:spPr>
            <a:ln w="9525" cap="flat" cmpd="sng" algn="ctr">
              <a:solidFill>
                <a:schemeClr val="tx1">
                  <a:lumMod val="50000"/>
                  <a:lumOff val="50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b="0"/>
                  <a:t>VRE capacity,</a:t>
                </a:r>
                <a:r>
                  <a:rPr lang="en-US" b="0" baseline="0"/>
                  <a:t> GW</a:t>
                </a:r>
                <a:endParaRPr lang="en-US" b="0"/>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69716447"/>
        <c:crosses val="autoZero"/>
        <c:crossBetween val="between"/>
        <c:majorUnit val="100000"/>
        <c:dispUnits>
          <c:builtInUnit val="thousands"/>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b="1">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Flexibility!$U$29:$U$30</c:f>
              <c:strCache>
                <c:ptCount val="2"/>
                <c:pt idx="0">
                  <c:v>2030</c:v>
                </c:pt>
                <c:pt idx="1">
                  <c:v>HPS</c:v>
                </c:pt>
              </c:strCache>
            </c:strRef>
          </c:tx>
          <c:spPr>
            <a:solidFill>
              <a:schemeClr val="accent5">
                <a:lumMod val="75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Flexibility!$U$31:$U$44</c:f>
              <c:numCache>
                <c:formatCode>#,##0</c:formatCode>
                <c:ptCount val="14"/>
                <c:pt idx="0">
                  <c:v>0</c:v>
                </c:pt>
                <c:pt idx="1">
                  <c:v>0</c:v>
                </c:pt>
                <c:pt idx="2">
                  <c:v>930</c:v>
                </c:pt>
                <c:pt idx="3">
                  <c:v>33360.68115235</c:v>
                </c:pt>
                <c:pt idx="4">
                  <c:v>0</c:v>
                </c:pt>
                <c:pt idx="5">
                  <c:v>0</c:v>
                </c:pt>
                <c:pt idx="6">
                  <c:v>0</c:v>
                </c:pt>
                <c:pt idx="7">
                  <c:v>1224</c:v>
                </c:pt>
                <c:pt idx="8">
                  <c:v>0</c:v>
                </c:pt>
                <c:pt idx="9">
                  <c:v>1535.27997559</c:v>
                </c:pt>
                <c:pt idx="10">
                  <c:v>9549.7199707</c:v>
                </c:pt>
                <c:pt idx="11">
                  <c:v>2744</c:v>
                </c:pt>
                <c:pt idx="12">
                  <c:v>3800</c:v>
                </c:pt>
                <c:pt idx="13">
                  <c:v>9025.7401123099989</c:v>
                </c:pt>
              </c:numCache>
            </c:numRef>
          </c:val>
          <c:extLst>
            <c:ext xmlns:c16="http://schemas.microsoft.com/office/drawing/2014/chart" uri="{C3380CC4-5D6E-409C-BE32-E72D297353CC}">
              <c16:uniqueId val="{00000000-279F-42B3-8C2F-CF69A84751EE}"/>
            </c:ext>
          </c:extLst>
        </c:ser>
        <c:ser>
          <c:idx val="1"/>
          <c:order val="1"/>
          <c:tx>
            <c:strRef>
              <c:f>Flexibility!$V$29:$V$30</c:f>
              <c:strCache>
                <c:ptCount val="2"/>
                <c:pt idx="0">
                  <c:v>2030</c:v>
                </c:pt>
                <c:pt idx="1">
                  <c:v>DSR</c:v>
                </c:pt>
              </c:strCache>
            </c:strRef>
          </c:tx>
          <c:spPr>
            <a:solidFill>
              <a:schemeClr val="accent6">
                <a:lumMod val="50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Flexibility!$V$31:$V$44</c:f>
              <c:numCache>
                <c:formatCode>#,##0</c:formatCode>
                <c:ptCount val="14"/>
                <c:pt idx="0">
                  <c:v>90</c:v>
                </c:pt>
                <c:pt idx="1">
                  <c:v>36.799999999999997</c:v>
                </c:pt>
                <c:pt idx="2">
                  <c:v>40</c:v>
                </c:pt>
                <c:pt idx="3">
                  <c:v>6294</c:v>
                </c:pt>
                <c:pt idx="4">
                  <c:v>4490.8315430000002</c:v>
                </c:pt>
                <c:pt idx="5">
                  <c:v>0</c:v>
                </c:pt>
                <c:pt idx="6">
                  <c:v>1738.80004134</c:v>
                </c:pt>
                <c:pt idx="7">
                  <c:v>2047.8045348000001</c:v>
                </c:pt>
                <c:pt idx="8">
                  <c:v>700</c:v>
                </c:pt>
                <c:pt idx="9">
                  <c:v>0</c:v>
                </c:pt>
                <c:pt idx="10">
                  <c:v>0</c:v>
                </c:pt>
                <c:pt idx="11">
                  <c:v>4357.12</c:v>
                </c:pt>
                <c:pt idx="12">
                  <c:v>5481.5</c:v>
                </c:pt>
                <c:pt idx="13">
                  <c:v>1758.8649520500001</c:v>
                </c:pt>
              </c:numCache>
            </c:numRef>
          </c:val>
          <c:extLst>
            <c:ext xmlns:c16="http://schemas.microsoft.com/office/drawing/2014/chart" uri="{C3380CC4-5D6E-409C-BE32-E72D297353CC}">
              <c16:uniqueId val="{00000001-279F-42B3-8C2F-CF69A84751EE}"/>
            </c:ext>
          </c:extLst>
        </c:ser>
        <c:ser>
          <c:idx val="2"/>
          <c:order val="2"/>
          <c:tx>
            <c:strRef>
              <c:f>Flexibility!$W$29:$W$30</c:f>
              <c:strCache>
                <c:ptCount val="2"/>
                <c:pt idx="0">
                  <c:v>2030</c:v>
                </c:pt>
                <c:pt idx="1">
                  <c:v>Batteries</c:v>
                </c:pt>
              </c:strCache>
            </c:strRef>
          </c:tx>
          <c:spPr>
            <a:solidFill>
              <a:srgbClr val="C00000"/>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Flexibility!$W$31:$W$44</c:f>
              <c:numCache>
                <c:formatCode>#,##0</c:formatCode>
                <c:ptCount val="14"/>
                <c:pt idx="0">
                  <c:v>543.65438052594357</c:v>
                </c:pt>
                <c:pt idx="1">
                  <c:v>38.4376914997356</c:v>
                </c:pt>
                <c:pt idx="2">
                  <c:v>661.82331915377836</c:v>
                </c:pt>
                <c:pt idx="3">
                  <c:v>408.08068980522171</c:v>
                </c:pt>
                <c:pt idx="4">
                  <c:v>1487.8230566433542</c:v>
                </c:pt>
                <c:pt idx="5">
                  <c:v>133.75171869125762</c:v>
                </c:pt>
                <c:pt idx="6">
                  <c:v>5353.0410027126254</c:v>
                </c:pt>
                <c:pt idx="7">
                  <c:v>4254.2954078537796</c:v>
                </c:pt>
                <c:pt idx="8">
                  <c:v>13749.676681461286</c:v>
                </c:pt>
                <c:pt idx="9">
                  <c:v>3963.0138871483741</c:v>
                </c:pt>
                <c:pt idx="10">
                  <c:v>12389.299012036365</c:v>
                </c:pt>
                <c:pt idx="11">
                  <c:v>20392.219873670234</c:v>
                </c:pt>
                <c:pt idx="12">
                  <c:v>1304.7727783626831</c:v>
                </c:pt>
                <c:pt idx="13">
                  <c:v>18249.678950318259</c:v>
                </c:pt>
              </c:numCache>
            </c:numRef>
          </c:val>
          <c:extLst>
            <c:ext xmlns:c16="http://schemas.microsoft.com/office/drawing/2014/chart" uri="{C3380CC4-5D6E-409C-BE32-E72D297353CC}">
              <c16:uniqueId val="{00000002-279F-42B3-8C2F-CF69A84751EE}"/>
            </c:ext>
          </c:extLst>
        </c:ser>
        <c:ser>
          <c:idx val="3"/>
          <c:order val="3"/>
          <c:tx>
            <c:strRef>
              <c:f>Flexibility!$X$29:$X$30</c:f>
              <c:strCache>
                <c:ptCount val="2"/>
                <c:pt idx="0">
                  <c:v>2030</c:v>
                </c:pt>
                <c:pt idx="1">
                  <c:v>Gas</c:v>
                </c:pt>
              </c:strCache>
            </c:strRef>
          </c:tx>
          <c:spPr>
            <a:solidFill>
              <a:schemeClr val="accent4">
                <a:lumMod val="75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Flexibility!$X$31:$X$44</c:f>
              <c:numCache>
                <c:formatCode>#,##0</c:formatCode>
                <c:ptCount val="14"/>
                <c:pt idx="0">
                  <c:v>0</c:v>
                </c:pt>
                <c:pt idx="1">
                  <c:v>0</c:v>
                </c:pt>
                <c:pt idx="2">
                  <c:v>0</c:v>
                </c:pt>
                <c:pt idx="3">
                  <c:v>0</c:v>
                </c:pt>
                <c:pt idx="4">
                  <c:v>215.00000001000001</c:v>
                </c:pt>
                <c:pt idx="5">
                  <c:v>263.91000001999998</c:v>
                </c:pt>
                <c:pt idx="6">
                  <c:v>110.78899999999999</c:v>
                </c:pt>
                <c:pt idx="7">
                  <c:v>294</c:v>
                </c:pt>
                <c:pt idx="8">
                  <c:v>2835.8000001400001</c:v>
                </c:pt>
                <c:pt idx="9">
                  <c:v>6210</c:v>
                </c:pt>
                <c:pt idx="10">
                  <c:v>0</c:v>
                </c:pt>
                <c:pt idx="11">
                  <c:v>5810.7899999199999</c:v>
                </c:pt>
                <c:pt idx="12">
                  <c:v>636.00000010000008</c:v>
                </c:pt>
                <c:pt idx="13">
                  <c:v>12224.56800033</c:v>
                </c:pt>
              </c:numCache>
            </c:numRef>
          </c:val>
          <c:extLst>
            <c:ext xmlns:c16="http://schemas.microsoft.com/office/drawing/2014/chart" uri="{C3380CC4-5D6E-409C-BE32-E72D297353CC}">
              <c16:uniqueId val="{00000003-279F-42B3-8C2F-CF69A84751EE}"/>
            </c:ext>
          </c:extLst>
        </c:ser>
        <c:ser>
          <c:idx val="4"/>
          <c:order val="4"/>
          <c:tx>
            <c:strRef>
              <c:f>Flexibility!$Y$29:$Y$30</c:f>
              <c:strCache>
                <c:ptCount val="2"/>
                <c:pt idx="0">
                  <c:v>2040</c:v>
                </c:pt>
                <c:pt idx="1">
                  <c:v>HPS</c:v>
                </c:pt>
              </c:strCache>
            </c:strRef>
          </c:tx>
          <c:spPr>
            <a:solidFill>
              <a:srgbClr val="00B0F0"/>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Flexibility!$Y$31:$Y$44</c:f>
              <c:numCache>
                <c:formatCode>#,##0</c:formatCode>
                <c:ptCount val="14"/>
                <c:pt idx="0">
                  <c:v>0</c:v>
                </c:pt>
                <c:pt idx="1">
                  <c:v>0</c:v>
                </c:pt>
                <c:pt idx="2">
                  <c:v>0</c:v>
                </c:pt>
                <c:pt idx="3">
                  <c:v>-140</c:v>
                </c:pt>
                <c:pt idx="4">
                  <c:v>0</c:v>
                </c:pt>
                <c:pt idx="5">
                  <c:v>0</c:v>
                </c:pt>
                <c:pt idx="6">
                  <c:v>0</c:v>
                </c:pt>
                <c:pt idx="7">
                  <c:v>0</c:v>
                </c:pt>
                <c:pt idx="8">
                  <c:v>0</c:v>
                </c:pt>
                <c:pt idx="9">
                  <c:v>0</c:v>
                </c:pt>
                <c:pt idx="10">
                  <c:v>0</c:v>
                </c:pt>
                <c:pt idx="11">
                  <c:v>0</c:v>
                </c:pt>
                <c:pt idx="12">
                  <c:v>1043.1372070300004</c:v>
                </c:pt>
                <c:pt idx="13">
                  <c:v>270</c:v>
                </c:pt>
              </c:numCache>
            </c:numRef>
          </c:val>
          <c:extLst>
            <c:ext xmlns:c16="http://schemas.microsoft.com/office/drawing/2014/chart" uri="{C3380CC4-5D6E-409C-BE32-E72D297353CC}">
              <c16:uniqueId val="{00000004-279F-42B3-8C2F-CF69A84751EE}"/>
            </c:ext>
          </c:extLst>
        </c:ser>
        <c:ser>
          <c:idx val="5"/>
          <c:order val="5"/>
          <c:tx>
            <c:strRef>
              <c:f>Flexibility!$Z$29:$Z$30</c:f>
              <c:strCache>
                <c:ptCount val="2"/>
                <c:pt idx="0">
                  <c:v>2040</c:v>
                </c:pt>
                <c:pt idx="1">
                  <c:v>DSR</c:v>
                </c:pt>
              </c:strCache>
            </c:strRef>
          </c:tx>
          <c:spPr>
            <a:solidFill>
              <a:schemeClr val="accent6"/>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Flexibility!$Z$31:$Z$44</c:f>
              <c:numCache>
                <c:formatCode>#,##0</c:formatCode>
                <c:ptCount val="14"/>
                <c:pt idx="0">
                  <c:v>83.333333299999993</c:v>
                </c:pt>
                <c:pt idx="1">
                  <c:v>0</c:v>
                </c:pt>
                <c:pt idx="2">
                  <c:v>10</c:v>
                </c:pt>
                <c:pt idx="3">
                  <c:v>0</c:v>
                </c:pt>
                <c:pt idx="4">
                  <c:v>5433.3435050000007</c:v>
                </c:pt>
                <c:pt idx="5">
                  <c:v>0</c:v>
                </c:pt>
                <c:pt idx="6">
                  <c:v>0</c:v>
                </c:pt>
                <c:pt idx="7">
                  <c:v>143.34637459999976</c:v>
                </c:pt>
                <c:pt idx="8">
                  <c:v>0</c:v>
                </c:pt>
                <c:pt idx="9">
                  <c:v>0</c:v>
                </c:pt>
                <c:pt idx="10">
                  <c:v>1600</c:v>
                </c:pt>
                <c:pt idx="11">
                  <c:v>3673.96</c:v>
                </c:pt>
                <c:pt idx="12">
                  <c:v>0</c:v>
                </c:pt>
                <c:pt idx="13">
                  <c:v>1415.7350233499999</c:v>
                </c:pt>
              </c:numCache>
            </c:numRef>
          </c:val>
          <c:extLst>
            <c:ext xmlns:c16="http://schemas.microsoft.com/office/drawing/2014/chart" uri="{C3380CC4-5D6E-409C-BE32-E72D297353CC}">
              <c16:uniqueId val="{00000005-279F-42B3-8C2F-CF69A84751EE}"/>
            </c:ext>
          </c:extLst>
        </c:ser>
        <c:ser>
          <c:idx val="6"/>
          <c:order val="6"/>
          <c:tx>
            <c:strRef>
              <c:f>Flexibility!$AA$29:$AA$30</c:f>
              <c:strCache>
                <c:ptCount val="2"/>
                <c:pt idx="0">
                  <c:v>2040</c:v>
                </c:pt>
                <c:pt idx="1">
                  <c:v>Batteries</c:v>
                </c:pt>
              </c:strCache>
            </c:strRef>
          </c:tx>
          <c:spPr>
            <a:solidFill>
              <a:schemeClr val="accent6">
                <a:lumMod val="75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Flexibility!$AA$31:$AA$44</c:f>
              <c:numCache>
                <c:formatCode>#,##0</c:formatCode>
                <c:ptCount val="14"/>
                <c:pt idx="0">
                  <c:v>132.49168973429977</c:v>
                </c:pt>
                <c:pt idx="1">
                  <c:v>84.71406856942383</c:v>
                </c:pt>
                <c:pt idx="2">
                  <c:v>204.00624053079491</c:v>
                </c:pt>
                <c:pt idx="3">
                  <c:v>-110.5192215169908</c:v>
                </c:pt>
                <c:pt idx="4">
                  <c:v>736.48877680529199</c:v>
                </c:pt>
                <c:pt idx="5">
                  <c:v>146.77705864654416</c:v>
                </c:pt>
                <c:pt idx="6">
                  <c:v>-1529.2779221014084</c:v>
                </c:pt>
                <c:pt idx="7">
                  <c:v>4668.5977024315589</c:v>
                </c:pt>
                <c:pt idx="8">
                  <c:v>10574.993921895068</c:v>
                </c:pt>
                <c:pt idx="9">
                  <c:v>1985.0620219727061</c:v>
                </c:pt>
                <c:pt idx="10">
                  <c:v>7989.9575608505438</c:v>
                </c:pt>
                <c:pt idx="11">
                  <c:v>6919.3093248960249</c:v>
                </c:pt>
                <c:pt idx="12">
                  <c:v>1436.4765906784717</c:v>
                </c:pt>
                <c:pt idx="13">
                  <c:v>20026.914224217362</c:v>
                </c:pt>
              </c:numCache>
            </c:numRef>
          </c:val>
          <c:extLst>
            <c:ext xmlns:c16="http://schemas.microsoft.com/office/drawing/2014/chart" uri="{C3380CC4-5D6E-409C-BE32-E72D297353CC}">
              <c16:uniqueId val="{00000006-279F-42B3-8C2F-CF69A84751EE}"/>
            </c:ext>
          </c:extLst>
        </c:ser>
        <c:ser>
          <c:idx val="7"/>
          <c:order val="7"/>
          <c:tx>
            <c:strRef>
              <c:f>Flexibility!$AB$29:$AB$30</c:f>
              <c:strCache>
                <c:ptCount val="2"/>
                <c:pt idx="0">
                  <c:v>2040</c:v>
                </c:pt>
                <c:pt idx="1">
                  <c:v>Gas</c:v>
                </c:pt>
              </c:strCache>
            </c:strRef>
          </c:tx>
          <c:spPr>
            <a:solidFill>
              <a:schemeClr val="accent4">
                <a:lumMod val="60000"/>
                <a:lumOff val="40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Flexibility!$AB$31:$AB$44</c:f>
              <c:numCache>
                <c:formatCode>#,##0</c:formatCode>
                <c:ptCount val="14"/>
                <c:pt idx="0">
                  <c:v>0</c:v>
                </c:pt>
                <c:pt idx="1">
                  <c:v>0</c:v>
                </c:pt>
                <c:pt idx="2">
                  <c:v>808</c:v>
                </c:pt>
                <c:pt idx="3">
                  <c:v>878</c:v>
                </c:pt>
                <c:pt idx="4">
                  <c:v>-90.000000010000008</c:v>
                </c:pt>
                <c:pt idx="5">
                  <c:v>4810.12</c:v>
                </c:pt>
                <c:pt idx="6">
                  <c:v>9839</c:v>
                </c:pt>
                <c:pt idx="7">
                  <c:v>6331</c:v>
                </c:pt>
                <c:pt idx="8">
                  <c:v>7497.0000000300006</c:v>
                </c:pt>
                <c:pt idx="9">
                  <c:v>11390</c:v>
                </c:pt>
                <c:pt idx="10">
                  <c:v>377</c:v>
                </c:pt>
                <c:pt idx="11">
                  <c:v>28495.484622299999</c:v>
                </c:pt>
                <c:pt idx="12">
                  <c:v>16233</c:v>
                </c:pt>
                <c:pt idx="13">
                  <c:v>27676.299999969997</c:v>
                </c:pt>
              </c:numCache>
            </c:numRef>
          </c:val>
          <c:extLst>
            <c:ext xmlns:c16="http://schemas.microsoft.com/office/drawing/2014/chart" uri="{C3380CC4-5D6E-409C-BE32-E72D297353CC}">
              <c16:uniqueId val="{00000007-279F-42B3-8C2F-CF69A84751EE}"/>
            </c:ext>
          </c:extLst>
        </c:ser>
        <c:ser>
          <c:idx val="8"/>
          <c:order val="8"/>
          <c:tx>
            <c:strRef>
              <c:f>Flexibility!$AC$29:$AC$30</c:f>
              <c:strCache>
                <c:ptCount val="2"/>
                <c:pt idx="0">
                  <c:v>2050</c:v>
                </c:pt>
                <c:pt idx="1">
                  <c:v>HPS</c:v>
                </c:pt>
              </c:strCache>
            </c:strRef>
          </c:tx>
          <c:spPr>
            <a:solidFill>
              <a:schemeClr val="accent5">
                <a:lumMod val="60000"/>
                <a:lumOff val="40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Flexibility!$AC$31:$AC$44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8-279F-42B3-8C2F-CF69A84751EE}"/>
            </c:ext>
          </c:extLst>
        </c:ser>
        <c:ser>
          <c:idx val="9"/>
          <c:order val="9"/>
          <c:tx>
            <c:strRef>
              <c:f>Flexibility!$AD$29:$AD$30</c:f>
              <c:strCache>
                <c:ptCount val="2"/>
                <c:pt idx="0">
                  <c:v>2050</c:v>
                </c:pt>
                <c:pt idx="1">
                  <c:v>DSR</c:v>
                </c:pt>
              </c:strCache>
            </c:strRef>
          </c:tx>
          <c:spPr>
            <a:solidFill>
              <a:schemeClr val="accent6">
                <a:lumMod val="60000"/>
                <a:lumOff val="40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Flexibility!$AD$31:$AD$44</c:f>
              <c:numCache>
                <c:formatCode>#,##0</c:formatCode>
                <c:ptCount val="14"/>
                <c:pt idx="0">
                  <c:v>22.533333400000004</c:v>
                </c:pt>
                <c:pt idx="1">
                  <c:v>4.784000000000006</c:v>
                </c:pt>
                <c:pt idx="2">
                  <c:v>6.5</c:v>
                </c:pt>
                <c:pt idx="3">
                  <c:v>818.22000000000025</c:v>
                </c:pt>
                <c:pt idx="4">
                  <c:v>1290.1427559999975</c:v>
                </c:pt>
                <c:pt idx="5">
                  <c:v>0</c:v>
                </c:pt>
                <c:pt idx="6">
                  <c:v>226.04400501000009</c:v>
                </c:pt>
                <c:pt idx="7">
                  <c:v>284.84961840000005</c:v>
                </c:pt>
                <c:pt idx="8">
                  <c:v>91</c:v>
                </c:pt>
                <c:pt idx="9">
                  <c:v>0</c:v>
                </c:pt>
                <c:pt idx="10">
                  <c:v>208</c:v>
                </c:pt>
                <c:pt idx="11">
                  <c:v>1044.0403999999999</c:v>
                </c:pt>
                <c:pt idx="12">
                  <c:v>712.59499999999935</c:v>
                </c:pt>
                <c:pt idx="13">
                  <c:v>412.69799620000003</c:v>
                </c:pt>
              </c:numCache>
            </c:numRef>
          </c:val>
          <c:extLst>
            <c:ext xmlns:c16="http://schemas.microsoft.com/office/drawing/2014/chart" uri="{C3380CC4-5D6E-409C-BE32-E72D297353CC}">
              <c16:uniqueId val="{00000009-279F-42B3-8C2F-CF69A84751EE}"/>
            </c:ext>
          </c:extLst>
        </c:ser>
        <c:ser>
          <c:idx val="10"/>
          <c:order val="10"/>
          <c:tx>
            <c:strRef>
              <c:f>Flexibility!$AE$29:$AE$30</c:f>
              <c:strCache>
                <c:ptCount val="2"/>
                <c:pt idx="0">
                  <c:v>2050</c:v>
                </c:pt>
                <c:pt idx="1">
                  <c:v>Batteries</c:v>
                </c:pt>
              </c:strCache>
            </c:strRef>
          </c:tx>
          <c:spPr>
            <a:solidFill>
              <a:srgbClr val="FF8989"/>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Flexibility!$AE$31:$AE$44</c:f>
              <c:numCache>
                <c:formatCode>#,##0</c:formatCode>
                <c:ptCount val="14"/>
                <c:pt idx="0">
                  <c:v>51.95993537941979</c:v>
                </c:pt>
                <c:pt idx="1">
                  <c:v>4.1985872742530717</c:v>
                </c:pt>
                <c:pt idx="2">
                  <c:v>82.751927662716525</c:v>
                </c:pt>
                <c:pt idx="3">
                  <c:v>-34.056476980517687</c:v>
                </c:pt>
                <c:pt idx="4">
                  <c:v>278.98964961758202</c:v>
                </c:pt>
                <c:pt idx="5">
                  <c:v>185.13849826904959</c:v>
                </c:pt>
                <c:pt idx="6">
                  <c:v>365.45733777139822</c:v>
                </c:pt>
                <c:pt idx="7">
                  <c:v>1966.82236446155</c:v>
                </c:pt>
                <c:pt idx="8">
                  <c:v>3988.820495490465</c:v>
                </c:pt>
                <c:pt idx="9">
                  <c:v>568.48919265733093</c:v>
                </c:pt>
                <c:pt idx="10">
                  <c:v>8117.2292453973132</c:v>
                </c:pt>
                <c:pt idx="11">
                  <c:v>3719.7904060628643</c:v>
                </c:pt>
                <c:pt idx="12">
                  <c:v>1788.3997915990803</c:v>
                </c:pt>
                <c:pt idx="13">
                  <c:v>25261.119541599212</c:v>
                </c:pt>
              </c:numCache>
            </c:numRef>
          </c:val>
          <c:extLst>
            <c:ext xmlns:c16="http://schemas.microsoft.com/office/drawing/2014/chart" uri="{C3380CC4-5D6E-409C-BE32-E72D297353CC}">
              <c16:uniqueId val="{0000000A-279F-42B3-8C2F-CF69A84751EE}"/>
            </c:ext>
          </c:extLst>
        </c:ser>
        <c:ser>
          <c:idx val="11"/>
          <c:order val="11"/>
          <c:tx>
            <c:strRef>
              <c:f>Flexibility!$AF$29:$AF$30</c:f>
              <c:strCache>
                <c:ptCount val="2"/>
                <c:pt idx="0">
                  <c:v>2050</c:v>
                </c:pt>
                <c:pt idx="1">
                  <c:v>Gas</c:v>
                </c:pt>
              </c:strCache>
            </c:strRef>
          </c:tx>
          <c:spPr>
            <a:solidFill>
              <a:schemeClr val="accent4">
                <a:lumMod val="40000"/>
                <a:lumOff val="60000"/>
              </a:schemeClr>
            </a:solidFill>
            <a:ln>
              <a:noFill/>
            </a:ln>
            <a:effectLst/>
          </c:spPr>
          <c:invertIfNegative val="0"/>
          <c:cat>
            <c:strRef>
              <c:f>Flexibility!$S$31:$S$44</c:f>
              <c:strCache>
                <c:ptCount val="14"/>
                <c:pt idx="0">
                  <c:v>Estonia</c:v>
                </c:pt>
                <c:pt idx="1">
                  <c:v>Latvia</c:v>
                </c:pt>
                <c:pt idx="2">
                  <c:v>Lithuania</c:v>
                </c:pt>
                <c:pt idx="3">
                  <c:v>Norway</c:v>
                </c:pt>
                <c:pt idx="4">
                  <c:v>Finland</c:v>
                </c:pt>
                <c:pt idx="5">
                  <c:v>Denmark</c:v>
                </c:pt>
                <c:pt idx="6">
                  <c:v>Sweden</c:v>
                </c:pt>
                <c:pt idx="7">
                  <c:v>Belgium</c:v>
                </c:pt>
                <c:pt idx="8">
                  <c:v>Netherlands</c:v>
                </c:pt>
                <c:pt idx="9">
                  <c:v>Poland</c:v>
                </c:pt>
                <c:pt idx="10">
                  <c:v>Spain</c:v>
                </c:pt>
                <c:pt idx="11">
                  <c:v>UK</c:v>
                </c:pt>
                <c:pt idx="12">
                  <c:v>France</c:v>
                </c:pt>
                <c:pt idx="13">
                  <c:v>Germany</c:v>
                </c:pt>
              </c:strCache>
            </c:strRef>
          </c:cat>
          <c:val>
            <c:numRef>
              <c:f>Flexibility!$AF$31:$AF$44</c:f>
              <c:numCache>
                <c:formatCode>#,##0</c:formatCode>
                <c:ptCount val="14"/>
                <c:pt idx="0">
                  <c:v>419.3234746</c:v>
                </c:pt>
                <c:pt idx="1">
                  <c:v>552.12907099999995</c:v>
                </c:pt>
                <c:pt idx="2">
                  <c:v>0</c:v>
                </c:pt>
                <c:pt idx="3">
                  <c:v>0</c:v>
                </c:pt>
                <c:pt idx="4">
                  <c:v>6.6118322899999953</c:v>
                </c:pt>
                <c:pt idx="5">
                  <c:v>873.34166200000072</c:v>
                </c:pt>
                <c:pt idx="6">
                  <c:v>-6493.1105200000011</c:v>
                </c:pt>
                <c:pt idx="7">
                  <c:v>8492.2644600000003</c:v>
                </c:pt>
                <c:pt idx="8">
                  <c:v>3430.0768100000005</c:v>
                </c:pt>
                <c:pt idx="9">
                  <c:v>7063.3700700000009</c:v>
                </c:pt>
                <c:pt idx="10">
                  <c:v>0</c:v>
                </c:pt>
                <c:pt idx="11">
                  <c:v>19971.107500699996</c:v>
                </c:pt>
                <c:pt idx="12">
                  <c:v>22937.894370000002</c:v>
                </c:pt>
                <c:pt idx="13">
                  <c:v>8433.2499996500046</c:v>
                </c:pt>
              </c:numCache>
            </c:numRef>
          </c:val>
          <c:extLst>
            <c:ext xmlns:c16="http://schemas.microsoft.com/office/drawing/2014/chart" uri="{C3380CC4-5D6E-409C-BE32-E72D297353CC}">
              <c16:uniqueId val="{0000000B-279F-42B3-8C2F-CF69A84751EE}"/>
            </c:ext>
          </c:extLst>
        </c:ser>
        <c:dLbls>
          <c:showLegendKey val="0"/>
          <c:showVal val="0"/>
          <c:showCatName val="0"/>
          <c:showSerName val="0"/>
          <c:showPercent val="0"/>
          <c:showBubbleSize val="0"/>
        </c:dLbls>
        <c:gapWidth val="50"/>
        <c:overlap val="100"/>
        <c:axId val="1133621999"/>
        <c:axId val="1244195391"/>
      </c:barChart>
      <c:catAx>
        <c:axId val="113362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44195391"/>
        <c:crosses val="autoZero"/>
        <c:auto val="1"/>
        <c:lblAlgn val="ctr"/>
        <c:lblOffset val="100"/>
        <c:noMultiLvlLbl val="0"/>
      </c:catAx>
      <c:valAx>
        <c:axId val="1244195391"/>
        <c:scaling>
          <c:orientation val="minMax"/>
          <c:max val="130000"/>
          <c:min val="-100"/>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33621999"/>
        <c:crosses val="autoZero"/>
        <c:crossBetween val="between"/>
        <c:minorUnit val="10000"/>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21.emf"/><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xdr:row>
      <xdr:rowOff>19050</xdr:rowOff>
    </xdr:from>
    <xdr:to>
      <xdr:col>10</xdr:col>
      <xdr:colOff>239159</xdr:colOff>
      <xdr:row>72</xdr:row>
      <xdr:rowOff>67267</xdr:rowOff>
    </xdr:to>
    <xdr:pic>
      <xdr:nvPicPr>
        <xdr:cNvPr id="2" name="Picture 1">
          <a:extLst>
            <a:ext uri="{FF2B5EF4-FFF2-40B4-BE49-F238E27FC236}">
              <a16:creationId xmlns:a16="http://schemas.microsoft.com/office/drawing/2014/main" id="{5396F48A-8CAE-539B-42D6-6A493CB5062C}"/>
            </a:ext>
          </a:extLst>
        </xdr:cNvPr>
        <xdr:cNvPicPr>
          <a:picLocks noChangeAspect="1"/>
        </xdr:cNvPicPr>
      </xdr:nvPicPr>
      <xdr:blipFill>
        <a:blip xmlns:r="http://schemas.openxmlformats.org/officeDocument/2006/relationships" r:embed="rId1"/>
        <a:stretch>
          <a:fillRect/>
        </a:stretch>
      </xdr:blipFill>
      <xdr:spPr>
        <a:xfrm>
          <a:off x="0" y="7067550"/>
          <a:ext cx="7411484" cy="42392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22859</xdr:colOff>
      <xdr:row>28</xdr:row>
      <xdr:rowOff>17457</xdr:rowOff>
    </xdr:from>
    <xdr:to>
      <xdr:col>44</xdr:col>
      <xdr:colOff>93894</xdr:colOff>
      <xdr:row>45</xdr:row>
      <xdr:rowOff>2434</xdr:rowOff>
    </xdr:to>
    <xdr:grpSp>
      <xdr:nvGrpSpPr>
        <xdr:cNvPr id="6" name="Group 5">
          <a:extLst>
            <a:ext uri="{FF2B5EF4-FFF2-40B4-BE49-F238E27FC236}">
              <a16:creationId xmlns:a16="http://schemas.microsoft.com/office/drawing/2014/main" id="{F2A3B949-2A33-102D-980E-9722E8C04A7A}"/>
            </a:ext>
          </a:extLst>
        </xdr:cNvPr>
        <xdr:cNvGrpSpPr/>
      </xdr:nvGrpSpPr>
      <xdr:grpSpPr>
        <a:xfrm>
          <a:off x="15443834" y="5351457"/>
          <a:ext cx="5786035" cy="3223477"/>
          <a:chOff x="14653259" y="5084757"/>
          <a:chExt cx="5519335" cy="2880577"/>
        </a:xfrm>
      </xdr:grpSpPr>
      <xdr:graphicFrame macro="">
        <xdr:nvGraphicFramePr>
          <xdr:cNvPr id="2" name="Chart 1">
            <a:extLst>
              <a:ext uri="{FF2B5EF4-FFF2-40B4-BE49-F238E27FC236}">
                <a16:creationId xmlns:a16="http://schemas.microsoft.com/office/drawing/2014/main" id="{99157475-6355-F6B4-7298-40541E1ADFB9}"/>
              </a:ext>
            </a:extLst>
          </xdr:cNvPr>
          <xdr:cNvGraphicFramePr/>
        </xdr:nvGraphicFramePr>
        <xdr:xfrm>
          <a:off x="14653259" y="5084757"/>
          <a:ext cx="5519335" cy="288057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ABD499F5-8928-4B26-804A-CA0AA2220E22}"/>
              </a:ext>
            </a:extLst>
          </xdr:cNvPr>
          <xdr:cNvSpPr txBox="1"/>
        </xdr:nvSpPr>
        <xdr:spPr>
          <a:xfrm>
            <a:off x="19661355" y="7668616"/>
            <a:ext cx="381525" cy="24411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GW</a:t>
            </a:r>
          </a:p>
        </xdr:txBody>
      </xdr:sp>
      <xdr:grpSp>
        <xdr:nvGrpSpPr>
          <xdr:cNvPr id="21" name="Group 20">
            <a:extLst>
              <a:ext uri="{FF2B5EF4-FFF2-40B4-BE49-F238E27FC236}">
                <a16:creationId xmlns:a16="http://schemas.microsoft.com/office/drawing/2014/main" id="{80F146B4-C77E-B66B-5297-B1260F2F1DF2}"/>
              </a:ext>
            </a:extLst>
          </xdr:cNvPr>
          <xdr:cNvGrpSpPr/>
        </xdr:nvGrpSpPr>
        <xdr:grpSpPr>
          <a:xfrm>
            <a:off x="17856826" y="6344592"/>
            <a:ext cx="1907099" cy="1124694"/>
            <a:chOff x="16926582" y="8566261"/>
            <a:chExt cx="1986393" cy="1165340"/>
          </a:xfrm>
        </xdr:grpSpPr>
        <xdr:sp macro="" textlink="">
          <xdr:nvSpPr>
            <xdr:cNvPr id="5" name="TextBox 4">
              <a:extLst>
                <a:ext uri="{FF2B5EF4-FFF2-40B4-BE49-F238E27FC236}">
                  <a16:creationId xmlns:a16="http://schemas.microsoft.com/office/drawing/2014/main" id="{E43FBB15-299A-39B3-F291-72C40521C571}"/>
                </a:ext>
              </a:extLst>
            </xdr:cNvPr>
            <xdr:cNvSpPr txBox="1"/>
          </xdr:nvSpPr>
          <xdr:spPr>
            <a:xfrm>
              <a:off x="16926582" y="8566261"/>
              <a:ext cx="1287658" cy="83819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US" sz="1100"/>
                <a:t>Pumped hydro</a:t>
              </a:r>
            </a:p>
            <a:p>
              <a:pPr algn="r"/>
              <a:r>
                <a:rPr lang="en-US" sz="1100"/>
                <a:t>Demand response</a:t>
              </a:r>
            </a:p>
            <a:p>
              <a:pPr algn="r"/>
              <a:r>
                <a:rPr lang="en-US" sz="1100"/>
                <a:t>Batteries</a:t>
              </a:r>
            </a:p>
            <a:p>
              <a:pPr algn="r"/>
              <a:r>
                <a:rPr lang="en-US" sz="1100"/>
                <a:t>Gas</a:t>
              </a:r>
            </a:p>
          </xdr:txBody>
        </xdr:sp>
        <xdr:sp macro="" textlink="">
          <xdr:nvSpPr>
            <xdr:cNvPr id="7" name="TextBox 6">
              <a:extLst>
                <a:ext uri="{FF2B5EF4-FFF2-40B4-BE49-F238E27FC236}">
                  <a16:creationId xmlns:a16="http://schemas.microsoft.com/office/drawing/2014/main" id="{44640C32-81EC-4DBE-D066-EA48610CFCE8}"/>
                </a:ext>
              </a:extLst>
            </xdr:cNvPr>
            <xdr:cNvSpPr txBox="1"/>
          </xdr:nvSpPr>
          <xdr:spPr>
            <a:xfrm>
              <a:off x="18161286" y="9353292"/>
              <a:ext cx="751689" cy="37830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vert="vert270" wrap="none" rtlCol="0" anchor="t">
              <a:noAutofit/>
            </a:bodyPr>
            <a:lstStyle/>
            <a:p>
              <a:r>
                <a:rPr lang="en-US" sz="1100"/>
                <a:t>2030</a:t>
              </a:r>
            </a:p>
            <a:p>
              <a:r>
                <a:rPr lang="en-US" sz="1100"/>
                <a:t>2040</a:t>
              </a:r>
            </a:p>
            <a:p>
              <a:r>
                <a:rPr lang="en-US" sz="1100"/>
                <a:t>2050</a:t>
              </a:r>
            </a:p>
          </xdr:txBody>
        </xdr:sp>
        <xdr:grpSp>
          <xdr:nvGrpSpPr>
            <xdr:cNvPr id="20" name="Group 19">
              <a:extLst>
                <a:ext uri="{FF2B5EF4-FFF2-40B4-BE49-F238E27FC236}">
                  <a16:creationId xmlns:a16="http://schemas.microsoft.com/office/drawing/2014/main" id="{7FFA7511-0A55-2475-EC74-53869B03C7B4}"/>
                </a:ext>
              </a:extLst>
            </xdr:cNvPr>
            <xdr:cNvGrpSpPr/>
          </xdr:nvGrpSpPr>
          <xdr:grpSpPr>
            <a:xfrm>
              <a:off x="18252360" y="8633161"/>
              <a:ext cx="520048" cy="689061"/>
              <a:chOff x="18252360" y="8633161"/>
              <a:chExt cx="520048" cy="689061"/>
            </a:xfrm>
          </xdr:grpSpPr>
          <xdr:sp macro="" textlink="">
            <xdr:nvSpPr>
              <xdr:cNvPr id="8" name="Rectangle 7">
                <a:extLst>
                  <a:ext uri="{FF2B5EF4-FFF2-40B4-BE49-F238E27FC236}">
                    <a16:creationId xmlns:a16="http://schemas.microsoft.com/office/drawing/2014/main" id="{D6CB1F42-B5A5-6045-C9BC-0757F151CBA3}"/>
                  </a:ext>
                </a:extLst>
              </xdr:cNvPr>
              <xdr:cNvSpPr/>
            </xdr:nvSpPr>
            <xdr:spPr>
              <a:xfrm>
                <a:off x="18257615" y="8998396"/>
                <a:ext cx="143144" cy="144000"/>
              </a:xfrm>
              <a:prstGeom prst="rect">
                <a:avLst/>
              </a:prstGeom>
              <a:solidFill>
                <a:srgbClr val="A8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D5A49344-75C4-E67F-3FE3-BAE12422C331}"/>
                  </a:ext>
                </a:extLst>
              </xdr:cNvPr>
              <xdr:cNvSpPr/>
            </xdr:nvSpPr>
            <xdr:spPr>
              <a:xfrm>
                <a:off x="18443113" y="9000707"/>
                <a:ext cx="145553" cy="144000"/>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E11587E1-8481-37E1-9E25-E55F45FD60DD}"/>
                  </a:ext>
                </a:extLst>
              </xdr:cNvPr>
              <xdr:cNvSpPr/>
            </xdr:nvSpPr>
            <xdr:spPr>
              <a:xfrm>
                <a:off x="18620769" y="8997359"/>
                <a:ext cx="145553" cy="144000"/>
              </a:xfrm>
              <a:prstGeom prst="rect">
                <a:avLst/>
              </a:prstGeom>
              <a:solidFill>
                <a:srgbClr val="FF898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BC658BAF-8E4D-6DBA-060E-ED86E335AB6D}"/>
                  </a:ext>
                </a:extLst>
              </xdr:cNvPr>
              <xdr:cNvSpPr/>
            </xdr:nvSpPr>
            <xdr:spPr>
              <a:xfrm>
                <a:off x="18262932" y="9175911"/>
                <a:ext cx="145553" cy="144000"/>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997810E9-E39F-E264-79AD-7423E97FF48A}"/>
                  </a:ext>
                </a:extLst>
              </xdr:cNvPr>
              <xdr:cNvSpPr/>
            </xdr:nvSpPr>
            <xdr:spPr>
              <a:xfrm>
                <a:off x="18446740" y="9178222"/>
                <a:ext cx="145553" cy="144000"/>
              </a:xfrm>
              <a:prstGeom prst="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A2C664D2-ECFB-82C8-ABEF-B3B9A7B72AA6}"/>
                  </a:ext>
                </a:extLst>
              </xdr:cNvPr>
              <xdr:cNvSpPr/>
            </xdr:nvSpPr>
            <xdr:spPr>
              <a:xfrm>
                <a:off x="18628494" y="9174874"/>
                <a:ext cx="143914" cy="144000"/>
              </a:xfrm>
              <a:prstGeom prst="rect">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7439624D-B448-41CE-9585-52C03E70A231}"/>
                  </a:ext>
                </a:extLst>
              </xdr:cNvPr>
              <xdr:cNvSpPr/>
            </xdr:nvSpPr>
            <xdr:spPr>
              <a:xfrm>
                <a:off x="18252360" y="8815779"/>
                <a:ext cx="143144" cy="144000"/>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2EB360D5-C964-43CA-B7D4-D344E0B581DB}"/>
                  </a:ext>
                </a:extLst>
              </xdr:cNvPr>
              <xdr:cNvSpPr/>
            </xdr:nvSpPr>
            <xdr:spPr>
              <a:xfrm>
                <a:off x="18437858" y="8818090"/>
                <a:ext cx="145553" cy="144000"/>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a:extLst>
                  <a:ext uri="{FF2B5EF4-FFF2-40B4-BE49-F238E27FC236}">
                    <a16:creationId xmlns:a16="http://schemas.microsoft.com/office/drawing/2014/main" id="{D8AAB23C-049C-4028-ADC3-B9FE9D4DA791}"/>
                  </a:ext>
                </a:extLst>
              </xdr:cNvPr>
              <xdr:cNvSpPr/>
            </xdr:nvSpPr>
            <xdr:spPr>
              <a:xfrm>
                <a:off x="18615514" y="8814742"/>
                <a:ext cx="145553" cy="144000"/>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9CC56A9A-3EA6-4755-99F3-BEB7754817C3}"/>
                  </a:ext>
                </a:extLst>
              </xdr:cNvPr>
              <xdr:cNvSpPr/>
            </xdr:nvSpPr>
            <xdr:spPr>
              <a:xfrm>
                <a:off x="18253674" y="8633161"/>
                <a:ext cx="143144" cy="144000"/>
              </a:xfrm>
              <a:prstGeom prst="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F35BD870-0494-4E92-8A90-7E58B78CDBEC}"/>
                  </a:ext>
                </a:extLst>
              </xdr:cNvPr>
              <xdr:cNvSpPr/>
            </xdr:nvSpPr>
            <xdr:spPr>
              <a:xfrm>
                <a:off x="18439172" y="8635472"/>
                <a:ext cx="145553" cy="144000"/>
              </a:xfrm>
              <a:prstGeom prst="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112059</xdr:colOff>
      <xdr:row>0</xdr:row>
      <xdr:rowOff>0</xdr:rowOff>
    </xdr:from>
    <xdr:to>
      <xdr:col>33</xdr:col>
      <xdr:colOff>582714</xdr:colOff>
      <xdr:row>14</xdr:row>
      <xdr:rowOff>180079</xdr:rowOff>
    </xdr:to>
    <xdr:pic>
      <xdr:nvPicPr>
        <xdr:cNvPr id="2" name="Picture 1">
          <a:extLst>
            <a:ext uri="{FF2B5EF4-FFF2-40B4-BE49-F238E27FC236}">
              <a16:creationId xmlns:a16="http://schemas.microsoft.com/office/drawing/2014/main" id="{5F18DF6E-2A57-66B6-FF77-A7CD4D1F5DD8}"/>
            </a:ext>
          </a:extLst>
        </xdr:cNvPr>
        <xdr:cNvPicPr>
          <a:picLocks noChangeAspect="1"/>
        </xdr:cNvPicPr>
      </xdr:nvPicPr>
      <xdr:blipFill>
        <a:blip xmlns:r="http://schemas.openxmlformats.org/officeDocument/2006/relationships" r:embed="rId1"/>
        <a:stretch>
          <a:fillRect/>
        </a:stretch>
      </xdr:blipFill>
      <xdr:spPr>
        <a:xfrm>
          <a:off x="14365941" y="0"/>
          <a:ext cx="5815861" cy="2847079"/>
        </a:xfrm>
        <a:prstGeom prst="rect">
          <a:avLst/>
        </a:prstGeom>
      </xdr:spPr>
    </xdr:pic>
    <xdr:clientData/>
  </xdr:twoCellAnchor>
  <xdr:twoCellAnchor editAs="oneCell">
    <xdr:from>
      <xdr:col>24</xdr:col>
      <xdr:colOff>145676</xdr:colOff>
      <xdr:row>14</xdr:row>
      <xdr:rowOff>185408</xdr:rowOff>
    </xdr:from>
    <xdr:to>
      <xdr:col>34</xdr:col>
      <xdr:colOff>22419</xdr:colOff>
      <xdr:row>29</xdr:row>
      <xdr:rowOff>174987</xdr:rowOff>
    </xdr:to>
    <xdr:pic>
      <xdr:nvPicPr>
        <xdr:cNvPr id="3" name="Picture 2">
          <a:extLst>
            <a:ext uri="{FF2B5EF4-FFF2-40B4-BE49-F238E27FC236}">
              <a16:creationId xmlns:a16="http://schemas.microsoft.com/office/drawing/2014/main" id="{4AF19201-49DA-A03C-F690-7C6633FE4CA0}"/>
            </a:ext>
          </a:extLst>
        </xdr:cNvPr>
        <xdr:cNvPicPr>
          <a:picLocks noChangeAspect="1"/>
        </xdr:cNvPicPr>
      </xdr:nvPicPr>
      <xdr:blipFill>
        <a:blip xmlns:r="http://schemas.openxmlformats.org/officeDocument/2006/relationships" r:embed="rId2"/>
        <a:stretch>
          <a:fillRect/>
        </a:stretch>
      </xdr:blipFill>
      <xdr:spPr>
        <a:xfrm>
          <a:off x="14399558" y="2852408"/>
          <a:ext cx="5815861" cy="2847079"/>
        </a:xfrm>
        <a:prstGeom prst="rect">
          <a:avLst/>
        </a:prstGeom>
      </xdr:spPr>
    </xdr:pic>
    <xdr:clientData/>
  </xdr:twoCellAnchor>
  <xdr:twoCellAnchor editAs="oneCell">
    <xdr:from>
      <xdr:col>34</xdr:col>
      <xdr:colOff>0</xdr:colOff>
      <xdr:row>0</xdr:row>
      <xdr:rowOff>0</xdr:rowOff>
    </xdr:from>
    <xdr:to>
      <xdr:col>43</xdr:col>
      <xdr:colOff>470655</xdr:colOff>
      <xdr:row>14</xdr:row>
      <xdr:rowOff>173982</xdr:rowOff>
    </xdr:to>
    <xdr:pic>
      <xdr:nvPicPr>
        <xdr:cNvPr id="5" name="Picture 4">
          <a:extLst>
            <a:ext uri="{FF2B5EF4-FFF2-40B4-BE49-F238E27FC236}">
              <a16:creationId xmlns:a16="http://schemas.microsoft.com/office/drawing/2014/main" id="{E52AF16C-02D4-479C-2EE2-DAF52DCD6307}"/>
            </a:ext>
          </a:extLst>
        </xdr:cNvPr>
        <xdr:cNvPicPr>
          <a:picLocks noChangeAspect="1"/>
        </xdr:cNvPicPr>
      </xdr:nvPicPr>
      <xdr:blipFill>
        <a:blip xmlns:r="http://schemas.openxmlformats.org/officeDocument/2006/relationships" r:embed="rId3"/>
        <a:stretch>
          <a:fillRect/>
        </a:stretch>
      </xdr:blipFill>
      <xdr:spPr>
        <a:xfrm>
          <a:off x="20726400" y="0"/>
          <a:ext cx="5957055" cy="2840982"/>
        </a:xfrm>
        <a:prstGeom prst="rect">
          <a:avLst/>
        </a:prstGeom>
      </xdr:spPr>
    </xdr:pic>
    <xdr:clientData/>
  </xdr:twoCellAnchor>
  <xdr:twoCellAnchor editAs="oneCell">
    <xdr:from>
      <xdr:col>34</xdr:col>
      <xdr:colOff>33617</xdr:colOff>
      <xdr:row>15</xdr:row>
      <xdr:rowOff>44824</xdr:rowOff>
    </xdr:from>
    <xdr:to>
      <xdr:col>43</xdr:col>
      <xdr:colOff>504272</xdr:colOff>
      <xdr:row>30</xdr:row>
      <xdr:rowOff>28306</xdr:rowOff>
    </xdr:to>
    <xdr:pic>
      <xdr:nvPicPr>
        <xdr:cNvPr id="6" name="Picture 5">
          <a:extLst>
            <a:ext uri="{FF2B5EF4-FFF2-40B4-BE49-F238E27FC236}">
              <a16:creationId xmlns:a16="http://schemas.microsoft.com/office/drawing/2014/main" id="{5320AF9A-D420-3E26-FF1B-2D130723EB53}"/>
            </a:ext>
          </a:extLst>
        </xdr:cNvPr>
        <xdr:cNvPicPr>
          <a:picLocks noChangeAspect="1"/>
        </xdr:cNvPicPr>
      </xdr:nvPicPr>
      <xdr:blipFill>
        <a:blip xmlns:r="http://schemas.openxmlformats.org/officeDocument/2006/relationships" r:embed="rId4"/>
        <a:stretch>
          <a:fillRect/>
        </a:stretch>
      </xdr:blipFill>
      <xdr:spPr>
        <a:xfrm>
          <a:off x="20226617" y="2902324"/>
          <a:ext cx="5815861" cy="2840982"/>
        </a:xfrm>
        <a:prstGeom prst="rect">
          <a:avLst/>
        </a:prstGeom>
      </xdr:spPr>
    </xdr:pic>
    <xdr:clientData/>
  </xdr:twoCellAnchor>
  <xdr:twoCellAnchor editAs="oneCell">
    <xdr:from>
      <xdr:col>43</xdr:col>
      <xdr:colOff>419100</xdr:colOff>
      <xdr:row>0</xdr:row>
      <xdr:rowOff>0</xdr:rowOff>
    </xdr:from>
    <xdr:to>
      <xdr:col>53</xdr:col>
      <xdr:colOff>280155</xdr:colOff>
      <xdr:row>14</xdr:row>
      <xdr:rowOff>180079</xdr:rowOff>
    </xdr:to>
    <xdr:pic>
      <xdr:nvPicPr>
        <xdr:cNvPr id="7" name="Picture 6">
          <a:extLst>
            <a:ext uri="{FF2B5EF4-FFF2-40B4-BE49-F238E27FC236}">
              <a16:creationId xmlns:a16="http://schemas.microsoft.com/office/drawing/2014/main" id="{3D88708A-1CFE-8009-57D9-CB2C412D4B3E}"/>
            </a:ext>
          </a:extLst>
        </xdr:cNvPr>
        <xdr:cNvPicPr>
          <a:picLocks noChangeAspect="1"/>
        </xdr:cNvPicPr>
      </xdr:nvPicPr>
      <xdr:blipFill>
        <a:blip xmlns:r="http://schemas.openxmlformats.org/officeDocument/2006/relationships" r:embed="rId5"/>
        <a:stretch>
          <a:fillRect/>
        </a:stretch>
      </xdr:blipFill>
      <xdr:spPr>
        <a:xfrm>
          <a:off x="26631900" y="0"/>
          <a:ext cx="5957055" cy="2847079"/>
        </a:xfrm>
        <a:prstGeom prst="rect">
          <a:avLst/>
        </a:prstGeom>
      </xdr:spPr>
    </xdr:pic>
    <xdr:clientData/>
  </xdr:twoCellAnchor>
  <xdr:twoCellAnchor editAs="oneCell">
    <xdr:from>
      <xdr:col>43</xdr:col>
      <xdr:colOff>533400</xdr:colOff>
      <xdr:row>15</xdr:row>
      <xdr:rowOff>44213</xdr:rowOff>
    </xdr:from>
    <xdr:to>
      <xdr:col>53</xdr:col>
      <xdr:colOff>400552</xdr:colOff>
      <xdr:row>30</xdr:row>
      <xdr:rowOff>33792</xdr:rowOff>
    </xdr:to>
    <xdr:pic>
      <xdr:nvPicPr>
        <xdr:cNvPr id="8" name="Picture 7">
          <a:extLst>
            <a:ext uri="{FF2B5EF4-FFF2-40B4-BE49-F238E27FC236}">
              <a16:creationId xmlns:a16="http://schemas.microsoft.com/office/drawing/2014/main" id="{15845C9C-82D4-578E-07F8-543E3040067D}"/>
            </a:ext>
          </a:extLst>
        </xdr:cNvPr>
        <xdr:cNvPicPr>
          <a:picLocks noChangeAspect="1"/>
        </xdr:cNvPicPr>
      </xdr:nvPicPr>
      <xdr:blipFill>
        <a:blip xmlns:r="http://schemas.openxmlformats.org/officeDocument/2006/relationships" r:embed="rId6"/>
        <a:stretch>
          <a:fillRect/>
        </a:stretch>
      </xdr:blipFill>
      <xdr:spPr>
        <a:xfrm>
          <a:off x="26071606" y="2901713"/>
          <a:ext cx="5806270" cy="2847079"/>
        </a:xfrm>
        <a:prstGeom prst="rect">
          <a:avLst/>
        </a:prstGeom>
      </xdr:spPr>
    </xdr:pic>
    <xdr:clientData/>
  </xdr:twoCellAnchor>
  <xdr:twoCellAnchor editAs="oneCell">
    <xdr:from>
      <xdr:col>53</xdr:col>
      <xdr:colOff>190500</xdr:colOff>
      <xdr:row>0</xdr:row>
      <xdr:rowOff>0</xdr:rowOff>
    </xdr:from>
    <xdr:to>
      <xdr:col>63</xdr:col>
      <xdr:colOff>57652</xdr:colOff>
      <xdr:row>14</xdr:row>
      <xdr:rowOff>173982</xdr:rowOff>
    </xdr:to>
    <xdr:pic>
      <xdr:nvPicPr>
        <xdr:cNvPr id="9" name="Picture 8">
          <a:extLst>
            <a:ext uri="{FF2B5EF4-FFF2-40B4-BE49-F238E27FC236}">
              <a16:creationId xmlns:a16="http://schemas.microsoft.com/office/drawing/2014/main" id="{4E1C47CE-2588-178F-2F20-9560A2D67B2D}"/>
            </a:ext>
          </a:extLst>
        </xdr:cNvPr>
        <xdr:cNvPicPr>
          <a:picLocks noChangeAspect="1"/>
        </xdr:cNvPicPr>
      </xdr:nvPicPr>
      <xdr:blipFill>
        <a:blip xmlns:r="http://schemas.openxmlformats.org/officeDocument/2006/relationships" r:embed="rId7"/>
        <a:stretch>
          <a:fillRect/>
        </a:stretch>
      </xdr:blipFill>
      <xdr:spPr>
        <a:xfrm>
          <a:off x="32499300" y="0"/>
          <a:ext cx="5963152" cy="2840982"/>
        </a:xfrm>
        <a:prstGeom prst="rect">
          <a:avLst/>
        </a:prstGeom>
      </xdr:spPr>
    </xdr:pic>
    <xdr:clientData/>
  </xdr:twoCellAnchor>
  <xdr:twoCellAnchor editAs="oneCell">
    <xdr:from>
      <xdr:col>53</xdr:col>
      <xdr:colOff>342900</xdr:colOff>
      <xdr:row>15</xdr:row>
      <xdr:rowOff>46454</xdr:rowOff>
    </xdr:from>
    <xdr:to>
      <xdr:col>63</xdr:col>
      <xdr:colOff>203955</xdr:colOff>
      <xdr:row>30</xdr:row>
      <xdr:rowOff>29936</xdr:rowOff>
    </xdr:to>
    <xdr:pic>
      <xdr:nvPicPr>
        <xdr:cNvPr id="10" name="Picture 9">
          <a:extLst>
            <a:ext uri="{FF2B5EF4-FFF2-40B4-BE49-F238E27FC236}">
              <a16:creationId xmlns:a16="http://schemas.microsoft.com/office/drawing/2014/main" id="{FB06812E-E7B4-FE46-4C11-A8C249890820}"/>
            </a:ext>
          </a:extLst>
        </xdr:cNvPr>
        <xdr:cNvPicPr>
          <a:picLocks noChangeAspect="1"/>
        </xdr:cNvPicPr>
      </xdr:nvPicPr>
      <xdr:blipFill>
        <a:blip xmlns:r="http://schemas.openxmlformats.org/officeDocument/2006/relationships" r:embed="rId8"/>
        <a:stretch>
          <a:fillRect/>
        </a:stretch>
      </xdr:blipFill>
      <xdr:spPr>
        <a:xfrm>
          <a:off x="31820224" y="2903954"/>
          <a:ext cx="5800172" cy="2840982"/>
        </a:xfrm>
        <a:prstGeom prst="rect">
          <a:avLst/>
        </a:prstGeom>
      </xdr:spPr>
    </xdr:pic>
    <xdr:clientData/>
  </xdr:twoCellAnchor>
  <xdr:twoCellAnchor editAs="oneCell">
    <xdr:from>
      <xdr:col>63</xdr:col>
      <xdr:colOff>190500</xdr:colOff>
      <xdr:row>0</xdr:row>
      <xdr:rowOff>0</xdr:rowOff>
    </xdr:from>
    <xdr:to>
      <xdr:col>73</xdr:col>
      <xdr:colOff>51555</xdr:colOff>
      <xdr:row>14</xdr:row>
      <xdr:rowOff>180079</xdr:rowOff>
    </xdr:to>
    <xdr:pic>
      <xdr:nvPicPr>
        <xdr:cNvPr id="12" name="Picture 11">
          <a:extLst>
            <a:ext uri="{FF2B5EF4-FFF2-40B4-BE49-F238E27FC236}">
              <a16:creationId xmlns:a16="http://schemas.microsoft.com/office/drawing/2014/main" id="{58AC2758-BEE0-ACC9-5339-EE3542E5FC6E}"/>
            </a:ext>
          </a:extLst>
        </xdr:cNvPr>
        <xdr:cNvPicPr>
          <a:picLocks noChangeAspect="1"/>
        </xdr:cNvPicPr>
      </xdr:nvPicPr>
      <xdr:blipFill>
        <a:blip xmlns:r="http://schemas.openxmlformats.org/officeDocument/2006/relationships" r:embed="rId9"/>
        <a:stretch>
          <a:fillRect/>
        </a:stretch>
      </xdr:blipFill>
      <xdr:spPr>
        <a:xfrm>
          <a:off x="38595300" y="0"/>
          <a:ext cx="5957055" cy="2847079"/>
        </a:xfrm>
        <a:prstGeom prst="rect">
          <a:avLst/>
        </a:prstGeom>
      </xdr:spPr>
    </xdr:pic>
    <xdr:clientData/>
  </xdr:twoCellAnchor>
  <xdr:twoCellAnchor editAs="oneCell">
    <xdr:from>
      <xdr:col>63</xdr:col>
      <xdr:colOff>293594</xdr:colOff>
      <xdr:row>15</xdr:row>
      <xdr:rowOff>44213</xdr:rowOff>
    </xdr:from>
    <xdr:to>
      <xdr:col>73</xdr:col>
      <xdr:colOff>154649</xdr:colOff>
      <xdr:row>30</xdr:row>
      <xdr:rowOff>27695</xdr:rowOff>
    </xdr:to>
    <xdr:pic>
      <xdr:nvPicPr>
        <xdr:cNvPr id="13" name="Picture 12">
          <a:extLst>
            <a:ext uri="{FF2B5EF4-FFF2-40B4-BE49-F238E27FC236}">
              <a16:creationId xmlns:a16="http://schemas.microsoft.com/office/drawing/2014/main" id="{738F59F3-3598-E4D4-E6C4-AC3A388A63EF}"/>
            </a:ext>
          </a:extLst>
        </xdr:cNvPr>
        <xdr:cNvPicPr>
          <a:picLocks noChangeAspect="1"/>
        </xdr:cNvPicPr>
      </xdr:nvPicPr>
      <xdr:blipFill>
        <a:blip xmlns:r="http://schemas.openxmlformats.org/officeDocument/2006/relationships" r:embed="rId10"/>
        <a:stretch>
          <a:fillRect/>
        </a:stretch>
      </xdr:blipFill>
      <xdr:spPr>
        <a:xfrm>
          <a:off x="37710035" y="2901713"/>
          <a:ext cx="5800173" cy="2840982"/>
        </a:xfrm>
        <a:prstGeom prst="rect">
          <a:avLst/>
        </a:prstGeom>
      </xdr:spPr>
    </xdr:pic>
    <xdr:clientData/>
  </xdr:twoCellAnchor>
  <xdr:twoCellAnchor editAs="oneCell">
    <xdr:from>
      <xdr:col>73</xdr:col>
      <xdr:colOff>38100</xdr:colOff>
      <xdr:row>0</xdr:row>
      <xdr:rowOff>0</xdr:rowOff>
    </xdr:from>
    <xdr:to>
      <xdr:col>82</xdr:col>
      <xdr:colOff>508755</xdr:colOff>
      <xdr:row>14</xdr:row>
      <xdr:rowOff>173982</xdr:rowOff>
    </xdr:to>
    <xdr:pic>
      <xdr:nvPicPr>
        <xdr:cNvPr id="14" name="Picture 13">
          <a:extLst>
            <a:ext uri="{FF2B5EF4-FFF2-40B4-BE49-F238E27FC236}">
              <a16:creationId xmlns:a16="http://schemas.microsoft.com/office/drawing/2014/main" id="{30E1E170-D758-C5EB-1A6D-DEA430577F8C}"/>
            </a:ext>
          </a:extLst>
        </xdr:cNvPr>
        <xdr:cNvPicPr>
          <a:picLocks noChangeAspect="1"/>
        </xdr:cNvPicPr>
      </xdr:nvPicPr>
      <xdr:blipFill>
        <a:blip xmlns:r="http://schemas.openxmlformats.org/officeDocument/2006/relationships" r:embed="rId11"/>
        <a:stretch>
          <a:fillRect/>
        </a:stretch>
      </xdr:blipFill>
      <xdr:spPr>
        <a:xfrm>
          <a:off x="44538900" y="0"/>
          <a:ext cx="5957055" cy="2840982"/>
        </a:xfrm>
        <a:prstGeom prst="rect">
          <a:avLst/>
        </a:prstGeom>
      </xdr:spPr>
    </xdr:pic>
    <xdr:clientData/>
  </xdr:twoCellAnchor>
  <xdr:twoCellAnchor editAs="oneCell">
    <xdr:from>
      <xdr:col>73</xdr:col>
      <xdr:colOff>246530</xdr:colOff>
      <xdr:row>14</xdr:row>
      <xdr:rowOff>154030</xdr:rowOff>
    </xdr:from>
    <xdr:to>
      <xdr:col>83</xdr:col>
      <xdr:colOff>113681</xdr:colOff>
      <xdr:row>29</xdr:row>
      <xdr:rowOff>143609</xdr:rowOff>
    </xdr:to>
    <xdr:pic>
      <xdr:nvPicPr>
        <xdr:cNvPr id="15" name="Picture 14">
          <a:extLst>
            <a:ext uri="{FF2B5EF4-FFF2-40B4-BE49-F238E27FC236}">
              <a16:creationId xmlns:a16="http://schemas.microsoft.com/office/drawing/2014/main" id="{0C7BFB11-314F-49BF-3410-03AC739C293F}"/>
            </a:ext>
          </a:extLst>
        </xdr:cNvPr>
        <xdr:cNvPicPr>
          <a:picLocks noChangeAspect="1"/>
        </xdr:cNvPicPr>
      </xdr:nvPicPr>
      <xdr:blipFill>
        <a:blip xmlns:r="http://schemas.openxmlformats.org/officeDocument/2006/relationships" r:embed="rId12"/>
        <a:stretch>
          <a:fillRect/>
        </a:stretch>
      </xdr:blipFill>
      <xdr:spPr>
        <a:xfrm>
          <a:off x="43602089" y="2821030"/>
          <a:ext cx="5806268" cy="2847079"/>
        </a:xfrm>
        <a:prstGeom prst="rect">
          <a:avLst/>
        </a:prstGeom>
      </xdr:spPr>
    </xdr:pic>
    <xdr:clientData/>
  </xdr:twoCellAnchor>
  <xdr:twoCellAnchor editAs="oneCell">
    <xdr:from>
      <xdr:col>83</xdr:col>
      <xdr:colOff>0</xdr:colOff>
      <xdr:row>0</xdr:row>
      <xdr:rowOff>0</xdr:rowOff>
    </xdr:from>
    <xdr:to>
      <xdr:col>92</xdr:col>
      <xdr:colOff>476751</xdr:colOff>
      <xdr:row>14</xdr:row>
      <xdr:rowOff>180079</xdr:rowOff>
    </xdr:to>
    <xdr:pic>
      <xdr:nvPicPr>
        <xdr:cNvPr id="16" name="Picture 15">
          <a:extLst>
            <a:ext uri="{FF2B5EF4-FFF2-40B4-BE49-F238E27FC236}">
              <a16:creationId xmlns:a16="http://schemas.microsoft.com/office/drawing/2014/main" id="{282C9ED7-EF1A-78FF-D62F-44D9F130B2B4}"/>
            </a:ext>
          </a:extLst>
        </xdr:cNvPr>
        <xdr:cNvPicPr>
          <a:picLocks noChangeAspect="1"/>
        </xdr:cNvPicPr>
      </xdr:nvPicPr>
      <xdr:blipFill>
        <a:blip xmlns:r="http://schemas.openxmlformats.org/officeDocument/2006/relationships" r:embed="rId13"/>
        <a:stretch>
          <a:fillRect/>
        </a:stretch>
      </xdr:blipFill>
      <xdr:spPr>
        <a:xfrm>
          <a:off x="50596800" y="0"/>
          <a:ext cx="5963151" cy="2847079"/>
        </a:xfrm>
        <a:prstGeom prst="rect">
          <a:avLst/>
        </a:prstGeom>
      </xdr:spPr>
    </xdr:pic>
    <xdr:clientData/>
  </xdr:twoCellAnchor>
  <xdr:twoCellAnchor editAs="oneCell">
    <xdr:from>
      <xdr:col>83</xdr:col>
      <xdr:colOff>179294</xdr:colOff>
      <xdr:row>14</xdr:row>
      <xdr:rowOff>156272</xdr:rowOff>
    </xdr:from>
    <xdr:to>
      <xdr:col>93</xdr:col>
      <xdr:colOff>40348</xdr:colOff>
      <xdr:row>29</xdr:row>
      <xdr:rowOff>139754</xdr:rowOff>
    </xdr:to>
    <xdr:pic>
      <xdr:nvPicPr>
        <xdr:cNvPr id="18" name="Picture 17">
          <a:extLst>
            <a:ext uri="{FF2B5EF4-FFF2-40B4-BE49-F238E27FC236}">
              <a16:creationId xmlns:a16="http://schemas.microsoft.com/office/drawing/2014/main" id="{39B13469-516A-A68C-FBE3-AB32EF06333C}"/>
            </a:ext>
          </a:extLst>
        </xdr:cNvPr>
        <xdr:cNvPicPr>
          <a:picLocks noChangeAspect="1"/>
        </xdr:cNvPicPr>
      </xdr:nvPicPr>
      <xdr:blipFill>
        <a:blip xmlns:r="http://schemas.openxmlformats.org/officeDocument/2006/relationships" r:embed="rId14"/>
        <a:stretch>
          <a:fillRect/>
        </a:stretch>
      </xdr:blipFill>
      <xdr:spPr>
        <a:xfrm>
          <a:off x="49473970" y="2823272"/>
          <a:ext cx="5800172" cy="2840982"/>
        </a:xfrm>
        <a:prstGeom prst="rect">
          <a:avLst/>
        </a:prstGeom>
      </xdr:spPr>
    </xdr:pic>
    <xdr:clientData/>
  </xdr:twoCellAnchor>
  <xdr:twoCellAnchor editAs="oneCell">
    <xdr:from>
      <xdr:col>92</xdr:col>
      <xdr:colOff>571500</xdr:colOff>
      <xdr:row>0</xdr:row>
      <xdr:rowOff>0</xdr:rowOff>
    </xdr:from>
    <xdr:to>
      <xdr:col>102</xdr:col>
      <xdr:colOff>432554</xdr:colOff>
      <xdr:row>14</xdr:row>
      <xdr:rowOff>173982</xdr:rowOff>
    </xdr:to>
    <xdr:pic>
      <xdr:nvPicPr>
        <xdr:cNvPr id="19" name="Picture 18">
          <a:extLst>
            <a:ext uri="{FF2B5EF4-FFF2-40B4-BE49-F238E27FC236}">
              <a16:creationId xmlns:a16="http://schemas.microsoft.com/office/drawing/2014/main" id="{131E51A3-A5BD-1182-CB5F-38AB6B666F04}"/>
            </a:ext>
          </a:extLst>
        </xdr:cNvPr>
        <xdr:cNvPicPr>
          <a:picLocks noChangeAspect="1"/>
        </xdr:cNvPicPr>
      </xdr:nvPicPr>
      <xdr:blipFill>
        <a:blip xmlns:r="http://schemas.openxmlformats.org/officeDocument/2006/relationships" r:embed="rId15"/>
        <a:stretch>
          <a:fillRect/>
        </a:stretch>
      </xdr:blipFill>
      <xdr:spPr>
        <a:xfrm>
          <a:off x="56654700" y="0"/>
          <a:ext cx="5957054" cy="2840982"/>
        </a:xfrm>
        <a:prstGeom prst="rect">
          <a:avLst/>
        </a:prstGeom>
      </xdr:spPr>
    </xdr:pic>
    <xdr:clientData/>
  </xdr:twoCellAnchor>
  <xdr:twoCellAnchor editAs="oneCell">
    <xdr:from>
      <xdr:col>93</xdr:col>
      <xdr:colOff>49306</xdr:colOff>
      <xdr:row>14</xdr:row>
      <xdr:rowOff>129378</xdr:rowOff>
    </xdr:from>
    <xdr:to>
      <xdr:col>102</xdr:col>
      <xdr:colOff>519960</xdr:colOff>
      <xdr:row>29</xdr:row>
      <xdr:rowOff>112860</xdr:rowOff>
    </xdr:to>
    <xdr:pic>
      <xdr:nvPicPr>
        <xdr:cNvPr id="20" name="Picture 19">
          <a:extLst>
            <a:ext uri="{FF2B5EF4-FFF2-40B4-BE49-F238E27FC236}">
              <a16:creationId xmlns:a16="http://schemas.microsoft.com/office/drawing/2014/main" id="{84D0B539-CAC3-7837-7150-EC0C72761DF1}"/>
            </a:ext>
          </a:extLst>
        </xdr:cNvPr>
        <xdr:cNvPicPr>
          <a:picLocks noChangeAspect="1"/>
        </xdr:cNvPicPr>
      </xdr:nvPicPr>
      <xdr:blipFill>
        <a:blip xmlns:r="http://schemas.openxmlformats.org/officeDocument/2006/relationships" r:embed="rId16"/>
        <a:stretch>
          <a:fillRect/>
        </a:stretch>
      </xdr:blipFill>
      <xdr:spPr>
        <a:xfrm>
          <a:off x="55283100" y="2796378"/>
          <a:ext cx="5815860" cy="2840982"/>
        </a:xfrm>
        <a:prstGeom prst="rect">
          <a:avLst/>
        </a:prstGeom>
      </xdr:spPr>
    </xdr:pic>
    <xdr:clientData/>
  </xdr:twoCellAnchor>
  <xdr:twoCellAnchor editAs="oneCell">
    <xdr:from>
      <xdr:col>102</xdr:col>
      <xdr:colOff>419100</xdr:colOff>
      <xdr:row>0</xdr:row>
      <xdr:rowOff>0</xdr:rowOff>
    </xdr:from>
    <xdr:to>
      <xdr:col>112</xdr:col>
      <xdr:colOff>286252</xdr:colOff>
      <xdr:row>14</xdr:row>
      <xdr:rowOff>180079</xdr:rowOff>
    </xdr:to>
    <xdr:pic>
      <xdr:nvPicPr>
        <xdr:cNvPr id="21" name="Picture 20">
          <a:extLst>
            <a:ext uri="{FF2B5EF4-FFF2-40B4-BE49-F238E27FC236}">
              <a16:creationId xmlns:a16="http://schemas.microsoft.com/office/drawing/2014/main" id="{0517DA44-56A5-3E15-3D36-BDA297E6F7CB}"/>
            </a:ext>
          </a:extLst>
        </xdr:cNvPr>
        <xdr:cNvPicPr>
          <a:picLocks noChangeAspect="1"/>
        </xdr:cNvPicPr>
      </xdr:nvPicPr>
      <xdr:blipFill>
        <a:blip xmlns:r="http://schemas.openxmlformats.org/officeDocument/2006/relationships" r:embed="rId17"/>
        <a:stretch>
          <a:fillRect/>
        </a:stretch>
      </xdr:blipFill>
      <xdr:spPr>
        <a:xfrm>
          <a:off x="62598300" y="0"/>
          <a:ext cx="5963152" cy="2847079"/>
        </a:xfrm>
        <a:prstGeom prst="rect">
          <a:avLst/>
        </a:prstGeom>
      </xdr:spPr>
    </xdr:pic>
    <xdr:clientData/>
  </xdr:twoCellAnchor>
  <xdr:twoCellAnchor editAs="oneCell">
    <xdr:from>
      <xdr:col>102</xdr:col>
      <xdr:colOff>571500</xdr:colOff>
      <xdr:row>14</xdr:row>
      <xdr:rowOff>111447</xdr:rowOff>
    </xdr:from>
    <xdr:to>
      <xdr:col>112</xdr:col>
      <xdr:colOff>432555</xdr:colOff>
      <xdr:row>29</xdr:row>
      <xdr:rowOff>94929</xdr:rowOff>
    </xdr:to>
    <xdr:pic>
      <xdr:nvPicPr>
        <xdr:cNvPr id="22" name="Picture 21">
          <a:extLst>
            <a:ext uri="{FF2B5EF4-FFF2-40B4-BE49-F238E27FC236}">
              <a16:creationId xmlns:a16="http://schemas.microsoft.com/office/drawing/2014/main" id="{2CC12F41-63CE-3C28-A6E3-CA3AB914194E}"/>
            </a:ext>
          </a:extLst>
        </xdr:cNvPr>
        <xdr:cNvPicPr>
          <a:picLocks noChangeAspect="1"/>
        </xdr:cNvPicPr>
      </xdr:nvPicPr>
      <xdr:blipFill>
        <a:blip xmlns:r="http://schemas.openxmlformats.org/officeDocument/2006/relationships" r:embed="rId18"/>
        <a:stretch>
          <a:fillRect/>
        </a:stretch>
      </xdr:blipFill>
      <xdr:spPr>
        <a:xfrm>
          <a:off x="61150500" y="2778447"/>
          <a:ext cx="5800173" cy="2840982"/>
        </a:xfrm>
        <a:prstGeom prst="rect">
          <a:avLst/>
        </a:prstGeom>
      </xdr:spPr>
    </xdr:pic>
    <xdr:clientData/>
  </xdr:twoCellAnchor>
  <xdr:twoCellAnchor editAs="oneCell">
    <xdr:from>
      <xdr:col>112</xdr:col>
      <xdr:colOff>190500</xdr:colOff>
      <xdr:row>0</xdr:row>
      <xdr:rowOff>0</xdr:rowOff>
    </xdr:from>
    <xdr:to>
      <xdr:col>122</xdr:col>
      <xdr:colOff>57652</xdr:colOff>
      <xdr:row>14</xdr:row>
      <xdr:rowOff>173982</xdr:rowOff>
    </xdr:to>
    <xdr:pic>
      <xdr:nvPicPr>
        <xdr:cNvPr id="23" name="Picture 22">
          <a:extLst>
            <a:ext uri="{FF2B5EF4-FFF2-40B4-BE49-F238E27FC236}">
              <a16:creationId xmlns:a16="http://schemas.microsoft.com/office/drawing/2014/main" id="{3BA032A7-BB6C-642F-1C44-C9306FCE0C61}"/>
            </a:ext>
          </a:extLst>
        </xdr:cNvPr>
        <xdr:cNvPicPr>
          <a:picLocks noChangeAspect="1"/>
        </xdr:cNvPicPr>
      </xdr:nvPicPr>
      <xdr:blipFill>
        <a:blip xmlns:r="http://schemas.openxmlformats.org/officeDocument/2006/relationships" r:embed="rId19"/>
        <a:stretch>
          <a:fillRect/>
        </a:stretch>
      </xdr:blipFill>
      <xdr:spPr>
        <a:xfrm>
          <a:off x="68465700" y="0"/>
          <a:ext cx="5963152" cy="2840982"/>
        </a:xfrm>
        <a:prstGeom prst="rect">
          <a:avLst/>
        </a:prstGeom>
      </xdr:spPr>
    </xdr:pic>
    <xdr:clientData/>
  </xdr:twoCellAnchor>
  <xdr:twoCellAnchor>
    <xdr:from>
      <xdr:col>5</xdr:col>
      <xdr:colOff>38100</xdr:colOff>
      <xdr:row>48</xdr:row>
      <xdr:rowOff>142875</xdr:rowOff>
    </xdr:from>
    <xdr:to>
      <xdr:col>9</xdr:col>
      <xdr:colOff>257601</xdr:colOff>
      <xdr:row>55</xdr:row>
      <xdr:rowOff>188360</xdr:rowOff>
    </xdr:to>
    <xdr:grpSp>
      <xdr:nvGrpSpPr>
        <xdr:cNvPr id="47" name="Group 46">
          <a:extLst>
            <a:ext uri="{FF2B5EF4-FFF2-40B4-BE49-F238E27FC236}">
              <a16:creationId xmlns:a16="http://schemas.microsoft.com/office/drawing/2014/main" id="{D95F990F-87B2-E6AF-40C7-E22728D91062}"/>
            </a:ext>
          </a:extLst>
        </xdr:cNvPr>
        <xdr:cNvGrpSpPr/>
      </xdr:nvGrpSpPr>
      <xdr:grpSpPr>
        <a:xfrm>
          <a:off x="3552825" y="9286875"/>
          <a:ext cx="2581701" cy="1378985"/>
          <a:chOff x="3676650" y="10353675"/>
          <a:chExt cx="2581701" cy="1378985"/>
        </a:xfrm>
      </xdr:grpSpPr>
      <xdr:grpSp>
        <xdr:nvGrpSpPr>
          <xdr:cNvPr id="39" name="Group 38">
            <a:extLst>
              <a:ext uri="{FF2B5EF4-FFF2-40B4-BE49-F238E27FC236}">
                <a16:creationId xmlns:a16="http://schemas.microsoft.com/office/drawing/2014/main" id="{1516CF64-8A52-7622-2343-3F237EA061F7}"/>
              </a:ext>
            </a:extLst>
          </xdr:cNvPr>
          <xdr:cNvGrpSpPr/>
        </xdr:nvGrpSpPr>
        <xdr:grpSpPr>
          <a:xfrm>
            <a:off x="3733800" y="10440375"/>
            <a:ext cx="2520000" cy="1265850"/>
            <a:chOff x="3733800" y="10440375"/>
            <a:chExt cx="2520000" cy="1265850"/>
          </a:xfrm>
        </xdr:grpSpPr>
        <xdr:cxnSp macro="">
          <xdr:nvCxnSpPr>
            <xdr:cNvPr id="11" name="Straight Arrow Connector 10">
              <a:extLst>
                <a:ext uri="{FF2B5EF4-FFF2-40B4-BE49-F238E27FC236}">
                  <a16:creationId xmlns:a16="http://schemas.microsoft.com/office/drawing/2014/main" id="{E1CA58DA-923B-C096-A4B0-C23F2A00CECB}"/>
                </a:ext>
              </a:extLst>
            </xdr:cNvPr>
            <xdr:cNvCxnSpPr/>
          </xdr:nvCxnSpPr>
          <xdr:spPr>
            <a:xfrm>
              <a:off x="3733800" y="11706225"/>
              <a:ext cx="25200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a:extLst>
                <a:ext uri="{FF2B5EF4-FFF2-40B4-BE49-F238E27FC236}">
                  <a16:creationId xmlns:a16="http://schemas.microsoft.com/office/drawing/2014/main" id="{96F82393-D203-41F6-B083-73E6AC83CC94}"/>
                </a:ext>
              </a:extLst>
            </xdr:cNvPr>
            <xdr:cNvCxnSpPr/>
          </xdr:nvCxnSpPr>
          <xdr:spPr>
            <a:xfrm rot="16200000">
              <a:off x="3107475" y="11070375"/>
              <a:ext cx="12600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BC3FF67F-8D9A-F990-56F8-99CD7C35049C}"/>
                </a:ext>
              </a:extLst>
            </xdr:cNvPr>
            <xdr:cNvCxnSpPr/>
          </xdr:nvCxnSpPr>
          <xdr:spPr>
            <a:xfrm flipV="1">
              <a:off x="3733800" y="11363325"/>
              <a:ext cx="1304925" cy="3333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B58E3DA4-2DA2-4455-8420-8201273DA0EF}"/>
                </a:ext>
              </a:extLst>
            </xdr:cNvPr>
            <xdr:cNvCxnSpPr/>
          </xdr:nvCxnSpPr>
          <xdr:spPr>
            <a:xfrm flipV="1">
              <a:off x="5038725" y="11115675"/>
              <a:ext cx="857250" cy="247650"/>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D3F271B4-F11C-4086-85F3-64E9738D38C2}"/>
                </a:ext>
              </a:extLst>
            </xdr:cNvPr>
            <xdr:cNvCxnSpPr/>
          </xdr:nvCxnSpPr>
          <xdr:spPr>
            <a:xfrm>
              <a:off x="5038725" y="11001375"/>
              <a:ext cx="857250" cy="90000"/>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C1EDDB37-585C-4259-9F6F-979A373B591C}"/>
                </a:ext>
              </a:extLst>
            </xdr:cNvPr>
            <xdr:cNvCxnSpPr/>
          </xdr:nvCxnSpPr>
          <xdr:spPr>
            <a:xfrm>
              <a:off x="3733800" y="10896600"/>
              <a:ext cx="1304925" cy="111600"/>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74927BCD-1B61-4F70-BE00-FAF799485F9B}"/>
                </a:ext>
              </a:extLst>
            </xdr:cNvPr>
            <xdr:cNvCxnSpPr/>
          </xdr:nvCxnSpPr>
          <xdr:spPr>
            <a:xfrm flipV="1">
              <a:off x="5076825" y="11001375"/>
              <a:ext cx="0" cy="360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0" name="TextBox 39">
            <a:extLst>
              <a:ext uri="{FF2B5EF4-FFF2-40B4-BE49-F238E27FC236}">
                <a16:creationId xmlns:a16="http://schemas.microsoft.com/office/drawing/2014/main" id="{B7D9D8F4-D753-3934-3791-6D26833A5E31}"/>
              </a:ext>
            </a:extLst>
          </xdr:cNvPr>
          <xdr:cNvSpPr txBox="1"/>
        </xdr:nvSpPr>
        <xdr:spPr>
          <a:xfrm>
            <a:off x="3695700" y="10353675"/>
            <a:ext cx="5522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Power</a:t>
            </a:r>
          </a:p>
        </xdr:txBody>
      </xdr:sp>
      <xdr:sp macro="" textlink="">
        <xdr:nvSpPr>
          <xdr:cNvPr id="41" name="TextBox 40">
            <a:extLst>
              <a:ext uri="{FF2B5EF4-FFF2-40B4-BE49-F238E27FC236}">
                <a16:creationId xmlns:a16="http://schemas.microsoft.com/office/drawing/2014/main" id="{2FE92024-1689-4A57-92A5-824FAC859C0B}"/>
              </a:ext>
            </a:extLst>
          </xdr:cNvPr>
          <xdr:cNvSpPr txBox="1"/>
        </xdr:nvSpPr>
        <xdr:spPr>
          <a:xfrm>
            <a:off x="5800725" y="11468100"/>
            <a:ext cx="4576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Heat</a:t>
            </a:r>
          </a:p>
        </xdr:txBody>
      </xdr:sp>
      <xdr:sp macro="" textlink="">
        <xdr:nvSpPr>
          <xdr:cNvPr id="42" name="TextBox 41">
            <a:extLst>
              <a:ext uri="{FF2B5EF4-FFF2-40B4-BE49-F238E27FC236}">
                <a16:creationId xmlns:a16="http://schemas.microsoft.com/office/drawing/2014/main" id="{CF02F32D-72C9-4BAE-A120-668FAF1183D5}"/>
              </a:ext>
            </a:extLst>
          </xdr:cNvPr>
          <xdr:cNvSpPr txBox="1"/>
        </xdr:nvSpPr>
        <xdr:spPr>
          <a:xfrm>
            <a:off x="3686175" y="11420475"/>
            <a:ext cx="2780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t>O</a:t>
            </a:r>
          </a:p>
        </xdr:txBody>
      </xdr:sp>
      <xdr:sp macro="" textlink="">
        <xdr:nvSpPr>
          <xdr:cNvPr id="43" name="TextBox 42">
            <a:extLst>
              <a:ext uri="{FF2B5EF4-FFF2-40B4-BE49-F238E27FC236}">
                <a16:creationId xmlns:a16="http://schemas.microsoft.com/office/drawing/2014/main" id="{5E8E8626-57C6-4B7B-B80D-D7FDE3CB29D8}"/>
              </a:ext>
            </a:extLst>
          </xdr:cNvPr>
          <xdr:cNvSpPr txBox="1"/>
        </xdr:nvSpPr>
        <xdr:spPr>
          <a:xfrm>
            <a:off x="3676650" y="10706100"/>
            <a:ext cx="2736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t>D</a:t>
            </a:r>
          </a:p>
        </xdr:txBody>
      </xdr:sp>
      <xdr:sp macro="" textlink="">
        <xdr:nvSpPr>
          <xdr:cNvPr id="44" name="TextBox 43">
            <a:extLst>
              <a:ext uri="{FF2B5EF4-FFF2-40B4-BE49-F238E27FC236}">
                <a16:creationId xmlns:a16="http://schemas.microsoft.com/office/drawing/2014/main" id="{58BD388D-08E0-4C2E-BC49-40C4B1F584C8}"/>
              </a:ext>
            </a:extLst>
          </xdr:cNvPr>
          <xdr:cNvSpPr txBox="1"/>
        </xdr:nvSpPr>
        <xdr:spPr>
          <a:xfrm>
            <a:off x="5019675" y="11115675"/>
            <a:ext cx="9509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t>A (44.5, 22.3)</a:t>
            </a:r>
          </a:p>
        </xdr:txBody>
      </xdr:sp>
      <xdr:sp macro="" textlink="">
        <xdr:nvSpPr>
          <xdr:cNvPr id="45" name="TextBox 44">
            <a:extLst>
              <a:ext uri="{FF2B5EF4-FFF2-40B4-BE49-F238E27FC236}">
                <a16:creationId xmlns:a16="http://schemas.microsoft.com/office/drawing/2014/main" id="{5867A892-50FC-4D18-805D-B30626DFD218}"/>
              </a:ext>
            </a:extLst>
          </xdr:cNvPr>
          <xdr:cNvSpPr txBox="1"/>
        </xdr:nvSpPr>
        <xdr:spPr>
          <a:xfrm>
            <a:off x="5029200" y="10801350"/>
            <a:ext cx="9460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t>B (44.5, 65.7)</a:t>
            </a:r>
          </a:p>
        </xdr:txBody>
      </xdr:sp>
      <xdr:sp macro="" textlink="">
        <xdr:nvSpPr>
          <xdr:cNvPr id="46" name="TextBox 45">
            <a:extLst>
              <a:ext uri="{FF2B5EF4-FFF2-40B4-BE49-F238E27FC236}">
                <a16:creationId xmlns:a16="http://schemas.microsoft.com/office/drawing/2014/main" id="{8DAFC46E-85B3-4415-B81B-E22E6DFB8105}"/>
              </a:ext>
            </a:extLst>
          </xdr:cNvPr>
          <xdr:cNvSpPr txBox="1"/>
        </xdr:nvSpPr>
        <xdr:spPr>
          <a:xfrm>
            <a:off x="5857875" y="10896600"/>
            <a:ext cx="2598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t>C</a:t>
            </a:r>
          </a:p>
        </xdr:txBody>
      </xdr:sp>
    </xdr:grpSp>
    <xdr:clientData/>
  </xdr:twoCellAnchor>
  <xdr:oneCellAnchor>
    <xdr:from>
      <xdr:col>10</xdr:col>
      <xdr:colOff>323850</xdr:colOff>
      <xdr:row>50</xdr:row>
      <xdr:rowOff>80962</xdr:rowOff>
    </xdr:from>
    <xdr:ext cx="6687279" cy="763158"/>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37E437F5-411C-0871-2DDE-0B6E38963FCB}"/>
                </a:ext>
              </a:extLst>
            </xdr:cNvPr>
            <xdr:cNvSpPr txBox="1"/>
          </xdr:nvSpPr>
          <xdr:spPr>
            <a:xfrm>
              <a:off x="6791325" y="9605962"/>
              <a:ext cx="6687279" cy="7631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eqArr>
                          <m:eqArrPr>
                            <m:ctrlPr>
                              <a:rPr lang="en-US" sz="1100" i="1">
                                <a:latin typeface="Cambria Math" panose="02040503050406030204" pitchFamily="18" charset="0"/>
                              </a:rPr>
                            </m:ctrlPr>
                          </m:eqArrPr>
                          <m:e>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2</m:t>
                                </m:r>
                              </m:den>
                            </m:f>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𝐻</m:t>
                                </m:r>
                              </m:e>
                              <m:sub>
                                <m:r>
                                  <a:rPr lang="en-US" sz="1100" b="0" i="1">
                                    <a:latin typeface="Cambria Math" panose="02040503050406030204" pitchFamily="18" charset="0"/>
                                    <a:ea typeface="Cambria Math" panose="02040503050406030204" pitchFamily="18" charset="0"/>
                                  </a:rPr>
                                  <m:t>𝐶</m:t>
                                </m:r>
                              </m:sub>
                            </m:sSub>
                          </m:e>
                          <m:e>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r>
                              <a:rPr lang="en-US" sz="1100" b="0" i="1">
                                <a:latin typeface="Cambria Math" panose="02040503050406030204" pitchFamily="18" charset="0"/>
                                <a:ea typeface="Cambria Math" panose="02040503050406030204" pitchFamily="18" charset="0"/>
                              </a:rPr>
                              <m:t>∙</m:t>
                            </m:r>
                            <m:d>
                              <m:dPr>
                                <m:ctrlPr>
                                  <a:rPr lang="en-US" sz="1100" b="0" i="1">
                                    <a:latin typeface="Cambria Math" panose="02040503050406030204" pitchFamily="18" charset="0"/>
                                    <a:ea typeface="Cambria Math" panose="02040503050406030204" pitchFamily="18" charset="0"/>
                                  </a:rPr>
                                </m:ctrlPr>
                              </m:dPr>
                              <m:e>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𝐻</m:t>
                                    </m:r>
                                  </m:e>
                                  <m:sub>
                                    <m:r>
                                      <a:rPr lang="en-US" sz="1100" b="0" i="1">
                                        <a:latin typeface="Cambria Math" panose="02040503050406030204" pitchFamily="18" charset="0"/>
                                        <a:ea typeface="Cambria Math" panose="02040503050406030204" pitchFamily="18" charset="0"/>
                                      </a:rPr>
                                      <m:t>𝐶</m:t>
                                    </m:r>
                                  </m:sub>
                                </m:sSub>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𝐻</m:t>
                                    </m:r>
                                  </m:e>
                                  <m:sub>
                                    <m:r>
                                      <a:rPr lang="en-US" sz="1100" b="0" i="1">
                                        <a:latin typeface="Cambria Math" panose="02040503050406030204" pitchFamily="18" charset="0"/>
                                        <a:ea typeface="Cambria Math" panose="02040503050406030204" pitchFamily="18" charset="0"/>
                                      </a:rPr>
                                      <m:t>𝐵</m:t>
                                    </m:r>
                                  </m:sub>
                                </m:sSub>
                              </m:e>
                            </m:d>
                          </m:e>
                        </m:eqArr>
                      </m:e>
                    </m:d>
                    <m:r>
                      <a:rPr lang="en-US" sz="1100" i="1">
                        <a:latin typeface="Cambria Math" panose="02040503050406030204" pitchFamily="18" charset="0"/>
                        <a:ea typeface="Cambria Math" panose="02040503050406030204" pitchFamily="18" charset="0"/>
                      </a:rPr>
                      <m:t>⇒</m:t>
                    </m:r>
                    <m:sSub>
                      <m:sSubPr>
                        <m:ctrlPr>
                          <a:rPr lang="en-US" sz="1100" b="0" i="1">
                            <a:solidFill>
                              <a:schemeClr val="bg1">
                                <a:lumMod val="50000"/>
                              </a:schemeClr>
                            </a:solidFill>
                            <a:latin typeface="Cambria Math" panose="02040503050406030204" pitchFamily="18" charset="0"/>
                            <a:ea typeface="Cambria Math" panose="02040503050406030204" pitchFamily="18" charset="0"/>
                          </a:rPr>
                        </m:ctrlPr>
                      </m:sSubPr>
                      <m:e>
                        <m:r>
                          <a:rPr lang="en-US" sz="1100" b="0" i="1">
                            <a:solidFill>
                              <a:schemeClr val="bg1">
                                <a:lumMod val="50000"/>
                              </a:schemeClr>
                            </a:solidFill>
                            <a:latin typeface="Cambria Math" panose="02040503050406030204" pitchFamily="18" charset="0"/>
                            <a:ea typeface="Cambria Math" panose="02040503050406030204" pitchFamily="18" charset="0"/>
                          </a:rPr>
                          <m:t>𝑃</m:t>
                        </m:r>
                      </m:e>
                      <m:sub>
                        <m:r>
                          <a:rPr lang="en-US" sz="1100" b="0" i="1">
                            <a:solidFill>
                              <a:schemeClr val="bg1">
                                <a:lumMod val="50000"/>
                              </a:schemeClr>
                            </a:solidFill>
                            <a:latin typeface="Cambria Math" panose="02040503050406030204" pitchFamily="18" charset="0"/>
                            <a:ea typeface="Cambria Math" panose="02040503050406030204" pitchFamily="18" charset="0"/>
                          </a:rPr>
                          <m:t>𝐵</m:t>
                        </m:r>
                      </m:sub>
                    </m:sSub>
                    <m:r>
                      <a:rPr lang="x-IV_mathan" sz="1100">
                        <a:solidFill>
                          <a:schemeClr val="bg1">
                            <a:lumMod val="50000"/>
                          </a:schemeClr>
                        </a:solidFill>
                        <a:effectLst/>
                        <a:latin typeface="Cambria Math" panose="02040503050406030204" pitchFamily="18" charset="0"/>
                        <a:ea typeface="+mn-ea"/>
                        <a:cs typeface="+mn-cs"/>
                      </a:rPr>
                      <m:t>=</m:t>
                    </m:r>
                    <m:f>
                      <m:fPr>
                        <m:ctrlPr>
                          <a:rPr lang="x-IV_mathan" sz="1100" i="1">
                            <a:solidFill>
                              <a:schemeClr val="bg1">
                                <a:lumMod val="50000"/>
                              </a:schemeClr>
                            </a:solidFill>
                            <a:effectLst/>
                            <a:latin typeface="Cambria Math" panose="02040503050406030204" pitchFamily="18" charset="0"/>
                            <a:ea typeface="+mn-ea"/>
                            <a:cs typeface="+mn-cs"/>
                          </a:rPr>
                        </m:ctrlPr>
                      </m:fPr>
                      <m:num>
                        <m:r>
                          <a:rPr lang="x-IV_mathan" sz="1100">
                            <a:solidFill>
                              <a:schemeClr val="bg1">
                                <a:lumMod val="50000"/>
                              </a:schemeClr>
                            </a:solidFill>
                            <a:effectLst/>
                            <a:latin typeface="Cambria Math" panose="02040503050406030204" pitchFamily="18" charset="0"/>
                            <a:ea typeface="+mn-ea"/>
                            <a:cs typeface="+mn-cs"/>
                          </a:rPr>
                          <m:t>1</m:t>
                        </m:r>
                      </m:num>
                      <m:den>
                        <m:r>
                          <a:rPr lang="x-IV_mathan" sz="1100">
                            <a:solidFill>
                              <a:schemeClr val="bg1">
                                <a:lumMod val="50000"/>
                              </a:schemeClr>
                            </a:solidFill>
                            <a:effectLst/>
                            <a:latin typeface="Cambria Math" panose="02040503050406030204" pitchFamily="18" charset="0"/>
                            <a:ea typeface="+mn-ea"/>
                            <a:cs typeface="+mn-cs"/>
                          </a:rPr>
                          <m:t>2</m:t>
                        </m:r>
                      </m:den>
                    </m:f>
                    <m:sSub>
                      <m:sSubPr>
                        <m:ctrlPr>
                          <a:rPr lang="x-IV_mathan" sz="1100" i="1">
                            <a:solidFill>
                              <a:schemeClr val="bg1">
                                <a:lumMod val="50000"/>
                              </a:schemeClr>
                            </a:solidFill>
                            <a:effectLst/>
                            <a:latin typeface="Cambria Math" panose="02040503050406030204" pitchFamily="18" charset="0"/>
                            <a:ea typeface="+mn-ea"/>
                            <a:cs typeface="+mn-cs"/>
                          </a:rPr>
                        </m:ctrlPr>
                      </m:sSubPr>
                      <m:e>
                        <m:r>
                          <a:rPr lang="en-US" sz="1100" b="0" i="1">
                            <a:solidFill>
                              <a:schemeClr val="bg1">
                                <a:lumMod val="50000"/>
                              </a:schemeClr>
                            </a:solidFill>
                            <a:effectLst/>
                            <a:latin typeface="Cambria Math" panose="02040503050406030204" pitchFamily="18" charset="0"/>
                            <a:ea typeface="+mn-ea"/>
                            <a:cs typeface="+mn-cs"/>
                          </a:rPr>
                          <m:t>𝐻</m:t>
                        </m:r>
                      </m:e>
                      <m:sub>
                        <m:r>
                          <a:rPr lang="x-IV_mathan" sz="1100">
                            <a:solidFill>
                              <a:schemeClr val="bg1">
                                <a:lumMod val="50000"/>
                              </a:schemeClr>
                            </a:solidFill>
                            <a:effectLst/>
                            <a:latin typeface="Cambria Math" panose="02040503050406030204" pitchFamily="18" charset="0"/>
                            <a:ea typeface="+mn-ea"/>
                            <a:cs typeface="+mn-cs"/>
                          </a:rPr>
                          <m:t>𝐶</m:t>
                        </m:r>
                      </m:sub>
                    </m:sSub>
                    <m:r>
                      <a:rPr lang="x-IV_mathan" sz="1100">
                        <a:solidFill>
                          <a:schemeClr val="bg1">
                            <a:lumMod val="50000"/>
                          </a:schemeClr>
                        </a:solidFill>
                        <a:effectLst/>
                        <a:latin typeface="Cambria Math" panose="02040503050406030204" pitchFamily="18" charset="0"/>
                        <a:ea typeface="+mn-ea"/>
                        <a:cs typeface="+mn-cs"/>
                      </a:rPr>
                      <m:t>+</m:t>
                    </m:r>
                    <m:f>
                      <m:fPr>
                        <m:ctrlPr>
                          <a:rPr lang="x-IV_mathan" sz="1100" i="1">
                            <a:solidFill>
                              <a:schemeClr val="bg1">
                                <a:lumMod val="50000"/>
                              </a:schemeClr>
                            </a:solidFill>
                            <a:effectLst/>
                            <a:latin typeface="Cambria Math" panose="02040503050406030204" pitchFamily="18" charset="0"/>
                            <a:ea typeface="+mn-ea"/>
                            <a:cs typeface="+mn-cs"/>
                          </a:rPr>
                        </m:ctrlPr>
                      </m:fPr>
                      <m:num>
                        <m:r>
                          <a:rPr lang="x-IV_mathan" sz="1100">
                            <a:solidFill>
                              <a:schemeClr val="bg1">
                                <a:lumMod val="50000"/>
                              </a:schemeClr>
                            </a:solidFill>
                            <a:effectLst/>
                            <a:latin typeface="Cambria Math" panose="02040503050406030204" pitchFamily="18" charset="0"/>
                            <a:ea typeface="+mn-ea"/>
                            <a:cs typeface="+mn-cs"/>
                          </a:rPr>
                          <m:t>1</m:t>
                        </m:r>
                      </m:num>
                      <m:den>
                        <m:r>
                          <a:rPr lang="x-IV_mathan" sz="1100">
                            <a:solidFill>
                              <a:schemeClr val="bg1">
                                <a:lumMod val="50000"/>
                              </a:schemeClr>
                            </a:solidFill>
                            <a:effectLst/>
                            <a:latin typeface="Cambria Math" panose="02040503050406030204" pitchFamily="18" charset="0"/>
                            <a:ea typeface="+mn-ea"/>
                            <a:cs typeface="+mn-cs"/>
                          </a:rPr>
                          <m:t>6</m:t>
                        </m:r>
                      </m:den>
                    </m:f>
                    <m:d>
                      <m:dPr>
                        <m:ctrlPr>
                          <a:rPr lang="x-IV_mathan" sz="1100" i="1">
                            <a:solidFill>
                              <a:schemeClr val="bg1">
                                <a:lumMod val="50000"/>
                              </a:schemeClr>
                            </a:solidFill>
                            <a:effectLst/>
                            <a:latin typeface="Cambria Math" panose="02040503050406030204" pitchFamily="18" charset="0"/>
                            <a:ea typeface="+mn-ea"/>
                            <a:cs typeface="+mn-cs"/>
                          </a:rPr>
                        </m:ctrlPr>
                      </m:dPr>
                      <m:e>
                        <m:sSub>
                          <m:sSubPr>
                            <m:ctrlPr>
                              <a:rPr lang="x-IV_mathan" sz="1100" i="1">
                                <a:solidFill>
                                  <a:schemeClr val="bg1">
                                    <a:lumMod val="50000"/>
                                  </a:schemeClr>
                                </a:solidFill>
                                <a:effectLst/>
                                <a:latin typeface="Cambria Math" panose="02040503050406030204" pitchFamily="18" charset="0"/>
                                <a:ea typeface="+mn-ea"/>
                                <a:cs typeface="+mn-cs"/>
                              </a:rPr>
                            </m:ctrlPr>
                          </m:sSubPr>
                          <m:e>
                            <m:r>
                              <a:rPr lang="en-US" sz="1100" b="0" i="1">
                                <a:solidFill>
                                  <a:schemeClr val="bg1">
                                    <a:lumMod val="50000"/>
                                  </a:schemeClr>
                                </a:solidFill>
                                <a:effectLst/>
                                <a:latin typeface="Cambria Math" panose="02040503050406030204" pitchFamily="18" charset="0"/>
                                <a:ea typeface="+mn-ea"/>
                                <a:cs typeface="+mn-cs"/>
                              </a:rPr>
                              <m:t>𝐻</m:t>
                            </m:r>
                          </m:e>
                          <m:sub>
                            <m:r>
                              <a:rPr lang="x-IV_mathan" sz="1100">
                                <a:solidFill>
                                  <a:schemeClr val="bg1">
                                    <a:lumMod val="50000"/>
                                  </a:schemeClr>
                                </a:solidFill>
                                <a:effectLst/>
                                <a:latin typeface="Cambria Math" panose="02040503050406030204" pitchFamily="18" charset="0"/>
                                <a:ea typeface="+mn-ea"/>
                                <a:cs typeface="+mn-cs"/>
                              </a:rPr>
                              <m:t>𝐶</m:t>
                            </m:r>
                          </m:sub>
                        </m:sSub>
                        <m:r>
                          <a:rPr lang="x-IV_mathan" sz="1100">
                            <a:solidFill>
                              <a:schemeClr val="bg1">
                                <a:lumMod val="50000"/>
                              </a:schemeClr>
                            </a:solidFill>
                            <a:effectLst/>
                            <a:latin typeface="Cambria Math" panose="02040503050406030204" pitchFamily="18" charset="0"/>
                            <a:ea typeface="+mn-ea"/>
                            <a:cs typeface="+mn-cs"/>
                          </a:rPr>
                          <m:t>−</m:t>
                        </m:r>
                        <m:sSub>
                          <m:sSubPr>
                            <m:ctrlPr>
                              <a:rPr lang="x-IV_mathan" sz="1100" i="1">
                                <a:solidFill>
                                  <a:schemeClr val="bg1">
                                    <a:lumMod val="50000"/>
                                  </a:schemeClr>
                                </a:solidFill>
                                <a:effectLst/>
                                <a:latin typeface="Cambria Math" panose="02040503050406030204" pitchFamily="18" charset="0"/>
                                <a:ea typeface="+mn-ea"/>
                                <a:cs typeface="+mn-cs"/>
                              </a:rPr>
                            </m:ctrlPr>
                          </m:sSubPr>
                          <m:e>
                            <m:r>
                              <a:rPr lang="en-US" sz="1100" b="0" i="1">
                                <a:solidFill>
                                  <a:schemeClr val="bg1">
                                    <a:lumMod val="50000"/>
                                  </a:schemeClr>
                                </a:solidFill>
                                <a:effectLst/>
                                <a:latin typeface="Cambria Math" panose="02040503050406030204" pitchFamily="18" charset="0"/>
                                <a:ea typeface="+mn-ea"/>
                                <a:cs typeface="+mn-cs"/>
                              </a:rPr>
                              <m:t>𝐻</m:t>
                            </m:r>
                          </m:e>
                          <m:sub>
                            <m:r>
                              <a:rPr lang="x-IV_mathan" sz="1100">
                                <a:solidFill>
                                  <a:schemeClr val="bg1">
                                    <a:lumMod val="50000"/>
                                  </a:schemeClr>
                                </a:solidFill>
                                <a:effectLst/>
                                <a:latin typeface="Cambria Math" panose="02040503050406030204" pitchFamily="18" charset="0"/>
                                <a:ea typeface="+mn-ea"/>
                                <a:cs typeface="+mn-cs"/>
                              </a:rPr>
                              <m:t>𝐵</m:t>
                            </m:r>
                          </m:sub>
                        </m:sSub>
                      </m:e>
                    </m:d>
                    <m:r>
                      <a:rPr lang="x-IV_mathan" sz="1100">
                        <a:solidFill>
                          <a:schemeClr val="bg1">
                            <a:lumMod val="50000"/>
                          </a:schemeClr>
                        </a:solidFill>
                        <a:effectLst/>
                        <a:latin typeface="Cambria Math" panose="02040503050406030204" pitchFamily="18" charset="0"/>
                        <a:ea typeface="+mn-ea"/>
                        <a:cs typeface="+mn-cs"/>
                      </a:rPr>
                      <m:t>=</m:t>
                    </m:r>
                    <m:f>
                      <m:fPr>
                        <m:ctrlPr>
                          <a:rPr lang="x-IV_mathan" sz="1100" i="1">
                            <a:solidFill>
                              <a:schemeClr val="bg1">
                                <a:lumMod val="50000"/>
                              </a:schemeClr>
                            </a:solidFill>
                            <a:effectLst/>
                            <a:latin typeface="Cambria Math" panose="02040503050406030204" pitchFamily="18" charset="0"/>
                            <a:ea typeface="+mn-ea"/>
                            <a:cs typeface="+mn-cs"/>
                          </a:rPr>
                        </m:ctrlPr>
                      </m:fPr>
                      <m:num>
                        <m:r>
                          <a:rPr lang="x-IV_mathan" sz="1100">
                            <a:solidFill>
                              <a:schemeClr val="bg1">
                                <a:lumMod val="50000"/>
                              </a:schemeClr>
                            </a:solidFill>
                            <a:effectLst/>
                            <a:latin typeface="Cambria Math" panose="02040503050406030204" pitchFamily="18" charset="0"/>
                            <a:ea typeface="+mn-ea"/>
                            <a:cs typeface="+mn-cs"/>
                          </a:rPr>
                          <m:t>2</m:t>
                        </m:r>
                      </m:num>
                      <m:den>
                        <m:r>
                          <a:rPr lang="x-IV_mathan" sz="1100">
                            <a:solidFill>
                              <a:schemeClr val="bg1">
                                <a:lumMod val="50000"/>
                              </a:schemeClr>
                            </a:solidFill>
                            <a:effectLst/>
                            <a:latin typeface="Cambria Math" panose="02040503050406030204" pitchFamily="18" charset="0"/>
                            <a:ea typeface="+mn-ea"/>
                            <a:cs typeface="+mn-cs"/>
                          </a:rPr>
                          <m:t>3</m:t>
                        </m:r>
                      </m:den>
                    </m:f>
                    <m:sSub>
                      <m:sSubPr>
                        <m:ctrlPr>
                          <a:rPr lang="x-IV_mathan" sz="1100" i="1">
                            <a:solidFill>
                              <a:schemeClr val="bg1">
                                <a:lumMod val="50000"/>
                              </a:schemeClr>
                            </a:solidFill>
                            <a:effectLst/>
                            <a:latin typeface="Cambria Math" panose="02040503050406030204" pitchFamily="18" charset="0"/>
                            <a:ea typeface="+mn-ea"/>
                            <a:cs typeface="+mn-cs"/>
                          </a:rPr>
                        </m:ctrlPr>
                      </m:sSubPr>
                      <m:e>
                        <m:r>
                          <a:rPr lang="en-US" sz="1100" b="0" i="1">
                            <a:solidFill>
                              <a:schemeClr val="bg1">
                                <a:lumMod val="50000"/>
                              </a:schemeClr>
                            </a:solidFill>
                            <a:effectLst/>
                            <a:latin typeface="Cambria Math" panose="02040503050406030204" pitchFamily="18" charset="0"/>
                            <a:ea typeface="+mn-ea"/>
                            <a:cs typeface="+mn-cs"/>
                          </a:rPr>
                          <m:t>𝐻</m:t>
                        </m:r>
                      </m:e>
                      <m:sub>
                        <m:r>
                          <a:rPr lang="x-IV_mathan" sz="1100">
                            <a:solidFill>
                              <a:schemeClr val="bg1">
                                <a:lumMod val="50000"/>
                              </a:schemeClr>
                            </a:solidFill>
                            <a:effectLst/>
                            <a:latin typeface="Cambria Math" panose="02040503050406030204" pitchFamily="18" charset="0"/>
                            <a:ea typeface="+mn-ea"/>
                            <a:cs typeface="+mn-cs"/>
                          </a:rPr>
                          <m:t>𝐶</m:t>
                        </m:r>
                      </m:sub>
                    </m:sSub>
                    <m:r>
                      <a:rPr lang="x-IV_mathan" sz="1100">
                        <a:solidFill>
                          <a:schemeClr val="bg1">
                            <a:lumMod val="50000"/>
                          </a:schemeClr>
                        </a:solidFill>
                        <a:effectLst/>
                        <a:latin typeface="Cambria Math" panose="02040503050406030204" pitchFamily="18" charset="0"/>
                        <a:ea typeface="+mn-ea"/>
                        <a:cs typeface="+mn-cs"/>
                      </a:rPr>
                      <m:t>−</m:t>
                    </m:r>
                    <m:f>
                      <m:fPr>
                        <m:ctrlPr>
                          <a:rPr lang="x-IV_mathan" sz="1100" i="1">
                            <a:solidFill>
                              <a:schemeClr val="bg1">
                                <a:lumMod val="50000"/>
                              </a:schemeClr>
                            </a:solidFill>
                            <a:effectLst/>
                            <a:latin typeface="Cambria Math" panose="02040503050406030204" pitchFamily="18" charset="0"/>
                            <a:ea typeface="+mn-ea"/>
                            <a:cs typeface="+mn-cs"/>
                          </a:rPr>
                        </m:ctrlPr>
                      </m:fPr>
                      <m:num>
                        <m:r>
                          <a:rPr lang="x-IV_mathan" sz="1100">
                            <a:solidFill>
                              <a:schemeClr val="bg1">
                                <a:lumMod val="50000"/>
                              </a:schemeClr>
                            </a:solidFill>
                            <a:effectLst/>
                            <a:latin typeface="Cambria Math" panose="02040503050406030204" pitchFamily="18" charset="0"/>
                            <a:ea typeface="+mn-ea"/>
                            <a:cs typeface="+mn-cs"/>
                          </a:rPr>
                          <m:t>1</m:t>
                        </m:r>
                      </m:num>
                      <m:den>
                        <m:r>
                          <a:rPr lang="x-IV_mathan" sz="1100">
                            <a:solidFill>
                              <a:schemeClr val="bg1">
                                <a:lumMod val="50000"/>
                              </a:schemeClr>
                            </a:solidFill>
                            <a:effectLst/>
                            <a:latin typeface="Cambria Math" panose="02040503050406030204" pitchFamily="18" charset="0"/>
                            <a:ea typeface="+mn-ea"/>
                            <a:cs typeface="+mn-cs"/>
                          </a:rPr>
                          <m:t>6</m:t>
                        </m:r>
                      </m:den>
                    </m:f>
                    <m:sSub>
                      <m:sSubPr>
                        <m:ctrlPr>
                          <a:rPr lang="x-IV_mathan" sz="1100" i="1">
                            <a:solidFill>
                              <a:schemeClr val="bg1">
                                <a:lumMod val="50000"/>
                              </a:schemeClr>
                            </a:solidFill>
                            <a:effectLst/>
                            <a:latin typeface="Cambria Math" panose="02040503050406030204" pitchFamily="18" charset="0"/>
                            <a:ea typeface="+mn-ea"/>
                            <a:cs typeface="+mn-cs"/>
                          </a:rPr>
                        </m:ctrlPr>
                      </m:sSubPr>
                      <m:e>
                        <m:r>
                          <a:rPr lang="en-US" sz="1100" b="0" i="1">
                            <a:solidFill>
                              <a:schemeClr val="bg1">
                                <a:lumMod val="50000"/>
                              </a:schemeClr>
                            </a:solidFill>
                            <a:effectLst/>
                            <a:latin typeface="Cambria Math" panose="02040503050406030204" pitchFamily="18" charset="0"/>
                            <a:ea typeface="+mn-ea"/>
                            <a:cs typeface="+mn-cs"/>
                          </a:rPr>
                          <m:t>𝐻</m:t>
                        </m:r>
                      </m:e>
                      <m:sub>
                        <m:r>
                          <a:rPr lang="x-IV_mathan" sz="1100">
                            <a:solidFill>
                              <a:schemeClr val="bg1">
                                <a:lumMod val="50000"/>
                              </a:schemeClr>
                            </a:solidFill>
                            <a:effectLst/>
                            <a:latin typeface="Cambria Math" panose="02040503050406030204" pitchFamily="18" charset="0"/>
                            <a:ea typeface="+mn-ea"/>
                            <a:cs typeface="+mn-cs"/>
                          </a:rPr>
                          <m:t>𝐵</m:t>
                        </m:r>
                      </m:sub>
                    </m:sSub>
                    <m:r>
                      <a:rPr lang="x-IV_mathan" sz="1100" i="1">
                        <a:solidFill>
                          <a:schemeClr val="bg1">
                            <a:lumMod val="50000"/>
                          </a:schemeClr>
                        </a:solidFill>
                        <a:effectLst/>
                        <a:latin typeface="Cambria Math" panose="02040503050406030204" pitchFamily="18" charset="0"/>
                        <a:ea typeface="Cambria Math" panose="02040503050406030204" pitchFamily="18" charset="0"/>
                        <a:cs typeface="+mn-cs"/>
                      </a:rPr>
                      <m:t>⇒</m:t>
                    </m:r>
                    <m:f>
                      <m:fPr>
                        <m:ctrlPr>
                          <a:rPr lang="x-IV_mathan" sz="1100" i="1">
                            <a:solidFill>
                              <a:schemeClr val="bg1">
                                <a:lumMod val="50000"/>
                              </a:schemeClr>
                            </a:solidFill>
                            <a:effectLst/>
                            <a:latin typeface="Cambria Math" panose="02040503050406030204" pitchFamily="18" charset="0"/>
                            <a:ea typeface="+mn-ea"/>
                            <a:cs typeface="+mn-cs"/>
                          </a:rPr>
                        </m:ctrlPr>
                      </m:fPr>
                      <m:num>
                        <m:r>
                          <a:rPr lang="x-IV_mathan" sz="1100">
                            <a:solidFill>
                              <a:schemeClr val="bg1">
                                <a:lumMod val="50000"/>
                              </a:schemeClr>
                            </a:solidFill>
                            <a:effectLst/>
                            <a:latin typeface="Cambria Math" panose="02040503050406030204" pitchFamily="18" charset="0"/>
                            <a:ea typeface="+mn-ea"/>
                            <a:cs typeface="+mn-cs"/>
                          </a:rPr>
                          <m:t>2</m:t>
                        </m:r>
                      </m:num>
                      <m:den>
                        <m:r>
                          <a:rPr lang="x-IV_mathan" sz="1100">
                            <a:solidFill>
                              <a:schemeClr val="bg1">
                                <a:lumMod val="50000"/>
                              </a:schemeClr>
                            </a:solidFill>
                            <a:effectLst/>
                            <a:latin typeface="Cambria Math" panose="02040503050406030204" pitchFamily="18" charset="0"/>
                            <a:ea typeface="+mn-ea"/>
                            <a:cs typeface="+mn-cs"/>
                          </a:rPr>
                          <m:t>3</m:t>
                        </m:r>
                      </m:den>
                    </m:f>
                    <m:sSub>
                      <m:sSubPr>
                        <m:ctrlPr>
                          <a:rPr lang="x-IV_mathan" sz="1100" i="1">
                            <a:solidFill>
                              <a:schemeClr val="bg1">
                                <a:lumMod val="50000"/>
                              </a:schemeClr>
                            </a:solidFill>
                            <a:effectLst/>
                            <a:latin typeface="Cambria Math" panose="02040503050406030204" pitchFamily="18" charset="0"/>
                            <a:ea typeface="+mn-ea"/>
                            <a:cs typeface="+mn-cs"/>
                          </a:rPr>
                        </m:ctrlPr>
                      </m:sSubPr>
                      <m:e>
                        <m:r>
                          <a:rPr lang="en-US" sz="1100" b="0" i="1">
                            <a:solidFill>
                              <a:schemeClr val="bg1">
                                <a:lumMod val="50000"/>
                              </a:schemeClr>
                            </a:solidFill>
                            <a:effectLst/>
                            <a:latin typeface="Cambria Math" panose="02040503050406030204" pitchFamily="18" charset="0"/>
                            <a:ea typeface="+mn-ea"/>
                            <a:cs typeface="+mn-cs"/>
                          </a:rPr>
                          <m:t>𝐻</m:t>
                        </m:r>
                      </m:e>
                      <m:sub>
                        <m:r>
                          <a:rPr lang="x-IV_mathan" sz="1100">
                            <a:solidFill>
                              <a:schemeClr val="bg1">
                                <a:lumMod val="50000"/>
                              </a:schemeClr>
                            </a:solidFill>
                            <a:effectLst/>
                            <a:latin typeface="Cambria Math" panose="02040503050406030204" pitchFamily="18" charset="0"/>
                            <a:ea typeface="+mn-ea"/>
                            <a:cs typeface="+mn-cs"/>
                          </a:rPr>
                          <m:t>𝐶</m:t>
                        </m:r>
                      </m:sub>
                    </m:sSub>
                    <m:r>
                      <a:rPr lang="x-IV_mathan" sz="1100">
                        <a:solidFill>
                          <a:schemeClr val="bg1">
                            <a:lumMod val="50000"/>
                          </a:schemeClr>
                        </a:solidFill>
                        <a:effectLst/>
                        <a:latin typeface="Cambria Math" panose="02040503050406030204" pitchFamily="18" charset="0"/>
                        <a:ea typeface="+mn-ea"/>
                        <a:cs typeface="+mn-cs"/>
                      </a:rPr>
                      <m:t>=</m:t>
                    </m:r>
                    <m:sSub>
                      <m:sSubPr>
                        <m:ctrlPr>
                          <a:rPr lang="x-IV_mathan" sz="1100" i="1">
                            <a:solidFill>
                              <a:schemeClr val="bg1">
                                <a:lumMod val="50000"/>
                              </a:schemeClr>
                            </a:solidFill>
                            <a:effectLst/>
                            <a:latin typeface="Cambria Math" panose="02040503050406030204" pitchFamily="18" charset="0"/>
                            <a:ea typeface="+mn-ea"/>
                            <a:cs typeface="+mn-cs"/>
                          </a:rPr>
                        </m:ctrlPr>
                      </m:sSubPr>
                      <m:e>
                        <m:r>
                          <a:rPr lang="en-US" sz="1100" b="0" i="1">
                            <a:solidFill>
                              <a:schemeClr val="bg1">
                                <a:lumMod val="50000"/>
                              </a:schemeClr>
                            </a:solidFill>
                            <a:effectLst/>
                            <a:latin typeface="Cambria Math" panose="02040503050406030204" pitchFamily="18" charset="0"/>
                            <a:ea typeface="+mn-ea"/>
                            <a:cs typeface="+mn-cs"/>
                          </a:rPr>
                          <m:t>𝑃</m:t>
                        </m:r>
                      </m:e>
                      <m:sub>
                        <m:r>
                          <a:rPr lang="x-IV_mathan" sz="1100">
                            <a:solidFill>
                              <a:schemeClr val="bg1">
                                <a:lumMod val="50000"/>
                              </a:schemeClr>
                            </a:solidFill>
                            <a:effectLst/>
                            <a:latin typeface="Cambria Math" panose="02040503050406030204" pitchFamily="18" charset="0"/>
                            <a:ea typeface="+mn-ea"/>
                            <a:cs typeface="+mn-cs"/>
                          </a:rPr>
                          <m:t>𝐵</m:t>
                        </m:r>
                      </m:sub>
                    </m:sSub>
                    <m:r>
                      <a:rPr lang="x-IV_mathan" sz="1100">
                        <a:solidFill>
                          <a:schemeClr val="bg1">
                            <a:lumMod val="50000"/>
                          </a:schemeClr>
                        </a:solidFill>
                        <a:effectLst/>
                        <a:latin typeface="Cambria Math" panose="02040503050406030204" pitchFamily="18" charset="0"/>
                        <a:ea typeface="+mn-ea"/>
                        <a:cs typeface="+mn-cs"/>
                      </a:rPr>
                      <m:t>+</m:t>
                    </m:r>
                    <m:f>
                      <m:fPr>
                        <m:ctrlPr>
                          <a:rPr lang="x-IV_mathan" sz="1100" i="1">
                            <a:solidFill>
                              <a:schemeClr val="bg1">
                                <a:lumMod val="50000"/>
                              </a:schemeClr>
                            </a:solidFill>
                            <a:effectLst/>
                            <a:latin typeface="Cambria Math" panose="02040503050406030204" pitchFamily="18" charset="0"/>
                            <a:ea typeface="+mn-ea"/>
                            <a:cs typeface="+mn-cs"/>
                          </a:rPr>
                        </m:ctrlPr>
                      </m:fPr>
                      <m:num>
                        <m:r>
                          <a:rPr lang="x-IV_mathan" sz="1100">
                            <a:solidFill>
                              <a:schemeClr val="bg1">
                                <a:lumMod val="50000"/>
                              </a:schemeClr>
                            </a:solidFill>
                            <a:effectLst/>
                            <a:latin typeface="Cambria Math" panose="02040503050406030204" pitchFamily="18" charset="0"/>
                            <a:ea typeface="+mn-ea"/>
                            <a:cs typeface="+mn-cs"/>
                          </a:rPr>
                          <m:t>1</m:t>
                        </m:r>
                      </m:num>
                      <m:den>
                        <m:r>
                          <a:rPr lang="x-IV_mathan" sz="1100">
                            <a:solidFill>
                              <a:schemeClr val="bg1">
                                <a:lumMod val="50000"/>
                              </a:schemeClr>
                            </a:solidFill>
                            <a:effectLst/>
                            <a:latin typeface="Cambria Math" panose="02040503050406030204" pitchFamily="18" charset="0"/>
                            <a:ea typeface="+mn-ea"/>
                            <a:cs typeface="+mn-cs"/>
                          </a:rPr>
                          <m:t>6</m:t>
                        </m:r>
                      </m:den>
                    </m:f>
                    <m:sSub>
                      <m:sSubPr>
                        <m:ctrlPr>
                          <a:rPr lang="x-IV_mathan" sz="1100" i="1">
                            <a:solidFill>
                              <a:schemeClr val="bg1">
                                <a:lumMod val="50000"/>
                              </a:schemeClr>
                            </a:solidFill>
                            <a:effectLst/>
                            <a:latin typeface="Cambria Math" panose="02040503050406030204" pitchFamily="18" charset="0"/>
                            <a:ea typeface="+mn-ea"/>
                            <a:cs typeface="+mn-cs"/>
                          </a:rPr>
                        </m:ctrlPr>
                      </m:sSubPr>
                      <m:e>
                        <m:r>
                          <a:rPr lang="en-US" sz="1100" b="0" i="1">
                            <a:solidFill>
                              <a:schemeClr val="bg1">
                                <a:lumMod val="50000"/>
                              </a:schemeClr>
                            </a:solidFill>
                            <a:effectLst/>
                            <a:latin typeface="Cambria Math" panose="02040503050406030204" pitchFamily="18" charset="0"/>
                            <a:ea typeface="+mn-ea"/>
                            <a:cs typeface="+mn-cs"/>
                          </a:rPr>
                          <m:t>𝐻</m:t>
                        </m:r>
                      </m:e>
                      <m:sub>
                        <m:r>
                          <a:rPr lang="x-IV_mathan" sz="1100">
                            <a:solidFill>
                              <a:schemeClr val="bg1">
                                <a:lumMod val="50000"/>
                              </a:schemeClr>
                            </a:solidFill>
                            <a:effectLst/>
                            <a:latin typeface="Cambria Math" panose="02040503050406030204" pitchFamily="18" charset="0"/>
                            <a:ea typeface="+mn-ea"/>
                            <a:cs typeface="+mn-cs"/>
                          </a:rPr>
                          <m:t>𝐵</m:t>
                        </m:r>
                      </m:sub>
                    </m:sSub>
                    <m:r>
                      <a:rPr lang="x-IV_mathan" sz="1100" i="1">
                        <a:solidFill>
                          <a:schemeClr val="bg1">
                            <a:lumMod val="50000"/>
                          </a:schemeClr>
                        </a:solidFill>
                        <a:effectLst/>
                        <a:latin typeface="Cambria Math" panose="02040503050406030204" pitchFamily="18" charset="0"/>
                        <a:ea typeface="Cambria Math" panose="02040503050406030204" pitchFamily="18" charset="0"/>
                        <a:cs typeface="+mn-cs"/>
                      </a:rPr>
                      <m:t>⇒</m:t>
                    </m:r>
                    <m:sSub>
                      <m:sSubPr>
                        <m:ctrlPr>
                          <a:rPr lang="x-IV_mathan"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x-IV_mathan" sz="1100">
                            <a:solidFill>
                              <a:schemeClr val="tx1"/>
                            </a:solidFill>
                            <a:effectLst/>
                            <a:latin typeface="Cambria Math" panose="02040503050406030204" pitchFamily="18" charset="0"/>
                            <a:ea typeface="+mn-ea"/>
                            <a:cs typeface="+mn-cs"/>
                          </a:rPr>
                          <m:t>𝐶</m:t>
                        </m:r>
                      </m:sub>
                    </m:sSub>
                    <m:r>
                      <a:rPr lang="x-IV_mathan" sz="1100">
                        <a:solidFill>
                          <a:schemeClr val="tx1"/>
                        </a:solidFill>
                        <a:effectLst/>
                        <a:latin typeface="Cambria Math" panose="02040503050406030204" pitchFamily="18" charset="0"/>
                        <a:ea typeface="+mn-ea"/>
                        <a:cs typeface="+mn-cs"/>
                      </a:rPr>
                      <m:t>=</m:t>
                    </m:r>
                    <m:f>
                      <m:fPr>
                        <m:ctrlPr>
                          <a:rPr lang="x-IV_mathan" sz="1100" i="1">
                            <a:solidFill>
                              <a:schemeClr val="tx1"/>
                            </a:solidFill>
                            <a:effectLst/>
                            <a:latin typeface="Cambria Math" panose="02040503050406030204" pitchFamily="18" charset="0"/>
                            <a:ea typeface="+mn-ea"/>
                            <a:cs typeface="+mn-cs"/>
                          </a:rPr>
                        </m:ctrlPr>
                      </m:fPr>
                      <m:num>
                        <m:r>
                          <a:rPr lang="x-IV_mathan" sz="1100">
                            <a:solidFill>
                              <a:schemeClr val="tx1"/>
                            </a:solidFill>
                            <a:effectLst/>
                            <a:latin typeface="Cambria Math" panose="02040503050406030204" pitchFamily="18" charset="0"/>
                            <a:ea typeface="+mn-ea"/>
                            <a:cs typeface="+mn-cs"/>
                          </a:rPr>
                          <m:t>3</m:t>
                        </m:r>
                      </m:num>
                      <m:den>
                        <m:r>
                          <a:rPr lang="x-IV_mathan" sz="1100">
                            <a:solidFill>
                              <a:schemeClr val="tx1"/>
                            </a:solidFill>
                            <a:effectLst/>
                            <a:latin typeface="Cambria Math" panose="02040503050406030204" pitchFamily="18" charset="0"/>
                            <a:ea typeface="+mn-ea"/>
                            <a:cs typeface="+mn-cs"/>
                          </a:rPr>
                          <m:t>2</m:t>
                        </m:r>
                      </m:den>
                    </m:f>
                    <m:sSub>
                      <m:sSubPr>
                        <m:ctrlPr>
                          <a:rPr lang="x-IV_mathan"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x-IV_mathan" sz="1100">
                            <a:solidFill>
                              <a:schemeClr val="tx1"/>
                            </a:solidFill>
                            <a:effectLst/>
                            <a:latin typeface="Cambria Math" panose="02040503050406030204" pitchFamily="18" charset="0"/>
                            <a:ea typeface="+mn-ea"/>
                            <a:cs typeface="+mn-cs"/>
                          </a:rPr>
                          <m:t>𝐵</m:t>
                        </m:r>
                      </m:sub>
                    </m:sSub>
                    <m:r>
                      <a:rPr lang="x-IV_mathan" sz="1100">
                        <a:solidFill>
                          <a:schemeClr val="tx1"/>
                        </a:solidFill>
                        <a:effectLst/>
                        <a:latin typeface="Cambria Math" panose="02040503050406030204" pitchFamily="18" charset="0"/>
                        <a:ea typeface="+mn-ea"/>
                        <a:cs typeface="+mn-cs"/>
                      </a:rPr>
                      <m:t>+</m:t>
                    </m:r>
                    <m:f>
                      <m:fPr>
                        <m:ctrlPr>
                          <a:rPr lang="x-IV_mathan" sz="1100" i="1">
                            <a:solidFill>
                              <a:schemeClr val="tx1"/>
                            </a:solidFill>
                            <a:effectLst/>
                            <a:latin typeface="Cambria Math" panose="02040503050406030204" pitchFamily="18" charset="0"/>
                            <a:ea typeface="+mn-ea"/>
                            <a:cs typeface="+mn-cs"/>
                          </a:rPr>
                        </m:ctrlPr>
                      </m:fPr>
                      <m:num>
                        <m:r>
                          <a:rPr lang="x-IV_mathan" sz="1100">
                            <a:solidFill>
                              <a:schemeClr val="tx1"/>
                            </a:solidFill>
                            <a:effectLst/>
                            <a:latin typeface="Cambria Math" panose="02040503050406030204" pitchFamily="18" charset="0"/>
                            <a:ea typeface="+mn-ea"/>
                            <a:cs typeface="+mn-cs"/>
                          </a:rPr>
                          <m:t>1</m:t>
                        </m:r>
                      </m:num>
                      <m:den>
                        <m:r>
                          <a:rPr lang="x-IV_mathan" sz="1100">
                            <a:solidFill>
                              <a:schemeClr val="tx1"/>
                            </a:solidFill>
                            <a:effectLst/>
                            <a:latin typeface="Cambria Math" panose="02040503050406030204" pitchFamily="18" charset="0"/>
                            <a:ea typeface="+mn-ea"/>
                            <a:cs typeface="+mn-cs"/>
                          </a:rPr>
                          <m:t>6</m:t>
                        </m:r>
                      </m:den>
                    </m:f>
                    <m:sSub>
                      <m:sSubPr>
                        <m:ctrlPr>
                          <a:rPr lang="x-IV_mathan"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x-IV_mathan" sz="1100">
                            <a:solidFill>
                              <a:schemeClr val="tx1"/>
                            </a:solidFill>
                            <a:effectLst/>
                            <a:latin typeface="Cambria Math" panose="02040503050406030204" pitchFamily="18" charset="0"/>
                            <a:ea typeface="+mn-ea"/>
                            <a:cs typeface="+mn-cs"/>
                          </a:rPr>
                          <m:t>𝐵</m:t>
                        </m:r>
                      </m:sub>
                    </m:sSub>
                  </m:oMath>
                </m:oMathPara>
              </a14:m>
              <a:endParaRPr lang="en-US" sz="1100"/>
            </a:p>
          </xdr:txBody>
        </xdr:sp>
      </mc:Choice>
      <mc:Fallback xmlns="">
        <xdr:sp macro="" textlink="">
          <xdr:nvSpPr>
            <xdr:cNvPr id="48" name="TextBox 47">
              <a:extLst>
                <a:ext uri="{FF2B5EF4-FFF2-40B4-BE49-F238E27FC236}">
                  <a16:creationId xmlns:a16="http://schemas.microsoft.com/office/drawing/2014/main" id="{37E437F5-411C-0871-2DDE-0B6E38963FCB}"/>
                </a:ext>
              </a:extLst>
            </xdr:cNvPr>
            <xdr:cNvSpPr txBox="1"/>
          </xdr:nvSpPr>
          <xdr:spPr>
            <a:xfrm>
              <a:off x="6791325" y="9605962"/>
              <a:ext cx="6687279" cy="7631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𝑃_𝐶=1/2</a:t>
              </a:r>
              <a:r>
                <a:rPr lang="en-US" sz="1100" b="0" i="0">
                  <a:latin typeface="Cambria Math" panose="02040503050406030204" pitchFamily="18" charset="0"/>
                  <a:ea typeface="Cambria Math" panose="02040503050406030204" pitchFamily="18" charset="0"/>
                </a:rPr>
                <a:t>∙𝐻_𝐶@</a:t>
              </a:r>
              <a:r>
                <a:rPr lang="en-US" sz="1100" b="0" i="0">
                  <a:latin typeface="Cambria Math" panose="02040503050406030204" pitchFamily="18" charset="0"/>
                </a:rPr>
                <a:t>𝑃_𝐵=𝑃_𝐶+1/6</a:t>
              </a:r>
              <a:r>
                <a:rPr lang="en-US" sz="1100" b="0" i="0">
                  <a:latin typeface="Cambria Math" panose="02040503050406030204" pitchFamily="18" charset="0"/>
                  <a:ea typeface="Cambria Math" panose="02040503050406030204" pitchFamily="18" charset="0"/>
                </a:rPr>
                <a:t>∙(𝐻_𝐶−𝐻_𝐵 ) )┤</a:t>
              </a:r>
              <a:r>
                <a:rPr lang="en-US" sz="1100" i="0">
                  <a:latin typeface="Cambria Math" panose="02040503050406030204" pitchFamily="18" charset="0"/>
                  <a:ea typeface="Cambria Math" panose="02040503050406030204" pitchFamily="18" charset="0"/>
                </a:rPr>
                <a:t>⇒</a:t>
              </a:r>
              <a:r>
                <a:rPr lang="en-US" sz="1100" b="0" i="0">
                  <a:solidFill>
                    <a:schemeClr val="bg1">
                      <a:lumMod val="50000"/>
                    </a:schemeClr>
                  </a:solidFill>
                  <a:latin typeface="Cambria Math" panose="02040503050406030204" pitchFamily="18" charset="0"/>
                  <a:ea typeface="Cambria Math" panose="02040503050406030204" pitchFamily="18" charset="0"/>
                </a:rPr>
                <a:t>𝑃_𝐵</a:t>
              </a:r>
              <a:r>
                <a:rPr lang="x-IV_mathan" sz="1100" i="0">
                  <a:solidFill>
                    <a:schemeClr val="bg1">
                      <a:lumMod val="50000"/>
                    </a:schemeClr>
                  </a:solidFill>
                  <a:effectLst/>
                  <a:latin typeface="+mn-lt"/>
                  <a:ea typeface="+mn-ea"/>
                  <a:cs typeface="+mn-cs"/>
                </a:rPr>
                <a:t>=1/2 </a:t>
              </a:r>
              <a:r>
                <a:rPr lang="en-US" sz="1100" b="0" i="0">
                  <a:solidFill>
                    <a:schemeClr val="bg1">
                      <a:lumMod val="50000"/>
                    </a:schemeClr>
                  </a:solidFill>
                  <a:effectLst/>
                  <a:latin typeface="Cambria Math" panose="02040503050406030204" pitchFamily="18" charset="0"/>
                  <a:ea typeface="+mn-ea"/>
                  <a:cs typeface="+mn-cs"/>
                </a:rPr>
                <a:t>𝐻</a:t>
              </a:r>
              <a:r>
                <a:rPr lang="x-IV_mathan" sz="1100" b="0" i="0">
                  <a:solidFill>
                    <a:schemeClr val="bg1">
                      <a:lumMod val="50000"/>
                    </a:schemeClr>
                  </a:solidFill>
                  <a:effectLst/>
                  <a:latin typeface="+mn-lt"/>
                  <a:ea typeface="+mn-ea"/>
                  <a:cs typeface="+mn-cs"/>
                </a:rPr>
                <a:t>_</a:t>
              </a:r>
              <a:r>
                <a:rPr lang="x-IV_mathan" sz="1100" i="0">
                  <a:solidFill>
                    <a:schemeClr val="bg1">
                      <a:lumMod val="50000"/>
                    </a:schemeClr>
                  </a:solidFill>
                  <a:effectLst/>
                  <a:latin typeface="+mn-lt"/>
                  <a:ea typeface="+mn-ea"/>
                  <a:cs typeface="+mn-cs"/>
                </a:rPr>
                <a:t>𝐶+1/6 (</a:t>
              </a:r>
              <a:r>
                <a:rPr lang="en-US" sz="1100" b="0" i="0">
                  <a:solidFill>
                    <a:schemeClr val="bg1">
                      <a:lumMod val="50000"/>
                    </a:schemeClr>
                  </a:solidFill>
                  <a:effectLst/>
                  <a:latin typeface="Cambria Math" panose="02040503050406030204" pitchFamily="18" charset="0"/>
                  <a:ea typeface="+mn-ea"/>
                  <a:cs typeface="+mn-cs"/>
                </a:rPr>
                <a:t>𝐻</a:t>
              </a:r>
              <a:r>
                <a:rPr lang="x-IV_mathan" sz="1100" b="0" i="0">
                  <a:solidFill>
                    <a:schemeClr val="bg1">
                      <a:lumMod val="50000"/>
                    </a:schemeClr>
                  </a:solidFill>
                  <a:effectLst/>
                  <a:latin typeface="+mn-lt"/>
                  <a:ea typeface="+mn-ea"/>
                  <a:cs typeface="+mn-cs"/>
                </a:rPr>
                <a:t>_</a:t>
              </a:r>
              <a:r>
                <a:rPr lang="x-IV_mathan" sz="1100" i="0">
                  <a:solidFill>
                    <a:schemeClr val="bg1">
                      <a:lumMod val="50000"/>
                    </a:schemeClr>
                  </a:solidFill>
                  <a:effectLst/>
                  <a:latin typeface="+mn-lt"/>
                  <a:ea typeface="+mn-ea"/>
                  <a:cs typeface="+mn-cs"/>
                </a:rPr>
                <a:t>𝐶−</a:t>
              </a:r>
              <a:r>
                <a:rPr lang="en-US" sz="1100" b="0" i="0">
                  <a:solidFill>
                    <a:schemeClr val="bg1">
                      <a:lumMod val="50000"/>
                    </a:schemeClr>
                  </a:solidFill>
                  <a:effectLst/>
                  <a:latin typeface="Cambria Math" panose="02040503050406030204" pitchFamily="18" charset="0"/>
                  <a:ea typeface="+mn-ea"/>
                  <a:cs typeface="+mn-cs"/>
                </a:rPr>
                <a:t>𝐻</a:t>
              </a:r>
              <a:r>
                <a:rPr lang="x-IV_mathan" sz="1100" b="0" i="0">
                  <a:solidFill>
                    <a:schemeClr val="bg1">
                      <a:lumMod val="50000"/>
                    </a:schemeClr>
                  </a:solidFill>
                  <a:effectLst/>
                  <a:latin typeface="+mn-lt"/>
                  <a:ea typeface="+mn-ea"/>
                  <a:cs typeface="+mn-cs"/>
                </a:rPr>
                <a:t>_</a:t>
              </a:r>
              <a:r>
                <a:rPr lang="x-IV_mathan" sz="1100" i="0">
                  <a:solidFill>
                    <a:schemeClr val="bg1">
                      <a:lumMod val="50000"/>
                    </a:schemeClr>
                  </a:solidFill>
                  <a:effectLst/>
                  <a:latin typeface="+mn-lt"/>
                  <a:ea typeface="+mn-ea"/>
                  <a:cs typeface="+mn-cs"/>
                </a:rPr>
                <a:t>𝐵 )=2/3 </a:t>
              </a:r>
              <a:r>
                <a:rPr lang="en-US" sz="1100" b="0" i="0">
                  <a:solidFill>
                    <a:schemeClr val="bg1">
                      <a:lumMod val="50000"/>
                    </a:schemeClr>
                  </a:solidFill>
                  <a:effectLst/>
                  <a:latin typeface="Cambria Math" panose="02040503050406030204" pitchFamily="18" charset="0"/>
                  <a:ea typeface="+mn-ea"/>
                  <a:cs typeface="+mn-cs"/>
                </a:rPr>
                <a:t>𝐻</a:t>
              </a:r>
              <a:r>
                <a:rPr lang="x-IV_mathan" sz="1100" b="0" i="0">
                  <a:solidFill>
                    <a:schemeClr val="bg1">
                      <a:lumMod val="50000"/>
                    </a:schemeClr>
                  </a:solidFill>
                  <a:effectLst/>
                  <a:latin typeface="+mn-lt"/>
                  <a:ea typeface="+mn-ea"/>
                  <a:cs typeface="+mn-cs"/>
                </a:rPr>
                <a:t>_</a:t>
              </a:r>
              <a:r>
                <a:rPr lang="x-IV_mathan" sz="1100" i="0">
                  <a:solidFill>
                    <a:schemeClr val="bg1">
                      <a:lumMod val="50000"/>
                    </a:schemeClr>
                  </a:solidFill>
                  <a:effectLst/>
                  <a:latin typeface="+mn-lt"/>
                  <a:ea typeface="+mn-ea"/>
                  <a:cs typeface="+mn-cs"/>
                </a:rPr>
                <a:t>𝐶−1/6 </a:t>
              </a:r>
              <a:r>
                <a:rPr lang="en-US" sz="1100" b="0" i="0">
                  <a:solidFill>
                    <a:schemeClr val="bg1">
                      <a:lumMod val="50000"/>
                    </a:schemeClr>
                  </a:solidFill>
                  <a:effectLst/>
                  <a:latin typeface="Cambria Math" panose="02040503050406030204" pitchFamily="18" charset="0"/>
                  <a:ea typeface="+mn-ea"/>
                  <a:cs typeface="+mn-cs"/>
                </a:rPr>
                <a:t>𝐻</a:t>
              </a:r>
              <a:r>
                <a:rPr lang="x-IV_mathan" sz="1100" b="0" i="0">
                  <a:solidFill>
                    <a:schemeClr val="bg1">
                      <a:lumMod val="50000"/>
                    </a:schemeClr>
                  </a:solidFill>
                  <a:effectLst/>
                  <a:latin typeface="+mn-lt"/>
                  <a:ea typeface="+mn-ea"/>
                  <a:cs typeface="+mn-cs"/>
                </a:rPr>
                <a:t>_</a:t>
              </a:r>
              <a:r>
                <a:rPr lang="x-IV_mathan" sz="1100" i="0">
                  <a:solidFill>
                    <a:schemeClr val="bg1">
                      <a:lumMod val="50000"/>
                    </a:schemeClr>
                  </a:solidFill>
                  <a:effectLst/>
                  <a:latin typeface="+mn-lt"/>
                  <a:ea typeface="+mn-ea"/>
                  <a:cs typeface="+mn-cs"/>
                </a:rPr>
                <a:t>𝐵</a:t>
              </a:r>
              <a:r>
                <a:rPr lang="x-IV_mathan" sz="1100" i="0">
                  <a:solidFill>
                    <a:schemeClr val="bg1">
                      <a:lumMod val="50000"/>
                    </a:schemeClr>
                  </a:solidFill>
                  <a:effectLst/>
                  <a:latin typeface="Cambria Math" panose="02040503050406030204" pitchFamily="18" charset="0"/>
                  <a:ea typeface="Cambria Math" panose="02040503050406030204" pitchFamily="18" charset="0"/>
                  <a:cs typeface="+mn-cs"/>
                </a:rPr>
                <a:t>⇒</a:t>
              </a:r>
              <a:r>
                <a:rPr lang="x-IV_mathan" sz="1100" i="0">
                  <a:solidFill>
                    <a:schemeClr val="bg1">
                      <a:lumMod val="50000"/>
                    </a:schemeClr>
                  </a:solidFill>
                  <a:effectLst/>
                  <a:latin typeface="+mn-lt"/>
                  <a:ea typeface="+mn-ea"/>
                  <a:cs typeface="+mn-cs"/>
                </a:rPr>
                <a:t>2/3 </a:t>
              </a:r>
              <a:r>
                <a:rPr lang="en-US" sz="1100" b="0" i="0">
                  <a:solidFill>
                    <a:schemeClr val="bg1">
                      <a:lumMod val="50000"/>
                    </a:schemeClr>
                  </a:solidFill>
                  <a:effectLst/>
                  <a:latin typeface="Cambria Math" panose="02040503050406030204" pitchFamily="18" charset="0"/>
                  <a:ea typeface="+mn-ea"/>
                  <a:cs typeface="+mn-cs"/>
                </a:rPr>
                <a:t>𝐻</a:t>
              </a:r>
              <a:r>
                <a:rPr lang="x-IV_mathan" sz="1100" b="0" i="0">
                  <a:solidFill>
                    <a:schemeClr val="bg1">
                      <a:lumMod val="50000"/>
                    </a:schemeClr>
                  </a:solidFill>
                  <a:effectLst/>
                  <a:latin typeface="+mn-lt"/>
                  <a:ea typeface="+mn-ea"/>
                  <a:cs typeface="+mn-cs"/>
                </a:rPr>
                <a:t>_</a:t>
              </a:r>
              <a:r>
                <a:rPr lang="x-IV_mathan" sz="1100" i="0">
                  <a:solidFill>
                    <a:schemeClr val="bg1">
                      <a:lumMod val="50000"/>
                    </a:schemeClr>
                  </a:solidFill>
                  <a:effectLst/>
                  <a:latin typeface="+mn-lt"/>
                  <a:ea typeface="+mn-ea"/>
                  <a:cs typeface="+mn-cs"/>
                </a:rPr>
                <a:t>𝐶=</a:t>
              </a:r>
              <a:r>
                <a:rPr lang="en-US" sz="1100" b="0" i="0">
                  <a:solidFill>
                    <a:schemeClr val="bg1">
                      <a:lumMod val="50000"/>
                    </a:schemeClr>
                  </a:solidFill>
                  <a:effectLst/>
                  <a:latin typeface="Cambria Math" panose="02040503050406030204" pitchFamily="18" charset="0"/>
                  <a:ea typeface="+mn-ea"/>
                  <a:cs typeface="+mn-cs"/>
                </a:rPr>
                <a:t>𝑃</a:t>
              </a:r>
              <a:r>
                <a:rPr lang="x-IV_mathan" sz="1100" b="0" i="0">
                  <a:solidFill>
                    <a:schemeClr val="bg1">
                      <a:lumMod val="50000"/>
                    </a:schemeClr>
                  </a:solidFill>
                  <a:effectLst/>
                  <a:latin typeface="+mn-lt"/>
                  <a:ea typeface="+mn-ea"/>
                  <a:cs typeface="+mn-cs"/>
                </a:rPr>
                <a:t>_</a:t>
              </a:r>
              <a:r>
                <a:rPr lang="x-IV_mathan" sz="1100" i="0">
                  <a:solidFill>
                    <a:schemeClr val="bg1">
                      <a:lumMod val="50000"/>
                    </a:schemeClr>
                  </a:solidFill>
                  <a:effectLst/>
                  <a:latin typeface="+mn-lt"/>
                  <a:ea typeface="+mn-ea"/>
                  <a:cs typeface="+mn-cs"/>
                </a:rPr>
                <a:t>𝐵+1/6 </a:t>
              </a:r>
              <a:r>
                <a:rPr lang="en-US" sz="1100" b="0" i="0">
                  <a:solidFill>
                    <a:schemeClr val="bg1">
                      <a:lumMod val="50000"/>
                    </a:schemeClr>
                  </a:solidFill>
                  <a:effectLst/>
                  <a:latin typeface="Cambria Math" panose="02040503050406030204" pitchFamily="18" charset="0"/>
                  <a:ea typeface="+mn-ea"/>
                  <a:cs typeface="+mn-cs"/>
                </a:rPr>
                <a:t>𝐻</a:t>
              </a:r>
              <a:r>
                <a:rPr lang="x-IV_mathan" sz="1100" b="0" i="0">
                  <a:solidFill>
                    <a:schemeClr val="bg1">
                      <a:lumMod val="50000"/>
                    </a:schemeClr>
                  </a:solidFill>
                  <a:effectLst/>
                  <a:latin typeface="+mn-lt"/>
                  <a:ea typeface="+mn-ea"/>
                  <a:cs typeface="+mn-cs"/>
                </a:rPr>
                <a:t>_</a:t>
              </a:r>
              <a:r>
                <a:rPr lang="x-IV_mathan" sz="1100" i="0">
                  <a:solidFill>
                    <a:schemeClr val="bg1">
                      <a:lumMod val="50000"/>
                    </a:schemeClr>
                  </a:solidFill>
                  <a:effectLst/>
                  <a:latin typeface="+mn-lt"/>
                  <a:ea typeface="+mn-ea"/>
                  <a:cs typeface="+mn-cs"/>
                </a:rPr>
                <a:t>𝐵</a:t>
              </a:r>
              <a:r>
                <a:rPr lang="x-IV_mathan" sz="1100" i="0">
                  <a:solidFill>
                    <a:schemeClr val="bg1">
                      <a:lumMod val="50000"/>
                    </a:schemeClr>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Cambria Math" panose="02040503050406030204" pitchFamily="18" charset="0"/>
                  <a:ea typeface="+mn-ea"/>
                  <a:cs typeface="+mn-cs"/>
                </a:rPr>
                <a:t>𝐻</a:t>
              </a:r>
              <a:r>
                <a:rPr lang="x-IV_mathan" sz="1100" b="0" i="0">
                  <a:solidFill>
                    <a:schemeClr val="tx1"/>
                  </a:solidFill>
                  <a:effectLst/>
                  <a:latin typeface="+mn-lt"/>
                  <a:ea typeface="+mn-ea"/>
                  <a:cs typeface="+mn-cs"/>
                </a:rPr>
                <a:t>_</a:t>
              </a:r>
              <a:r>
                <a:rPr lang="x-IV_mathan" sz="1100" i="0">
                  <a:solidFill>
                    <a:schemeClr val="tx1"/>
                  </a:solidFill>
                  <a:effectLst/>
                  <a:latin typeface="+mn-lt"/>
                  <a:ea typeface="+mn-ea"/>
                  <a:cs typeface="+mn-cs"/>
                </a:rPr>
                <a:t>𝐶=3/2 </a:t>
              </a:r>
              <a:r>
                <a:rPr lang="en-US" sz="1100" b="0" i="0">
                  <a:solidFill>
                    <a:schemeClr val="tx1"/>
                  </a:solidFill>
                  <a:effectLst/>
                  <a:latin typeface="Cambria Math" panose="02040503050406030204" pitchFamily="18" charset="0"/>
                  <a:ea typeface="+mn-ea"/>
                  <a:cs typeface="+mn-cs"/>
                </a:rPr>
                <a:t>𝑃</a:t>
              </a:r>
              <a:r>
                <a:rPr lang="x-IV_mathan" sz="1100" b="0" i="0">
                  <a:solidFill>
                    <a:schemeClr val="tx1"/>
                  </a:solidFill>
                  <a:effectLst/>
                  <a:latin typeface="+mn-lt"/>
                  <a:ea typeface="+mn-ea"/>
                  <a:cs typeface="+mn-cs"/>
                </a:rPr>
                <a:t>_</a:t>
              </a:r>
              <a:r>
                <a:rPr lang="x-IV_mathan" sz="1100" i="0">
                  <a:solidFill>
                    <a:schemeClr val="tx1"/>
                  </a:solidFill>
                  <a:effectLst/>
                  <a:latin typeface="+mn-lt"/>
                  <a:ea typeface="+mn-ea"/>
                  <a:cs typeface="+mn-cs"/>
                </a:rPr>
                <a:t>𝐵+1/6 </a:t>
              </a:r>
              <a:r>
                <a:rPr lang="en-US" sz="1100" b="0" i="0">
                  <a:solidFill>
                    <a:schemeClr val="tx1"/>
                  </a:solidFill>
                  <a:effectLst/>
                  <a:latin typeface="Cambria Math" panose="02040503050406030204" pitchFamily="18" charset="0"/>
                  <a:ea typeface="+mn-ea"/>
                  <a:cs typeface="+mn-cs"/>
                </a:rPr>
                <a:t>𝐻</a:t>
              </a:r>
              <a:r>
                <a:rPr lang="x-IV_mathan" sz="1100" b="0" i="0">
                  <a:solidFill>
                    <a:schemeClr val="tx1"/>
                  </a:solidFill>
                  <a:effectLst/>
                  <a:latin typeface="+mn-lt"/>
                  <a:ea typeface="+mn-ea"/>
                  <a:cs typeface="+mn-cs"/>
                </a:rPr>
                <a:t>_</a:t>
              </a:r>
              <a:r>
                <a:rPr lang="x-IV_mathan" sz="1100" i="0">
                  <a:solidFill>
                    <a:schemeClr val="tx1"/>
                  </a:solidFill>
                  <a:effectLst/>
                  <a:latin typeface="+mn-lt"/>
                  <a:ea typeface="+mn-ea"/>
                  <a:cs typeface="+mn-cs"/>
                </a:rPr>
                <a:t>𝐵</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24</xdr:col>
      <xdr:colOff>133350</xdr:colOff>
      <xdr:row>134</xdr:row>
      <xdr:rowOff>114300</xdr:rowOff>
    </xdr:from>
    <xdr:to>
      <xdr:col>39</xdr:col>
      <xdr:colOff>365760</xdr:colOff>
      <xdr:row>150</xdr:row>
      <xdr:rowOff>68220</xdr:rowOff>
    </xdr:to>
    <xdr:grpSp>
      <xdr:nvGrpSpPr>
        <xdr:cNvPr id="35" name="Group 34">
          <a:extLst>
            <a:ext uri="{FF2B5EF4-FFF2-40B4-BE49-F238E27FC236}">
              <a16:creationId xmlns:a16="http://schemas.microsoft.com/office/drawing/2014/main" id="{4187C3E2-7A8A-301B-6DAB-372DC528AAF8}"/>
            </a:ext>
          </a:extLst>
        </xdr:cNvPr>
        <xdr:cNvGrpSpPr/>
      </xdr:nvGrpSpPr>
      <xdr:grpSpPr>
        <a:xfrm>
          <a:off x="10124017" y="25704800"/>
          <a:ext cx="5947410" cy="3001920"/>
          <a:chOff x="0" y="27161490"/>
          <a:chExt cx="6073140" cy="2880000"/>
        </a:xfrm>
      </xdr:grpSpPr>
      <xdr:graphicFrame macro="">
        <xdr:nvGraphicFramePr>
          <xdr:cNvPr id="2" name="Chart 1">
            <a:extLst>
              <a:ext uri="{FF2B5EF4-FFF2-40B4-BE49-F238E27FC236}">
                <a16:creationId xmlns:a16="http://schemas.microsoft.com/office/drawing/2014/main" id="{FBC70264-881F-3A3C-4883-2BC596A5492B}"/>
              </a:ext>
            </a:extLst>
          </xdr:cNvPr>
          <xdr:cNvGraphicFramePr/>
        </xdr:nvGraphicFramePr>
        <xdr:xfrm>
          <a:off x="0" y="27161490"/>
          <a:ext cx="5760000" cy="2880000"/>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2" name="Group 31">
            <a:extLst>
              <a:ext uri="{FF2B5EF4-FFF2-40B4-BE49-F238E27FC236}">
                <a16:creationId xmlns:a16="http://schemas.microsoft.com/office/drawing/2014/main" id="{13BDA791-D93D-3181-EF77-63C4AC748523}"/>
              </a:ext>
            </a:extLst>
          </xdr:cNvPr>
          <xdr:cNvGrpSpPr/>
        </xdr:nvGrpSpPr>
        <xdr:grpSpPr>
          <a:xfrm>
            <a:off x="4296479" y="28183318"/>
            <a:ext cx="1005556" cy="1504209"/>
            <a:chOff x="4336985" y="28809755"/>
            <a:chExt cx="1006358" cy="1517656"/>
          </a:xfrm>
        </xdr:grpSpPr>
        <xdr:sp macro="" textlink="">
          <xdr:nvSpPr>
            <xdr:cNvPr id="4" name="TextBox 3">
              <a:extLst>
                <a:ext uri="{FF2B5EF4-FFF2-40B4-BE49-F238E27FC236}">
                  <a16:creationId xmlns:a16="http://schemas.microsoft.com/office/drawing/2014/main" id="{68FD4AB1-0013-6244-3C95-830FA67F5AA4}"/>
                </a:ext>
              </a:extLst>
            </xdr:cNvPr>
            <xdr:cNvSpPr txBox="1"/>
          </xdr:nvSpPr>
          <xdr:spPr>
            <a:xfrm>
              <a:off x="4336985" y="28809755"/>
              <a:ext cx="548379" cy="101007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r>
                <a:rPr lang="en-US" sz="900"/>
                <a:t>Households</a:t>
              </a:r>
            </a:p>
            <a:p>
              <a:pPr algn="r"/>
              <a:r>
                <a:rPr lang="en-US" sz="900"/>
                <a:t>Buildings</a:t>
              </a:r>
            </a:p>
            <a:p>
              <a:pPr algn="r"/>
              <a:r>
                <a:rPr lang="en-US" sz="900"/>
                <a:t>Industry</a:t>
              </a:r>
            </a:p>
            <a:p>
              <a:pPr algn="r"/>
              <a:r>
                <a:rPr lang="en-US" sz="900"/>
                <a:t>Transport</a:t>
              </a:r>
            </a:p>
            <a:p>
              <a:pPr algn="r"/>
              <a:r>
                <a:rPr lang="en-US" sz="900"/>
                <a:t>Agriculture</a:t>
              </a:r>
            </a:p>
            <a:p>
              <a:pPr algn="r"/>
              <a:r>
                <a:rPr lang="en-US" sz="900"/>
                <a:t>Other</a:t>
              </a:r>
            </a:p>
            <a:p>
              <a:pPr algn="r"/>
              <a:r>
                <a:rPr lang="en-US" sz="900"/>
                <a:t>Energy</a:t>
              </a:r>
            </a:p>
          </xdr:txBody>
        </xdr:sp>
        <xdr:sp macro="" textlink="">
          <xdr:nvSpPr>
            <xdr:cNvPr id="5" name="TextBox 4">
              <a:extLst>
                <a:ext uri="{FF2B5EF4-FFF2-40B4-BE49-F238E27FC236}">
                  <a16:creationId xmlns:a16="http://schemas.microsoft.com/office/drawing/2014/main" id="{2ACBDE04-2300-DA0F-72D7-1AC7C18779AD}"/>
                </a:ext>
              </a:extLst>
            </xdr:cNvPr>
            <xdr:cNvSpPr txBox="1"/>
          </xdr:nvSpPr>
          <xdr:spPr>
            <a:xfrm>
              <a:off x="4910988" y="29832702"/>
              <a:ext cx="431186" cy="49470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vert="vert270" wrap="none" lIns="0" tIns="0" rIns="0" bIns="0" rtlCol="0" anchor="t">
              <a:noAutofit/>
            </a:bodyPr>
            <a:lstStyle/>
            <a:p>
              <a:r>
                <a:rPr lang="en-US" sz="900"/>
                <a:t>2019</a:t>
              </a:r>
            </a:p>
            <a:p>
              <a:r>
                <a:rPr lang="en-US" sz="900"/>
                <a:t>+2035</a:t>
              </a:r>
            </a:p>
            <a:p>
              <a:r>
                <a:rPr lang="en-US" sz="900"/>
                <a:t>+2035+H2</a:t>
              </a:r>
            </a:p>
          </xdr:txBody>
        </xdr:sp>
        <xdr:grpSp>
          <xdr:nvGrpSpPr>
            <xdr:cNvPr id="31" name="Group 30">
              <a:extLst>
                <a:ext uri="{FF2B5EF4-FFF2-40B4-BE49-F238E27FC236}">
                  <a16:creationId xmlns:a16="http://schemas.microsoft.com/office/drawing/2014/main" id="{E1714F9F-BB48-4E52-54A2-7AB9FA26D524}"/>
                </a:ext>
              </a:extLst>
            </xdr:cNvPr>
            <xdr:cNvGrpSpPr/>
          </xdr:nvGrpSpPr>
          <xdr:grpSpPr>
            <a:xfrm>
              <a:off x="4903459" y="28812266"/>
              <a:ext cx="439884" cy="1017334"/>
              <a:chOff x="4903459" y="28812266"/>
              <a:chExt cx="439884" cy="1017334"/>
            </a:xfrm>
          </xdr:grpSpPr>
          <xdr:sp macro="" textlink="">
            <xdr:nvSpPr>
              <xdr:cNvPr id="7" name="Rectangle 6">
                <a:extLst>
                  <a:ext uri="{FF2B5EF4-FFF2-40B4-BE49-F238E27FC236}">
                    <a16:creationId xmlns:a16="http://schemas.microsoft.com/office/drawing/2014/main" id="{1CAB2895-94BB-E2C7-F4A7-3B41ED27AB68}"/>
                  </a:ext>
                </a:extLst>
              </xdr:cNvPr>
              <xdr:cNvSpPr/>
            </xdr:nvSpPr>
            <xdr:spPr>
              <a:xfrm>
                <a:off x="4905103" y="29103852"/>
                <a:ext cx="145199" cy="145074"/>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3B05F340-0529-44BF-1C2D-4332D4942E68}"/>
                  </a:ext>
                </a:extLst>
              </xdr:cNvPr>
              <xdr:cNvSpPr/>
            </xdr:nvSpPr>
            <xdr:spPr>
              <a:xfrm>
                <a:off x="5050555" y="29102770"/>
                <a:ext cx="146027" cy="145074"/>
              </a:xfrm>
              <a:prstGeom prst="rect">
                <a:avLst/>
              </a:prstGeom>
              <a:pattFill prst="lgCheck">
                <a:fgClr>
                  <a:srgbClr val="FF00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8FFF8E20-DF63-0ACE-926D-CB20B57697DE}"/>
                  </a:ext>
                </a:extLst>
              </xdr:cNvPr>
              <xdr:cNvSpPr/>
            </xdr:nvSpPr>
            <xdr:spPr>
              <a:xfrm>
                <a:off x="5195824" y="29099524"/>
                <a:ext cx="143039" cy="145074"/>
              </a:xfrm>
              <a:prstGeom prst="rect">
                <a:avLst/>
              </a:prstGeom>
              <a:pattFill prst="smCheck">
                <a:fgClr>
                  <a:srgbClr val="FF00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F7A91163-07D0-C3F0-5BDE-68C90EFF8963}"/>
                  </a:ext>
                </a:extLst>
              </xdr:cNvPr>
              <xdr:cNvSpPr/>
            </xdr:nvSpPr>
            <xdr:spPr>
              <a:xfrm>
                <a:off x="4903930" y="29249148"/>
                <a:ext cx="145199" cy="142300"/>
              </a:xfrm>
              <a:prstGeom prst="rect">
                <a:avLst/>
              </a:prstGeom>
              <a:solidFill>
                <a:srgbClr val="FF9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23A16CF5-268E-AD77-C131-ABB4DD182E70}"/>
                  </a:ext>
                </a:extLst>
              </xdr:cNvPr>
              <xdr:cNvSpPr/>
            </xdr:nvSpPr>
            <xdr:spPr>
              <a:xfrm>
                <a:off x="5049106" y="29248818"/>
                <a:ext cx="146027" cy="142300"/>
              </a:xfrm>
              <a:prstGeom prst="rect">
                <a:avLst/>
              </a:prstGeom>
              <a:pattFill prst="lgCheck">
                <a:fgClr>
                  <a:srgbClr val="FF99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F3A3B650-6233-747E-A6BF-F172F8F60E01}"/>
                  </a:ext>
                </a:extLst>
              </xdr:cNvPr>
              <xdr:cNvSpPr/>
            </xdr:nvSpPr>
            <xdr:spPr>
              <a:xfrm>
                <a:off x="5195969" y="29245571"/>
                <a:ext cx="143039" cy="142300"/>
              </a:xfrm>
              <a:prstGeom prst="rect">
                <a:avLst/>
              </a:prstGeom>
              <a:pattFill prst="smCheck">
                <a:fgClr>
                  <a:srgbClr val="FF99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CAA97F5B-F01C-C709-732F-176624D8BCFA}"/>
                  </a:ext>
                </a:extLst>
              </xdr:cNvPr>
              <xdr:cNvSpPr/>
            </xdr:nvSpPr>
            <xdr:spPr>
              <a:xfrm>
                <a:off x="4903459" y="28959198"/>
                <a:ext cx="145199" cy="146133"/>
              </a:xfrm>
              <a:prstGeom prst="rect">
                <a:avLst/>
              </a:prstGeom>
              <a:solidFill>
                <a:srgbClr val="6633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F885F7F6-9723-B967-DE15-752FB8AF01B2}"/>
                  </a:ext>
                </a:extLst>
              </xdr:cNvPr>
              <xdr:cNvSpPr/>
            </xdr:nvSpPr>
            <xdr:spPr>
              <a:xfrm>
                <a:off x="5050351" y="28955858"/>
                <a:ext cx="146027" cy="146133"/>
              </a:xfrm>
              <a:prstGeom prst="rect">
                <a:avLst/>
              </a:prstGeom>
              <a:pattFill prst="lgCheck">
                <a:fgClr>
                  <a:srgbClr val="6633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1BD7C034-C87E-25ED-23C7-8D2B0A4D9A0B}"/>
                  </a:ext>
                </a:extLst>
              </xdr:cNvPr>
              <xdr:cNvSpPr/>
            </xdr:nvSpPr>
            <xdr:spPr>
              <a:xfrm>
                <a:off x="5195618" y="28955182"/>
                <a:ext cx="143039" cy="146133"/>
              </a:xfrm>
              <a:prstGeom prst="rect">
                <a:avLst/>
              </a:prstGeom>
              <a:pattFill prst="smCheck">
                <a:fgClr>
                  <a:srgbClr val="6633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a:extLst>
                  <a:ext uri="{FF2B5EF4-FFF2-40B4-BE49-F238E27FC236}">
                    <a16:creationId xmlns:a16="http://schemas.microsoft.com/office/drawing/2014/main" id="{6F965DB2-4CEB-34ED-7152-6A8F56CD0D52}"/>
                  </a:ext>
                </a:extLst>
              </xdr:cNvPr>
              <xdr:cNvSpPr/>
            </xdr:nvSpPr>
            <xdr:spPr>
              <a:xfrm>
                <a:off x="4904793" y="28815612"/>
                <a:ext cx="145199" cy="145076"/>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1D08A7A4-3070-2A83-1B7F-9E946D054CB9}"/>
                  </a:ext>
                </a:extLst>
              </xdr:cNvPr>
              <xdr:cNvSpPr/>
            </xdr:nvSpPr>
            <xdr:spPr>
              <a:xfrm>
                <a:off x="5050161" y="28812573"/>
                <a:ext cx="146027" cy="145076"/>
              </a:xfrm>
              <a:prstGeom prst="rect">
                <a:avLst/>
              </a:prstGeom>
              <a:pattFill prst="lgCheck">
                <a:fgClr>
                  <a:schemeClr val="tx1"/>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BD82BFCD-F5D4-49CA-8AAC-8C7472DAEA92}"/>
                  </a:ext>
                </a:extLst>
              </xdr:cNvPr>
              <xdr:cNvSpPr/>
            </xdr:nvSpPr>
            <xdr:spPr>
              <a:xfrm>
                <a:off x="4904495" y="29391291"/>
                <a:ext cx="145199" cy="145075"/>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D5E4FED4-2A78-429F-9901-D6DCDD168BA7}"/>
                  </a:ext>
                </a:extLst>
              </xdr:cNvPr>
              <xdr:cNvSpPr/>
            </xdr:nvSpPr>
            <xdr:spPr>
              <a:xfrm>
                <a:off x="5048820" y="29390962"/>
                <a:ext cx="146027" cy="145075"/>
              </a:xfrm>
              <a:prstGeom prst="rect">
                <a:avLst/>
              </a:prstGeom>
              <a:pattFill prst="lgCheck">
                <a:fgClr>
                  <a:srgbClr val="00206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A282248A-39F7-4B6B-AF01-8CC3A89E6509}"/>
                  </a:ext>
                </a:extLst>
              </xdr:cNvPr>
              <xdr:cNvSpPr/>
            </xdr:nvSpPr>
            <xdr:spPr>
              <a:xfrm>
                <a:off x="5196655" y="29390286"/>
                <a:ext cx="143039" cy="145075"/>
              </a:xfrm>
              <a:prstGeom prst="rect">
                <a:avLst/>
              </a:prstGeom>
              <a:pattFill prst="smCheck">
                <a:fgClr>
                  <a:srgbClr val="00206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742B2583-1189-4385-A2C4-5CA0E5CC1BA4}"/>
                  </a:ext>
                </a:extLst>
              </xdr:cNvPr>
              <xdr:cNvSpPr/>
            </xdr:nvSpPr>
            <xdr:spPr>
              <a:xfrm>
                <a:off x="4904762" y="29537340"/>
                <a:ext cx="145199" cy="145074"/>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a:extLst>
                  <a:ext uri="{FF2B5EF4-FFF2-40B4-BE49-F238E27FC236}">
                    <a16:creationId xmlns:a16="http://schemas.microsoft.com/office/drawing/2014/main" id="{620E7522-AB58-4B3D-8A8F-4DC35E71B9CB}"/>
                  </a:ext>
                </a:extLst>
              </xdr:cNvPr>
              <xdr:cNvSpPr/>
            </xdr:nvSpPr>
            <xdr:spPr>
              <a:xfrm>
                <a:off x="5049938" y="29539581"/>
                <a:ext cx="146027" cy="145074"/>
              </a:xfrm>
              <a:prstGeom prst="rect">
                <a:avLst/>
              </a:prstGeom>
              <a:pattFill prst="lgCheck">
                <a:fgClr>
                  <a:srgbClr val="0070C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22">
                <a:extLst>
                  <a:ext uri="{FF2B5EF4-FFF2-40B4-BE49-F238E27FC236}">
                    <a16:creationId xmlns:a16="http://schemas.microsoft.com/office/drawing/2014/main" id="{E0DF81EA-4BF1-49C9-BDF1-34A4934A0218}"/>
                  </a:ext>
                </a:extLst>
              </xdr:cNvPr>
              <xdr:cNvSpPr/>
            </xdr:nvSpPr>
            <xdr:spPr>
              <a:xfrm>
                <a:off x="5196800" y="29533763"/>
                <a:ext cx="143039" cy="145074"/>
              </a:xfrm>
              <a:prstGeom prst="rect">
                <a:avLst/>
              </a:prstGeom>
              <a:pattFill prst="smCheck">
                <a:fgClr>
                  <a:srgbClr val="0070C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4B6D2CD5-FED7-4B3A-870C-C656787BA361}"/>
                  </a:ext>
                </a:extLst>
              </xdr:cNvPr>
              <xdr:cNvSpPr/>
            </xdr:nvSpPr>
            <xdr:spPr>
              <a:xfrm>
                <a:off x="4905161" y="29683468"/>
                <a:ext cx="145199" cy="146132"/>
              </a:xfrm>
              <a:prstGeom prst="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129E34B1-C471-4D1F-A430-9E00AA05CCA2}"/>
                  </a:ext>
                </a:extLst>
              </xdr:cNvPr>
              <xdr:cNvSpPr/>
            </xdr:nvSpPr>
            <xdr:spPr>
              <a:xfrm>
                <a:off x="5050336" y="29683137"/>
                <a:ext cx="146027" cy="146132"/>
              </a:xfrm>
              <a:prstGeom prst="rect">
                <a:avLst/>
              </a:prstGeom>
              <a:pattFill prst="lgCheck">
                <a:fgClr>
                  <a:srgbClr val="00B0F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2536E544-8516-44C3-85C3-5968605E2D92}"/>
                  </a:ext>
                </a:extLst>
              </xdr:cNvPr>
              <xdr:cNvSpPr/>
            </xdr:nvSpPr>
            <xdr:spPr>
              <a:xfrm>
                <a:off x="5197199" y="29679890"/>
                <a:ext cx="143039" cy="146132"/>
              </a:xfrm>
              <a:prstGeom prst="rect">
                <a:avLst/>
              </a:prstGeom>
              <a:pattFill prst="smCheck">
                <a:fgClr>
                  <a:srgbClr val="00B0F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29">
                <a:extLst>
                  <a:ext uri="{FF2B5EF4-FFF2-40B4-BE49-F238E27FC236}">
                    <a16:creationId xmlns:a16="http://schemas.microsoft.com/office/drawing/2014/main" id="{324E3AB4-C4F7-44DC-BF2F-8195F3DDBDD1}"/>
                  </a:ext>
                </a:extLst>
              </xdr:cNvPr>
              <xdr:cNvSpPr/>
            </xdr:nvSpPr>
            <xdr:spPr>
              <a:xfrm>
                <a:off x="5197316" y="28812266"/>
                <a:ext cx="146027" cy="145076"/>
              </a:xfrm>
              <a:prstGeom prst="rect">
                <a:avLst/>
              </a:prstGeom>
              <a:pattFill prst="smCheck">
                <a:fgClr>
                  <a:schemeClr val="tx1"/>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34" name="TextBox 33">
            <a:extLst>
              <a:ext uri="{FF2B5EF4-FFF2-40B4-BE49-F238E27FC236}">
                <a16:creationId xmlns:a16="http://schemas.microsoft.com/office/drawing/2014/main" id="{B86066D3-3E53-4845-B78A-D038A6352409}"/>
              </a:ext>
            </a:extLst>
          </xdr:cNvPr>
          <xdr:cNvSpPr txBox="1"/>
        </xdr:nvSpPr>
        <xdr:spPr>
          <a:xfrm>
            <a:off x="5722620" y="29824681"/>
            <a:ext cx="350520" cy="14477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l"/>
            <a:r>
              <a:rPr lang="en-US" sz="900"/>
              <a:t>TWh/y</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85725</xdr:colOff>
      <xdr:row>4</xdr:row>
      <xdr:rowOff>38100</xdr:rowOff>
    </xdr:from>
    <xdr:to>
      <xdr:col>32</xdr:col>
      <xdr:colOff>537210</xdr:colOff>
      <xdr:row>19</xdr:row>
      <xdr:rowOff>95250</xdr:rowOff>
    </xdr:to>
    <xdr:grpSp>
      <xdr:nvGrpSpPr>
        <xdr:cNvPr id="2" name="Group 1">
          <a:extLst>
            <a:ext uri="{FF2B5EF4-FFF2-40B4-BE49-F238E27FC236}">
              <a16:creationId xmlns:a16="http://schemas.microsoft.com/office/drawing/2014/main" id="{168C5D30-5398-49D2-A393-19175F6D6533}"/>
            </a:ext>
          </a:extLst>
        </xdr:cNvPr>
        <xdr:cNvGrpSpPr/>
      </xdr:nvGrpSpPr>
      <xdr:grpSpPr>
        <a:xfrm>
          <a:off x="12973050" y="800100"/>
          <a:ext cx="6547485" cy="2914650"/>
          <a:chOff x="-612761" y="27343867"/>
          <a:chExt cx="6685901" cy="2880000"/>
        </a:xfrm>
      </xdr:grpSpPr>
      <xdr:graphicFrame macro="">
        <xdr:nvGraphicFramePr>
          <xdr:cNvPr id="3" name="Chart 2">
            <a:extLst>
              <a:ext uri="{FF2B5EF4-FFF2-40B4-BE49-F238E27FC236}">
                <a16:creationId xmlns:a16="http://schemas.microsoft.com/office/drawing/2014/main" id="{C0BF3B8C-5310-7F63-E19F-CC883E836F9A}"/>
              </a:ext>
            </a:extLst>
          </xdr:cNvPr>
          <xdr:cNvGraphicFramePr/>
        </xdr:nvGraphicFramePr>
        <xdr:xfrm>
          <a:off x="-612761" y="27343867"/>
          <a:ext cx="5760000" cy="2880000"/>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2731329E-166F-0E80-953F-565F69C2EE34}"/>
              </a:ext>
            </a:extLst>
          </xdr:cNvPr>
          <xdr:cNvGrpSpPr/>
        </xdr:nvGrpSpPr>
        <xdr:grpSpPr>
          <a:xfrm>
            <a:off x="4296479" y="28185802"/>
            <a:ext cx="1005556" cy="1501720"/>
            <a:chOff x="4336985" y="28812266"/>
            <a:chExt cx="1006358" cy="1515145"/>
          </a:xfrm>
        </xdr:grpSpPr>
        <xdr:sp macro="" textlink="">
          <xdr:nvSpPr>
            <xdr:cNvPr id="6" name="TextBox 5">
              <a:extLst>
                <a:ext uri="{FF2B5EF4-FFF2-40B4-BE49-F238E27FC236}">
                  <a16:creationId xmlns:a16="http://schemas.microsoft.com/office/drawing/2014/main" id="{83AF4977-8D5E-3BE7-114C-6BA2DDB62035}"/>
                </a:ext>
              </a:extLst>
            </xdr:cNvPr>
            <xdr:cNvSpPr txBox="1"/>
          </xdr:nvSpPr>
          <xdr:spPr>
            <a:xfrm>
              <a:off x="4336985" y="28883410"/>
              <a:ext cx="548379" cy="97352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r>
                <a:rPr lang="en-US" sz="900"/>
                <a:t>Households</a:t>
              </a:r>
            </a:p>
            <a:p>
              <a:pPr algn="r"/>
              <a:r>
                <a:rPr lang="en-US" sz="900"/>
                <a:t>Buildings</a:t>
              </a:r>
            </a:p>
            <a:p>
              <a:pPr algn="r"/>
              <a:r>
                <a:rPr lang="en-US" sz="900"/>
                <a:t>Industry</a:t>
              </a:r>
            </a:p>
            <a:p>
              <a:pPr algn="r"/>
              <a:r>
                <a:rPr lang="en-US" sz="900"/>
                <a:t>Transport</a:t>
              </a:r>
            </a:p>
            <a:p>
              <a:pPr algn="r"/>
              <a:r>
                <a:rPr lang="en-US" sz="900"/>
                <a:t>Agriculture</a:t>
              </a:r>
            </a:p>
            <a:p>
              <a:pPr algn="r"/>
              <a:r>
                <a:rPr lang="en-US" sz="900"/>
                <a:t>Other</a:t>
              </a:r>
            </a:p>
            <a:p>
              <a:pPr algn="r"/>
              <a:r>
                <a:rPr lang="en-US" sz="900"/>
                <a:t>Energy</a:t>
              </a:r>
            </a:p>
          </xdr:txBody>
        </xdr:sp>
        <xdr:sp macro="" textlink="">
          <xdr:nvSpPr>
            <xdr:cNvPr id="7" name="TextBox 6">
              <a:extLst>
                <a:ext uri="{FF2B5EF4-FFF2-40B4-BE49-F238E27FC236}">
                  <a16:creationId xmlns:a16="http://schemas.microsoft.com/office/drawing/2014/main" id="{A788A04F-2E45-A1CA-EF09-A1B4585ABAB0}"/>
                </a:ext>
              </a:extLst>
            </xdr:cNvPr>
            <xdr:cNvSpPr txBox="1"/>
          </xdr:nvSpPr>
          <xdr:spPr>
            <a:xfrm>
              <a:off x="4910988" y="29832702"/>
              <a:ext cx="431186" cy="49470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vert="vert270" wrap="none" lIns="0" tIns="0" rIns="0" bIns="0" rtlCol="0" anchor="t">
              <a:noAutofit/>
            </a:bodyPr>
            <a:lstStyle/>
            <a:p>
              <a:r>
                <a:rPr lang="en-US" sz="900"/>
                <a:t>2019</a:t>
              </a:r>
            </a:p>
            <a:p>
              <a:r>
                <a:rPr lang="en-US" sz="900"/>
                <a:t>+2035</a:t>
              </a:r>
            </a:p>
            <a:p>
              <a:r>
                <a:rPr lang="en-US" sz="900"/>
                <a:t>+2035+H2</a:t>
              </a:r>
            </a:p>
          </xdr:txBody>
        </xdr:sp>
        <xdr:grpSp>
          <xdr:nvGrpSpPr>
            <xdr:cNvPr id="8" name="Group 7">
              <a:extLst>
                <a:ext uri="{FF2B5EF4-FFF2-40B4-BE49-F238E27FC236}">
                  <a16:creationId xmlns:a16="http://schemas.microsoft.com/office/drawing/2014/main" id="{2BFBE718-324F-533F-488E-0871599D60D9}"/>
                </a:ext>
              </a:extLst>
            </xdr:cNvPr>
            <xdr:cNvGrpSpPr/>
          </xdr:nvGrpSpPr>
          <xdr:grpSpPr>
            <a:xfrm>
              <a:off x="4903459" y="28812266"/>
              <a:ext cx="439884" cy="1017334"/>
              <a:chOff x="4903459" y="28812266"/>
              <a:chExt cx="439884" cy="1017334"/>
            </a:xfrm>
          </xdr:grpSpPr>
          <xdr:sp macro="" textlink="">
            <xdr:nvSpPr>
              <xdr:cNvPr id="9" name="Rectangle 8">
                <a:extLst>
                  <a:ext uri="{FF2B5EF4-FFF2-40B4-BE49-F238E27FC236}">
                    <a16:creationId xmlns:a16="http://schemas.microsoft.com/office/drawing/2014/main" id="{B6B32D9B-10C2-3FF8-09AF-10B465687FF6}"/>
                  </a:ext>
                </a:extLst>
              </xdr:cNvPr>
              <xdr:cNvSpPr/>
            </xdr:nvSpPr>
            <xdr:spPr>
              <a:xfrm>
                <a:off x="4905103" y="29103852"/>
                <a:ext cx="145199" cy="145074"/>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56D6AA64-23A8-C152-0D80-359D2796FED0}"/>
                  </a:ext>
                </a:extLst>
              </xdr:cNvPr>
              <xdr:cNvSpPr/>
            </xdr:nvSpPr>
            <xdr:spPr>
              <a:xfrm>
                <a:off x="5050555" y="29102770"/>
                <a:ext cx="146027" cy="145074"/>
              </a:xfrm>
              <a:prstGeom prst="rect">
                <a:avLst/>
              </a:prstGeom>
              <a:pattFill prst="lgCheck">
                <a:fgClr>
                  <a:srgbClr val="FF00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9864DA5-3653-A333-1B37-48B8698BAF61}"/>
                  </a:ext>
                </a:extLst>
              </xdr:cNvPr>
              <xdr:cNvSpPr/>
            </xdr:nvSpPr>
            <xdr:spPr>
              <a:xfrm>
                <a:off x="5195824" y="29099524"/>
                <a:ext cx="143039" cy="145074"/>
              </a:xfrm>
              <a:prstGeom prst="rect">
                <a:avLst/>
              </a:prstGeom>
              <a:pattFill prst="smCheck">
                <a:fgClr>
                  <a:srgbClr val="FF00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7CF0E8C0-E459-8002-9D28-EF5D8A8757AB}"/>
                  </a:ext>
                </a:extLst>
              </xdr:cNvPr>
              <xdr:cNvSpPr/>
            </xdr:nvSpPr>
            <xdr:spPr>
              <a:xfrm>
                <a:off x="4903930" y="29249148"/>
                <a:ext cx="145199" cy="142300"/>
              </a:xfrm>
              <a:prstGeom prst="rect">
                <a:avLst/>
              </a:prstGeom>
              <a:solidFill>
                <a:srgbClr val="FF9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832299C8-8019-A82E-1C78-FC3FB182FEFB}"/>
                  </a:ext>
                </a:extLst>
              </xdr:cNvPr>
              <xdr:cNvSpPr/>
            </xdr:nvSpPr>
            <xdr:spPr>
              <a:xfrm>
                <a:off x="5049106" y="29248818"/>
                <a:ext cx="146027" cy="142300"/>
              </a:xfrm>
              <a:prstGeom prst="rect">
                <a:avLst/>
              </a:prstGeom>
              <a:pattFill prst="lgCheck">
                <a:fgClr>
                  <a:srgbClr val="FF99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BFEA2C36-79AE-5BAA-3092-5137E5980822}"/>
                  </a:ext>
                </a:extLst>
              </xdr:cNvPr>
              <xdr:cNvSpPr/>
            </xdr:nvSpPr>
            <xdr:spPr>
              <a:xfrm>
                <a:off x="5195969" y="29245571"/>
                <a:ext cx="143039" cy="142300"/>
              </a:xfrm>
              <a:prstGeom prst="rect">
                <a:avLst/>
              </a:prstGeom>
              <a:pattFill prst="smCheck">
                <a:fgClr>
                  <a:srgbClr val="FF99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F5F90E0-1472-3447-479A-E10A4A2C0D8B}"/>
                  </a:ext>
                </a:extLst>
              </xdr:cNvPr>
              <xdr:cNvSpPr/>
            </xdr:nvSpPr>
            <xdr:spPr>
              <a:xfrm>
                <a:off x="4903459" y="28959198"/>
                <a:ext cx="145199" cy="146133"/>
              </a:xfrm>
              <a:prstGeom prst="rect">
                <a:avLst/>
              </a:prstGeom>
              <a:solidFill>
                <a:srgbClr val="6633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a:extLst>
                  <a:ext uri="{FF2B5EF4-FFF2-40B4-BE49-F238E27FC236}">
                    <a16:creationId xmlns:a16="http://schemas.microsoft.com/office/drawing/2014/main" id="{7B7A1538-44B1-D8AF-0827-10F5EC996808}"/>
                  </a:ext>
                </a:extLst>
              </xdr:cNvPr>
              <xdr:cNvSpPr/>
            </xdr:nvSpPr>
            <xdr:spPr>
              <a:xfrm>
                <a:off x="5050351" y="28955858"/>
                <a:ext cx="146027" cy="146133"/>
              </a:xfrm>
              <a:prstGeom prst="rect">
                <a:avLst/>
              </a:prstGeom>
              <a:pattFill prst="lgCheck">
                <a:fgClr>
                  <a:srgbClr val="6633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B8FB33EB-37AA-E7C2-3B88-50826FFACA9B}"/>
                  </a:ext>
                </a:extLst>
              </xdr:cNvPr>
              <xdr:cNvSpPr/>
            </xdr:nvSpPr>
            <xdr:spPr>
              <a:xfrm>
                <a:off x="5195618" y="28955182"/>
                <a:ext cx="143039" cy="146133"/>
              </a:xfrm>
              <a:prstGeom prst="rect">
                <a:avLst/>
              </a:prstGeom>
              <a:pattFill prst="smCheck">
                <a:fgClr>
                  <a:srgbClr val="66330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6CEE4064-F0F0-F2D7-B1C1-5F93130EE2F0}"/>
                  </a:ext>
                </a:extLst>
              </xdr:cNvPr>
              <xdr:cNvSpPr/>
            </xdr:nvSpPr>
            <xdr:spPr>
              <a:xfrm>
                <a:off x="4904793" y="28815612"/>
                <a:ext cx="145199" cy="145076"/>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D306585B-138C-4E13-2BB7-EA8D05E6F26A}"/>
                  </a:ext>
                </a:extLst>
              </xdr:cNvPr>
              <xdr:cNvSpPr/>
            </xdr:nvSpPr>
            <xdr:spPr>
              <a:xfrm>
                <a:off x="5050161" y="28812573"/>
                <a:ext cx="146027" cy="145076"/>
              </a:xfrm>
              <a:prstGeom prst="rect">
                <a:avLst/>
              </a:prstGeom>
              <a:pattFill prst="lgCheck">
                <a:fgClr>
                  <a:schemeClr val="tx1"/>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6183754A-01D1-B25C-2F47-2183D48D07E7}"/>
                  </a:ext>
                </a:extLst>
              </xdr:cNvPr>
              <xdr:cNvSpPr/>
            </xdr:nvSpPr>
            <xdr:spPr>
              <a:xfrm>
                <a:off x="4904495" y="29391291"/>
                <a:ext cx="145199" cy="145075"/>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3127F55C-7A69-4AE9-D61C-DAF1446A291F}"/>
                  </a:ext>
                </a:extLst>
              </xdr:cNvPr>
              <xdr:cNvSpPr/>
            </xdr:nvSpPr>
            <xdr:spPr>
              <a:xfrm>
                <a:off x="5048820" y="29390962"/>
                <a:ext cx="146027" cy="145075"/>
              </a:xfrm>
              <a:prstGeom prst="rect">
                <a:avLst/>
              </a:prstGeom>
              <a:pattFill prst="lgCheck">
                <a:fgClr>
                  <a:srgbClr val="00206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a:extLst>
                  <a:ext uri="{FF2B5EF4-FFF2-40B4-BE49-F238E27FC236}">
                    <a16:creationId xmlns:a16="http://schemas.microsoft.com/office/drawing/2014/main" id="{0572CFF5-CACD-B0D6-26B6-A56E23B1CC3F}"/>
                  </a:ext>
                </a:extLst>
              </xdr:cNvPr>
              <xdr:cNvSpPr/>
            </xdr:nvSpPr>
            <xdr:spPr>
              <a:xfrm>
                <a:off x="5196655" y="29390286"/>
                <a:ext cx="143039" cy="145075"/>
              </a:xfrm>
              <a:prstGeom prst="rect">
                <a:avLst/>
              </a:prstGeom>
              <a:pattFill prst="smCheck">
                <a:fgClr>
                  <a:srgbClr val="00206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22">
                <a:extLst>
                  <a:ext uri="{FF2B5EF4-FFF2-40B4-BE49-F238E27FC236}">
                    <a16:creationId xmlns:a16="http://schemas.microsoft.com/office/drawing/2014/main" id="{0C3A3C21-F9B0-5D81-4EF5-73DC4129EEE1}"/>
                  </a:ext>
                </a:extLst>
              </xdr:cNvPr>
              <xdr:cNvSpPr/>
            </xdr:nvSpPr>
            <xdr:spPr>
              <a:xfrm>
                <a:off x="4904762" y="29537340"/>
                <a:ext cx="145199" cy="145074"/>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98E106B2-874B-3227-B9FA-3B8D7DCDCF09}"/>
                  </a:ext>
                </a:extLst>
              </xdr:cNvPr>
              <xdr:cNvSpPr/>
            </xdr:nvSpPr>
            <xdr:spPr>
              <a:xfrm>
                <a:off x="5049938" y="29539581"/>
                <a:ext cx="146027" cy="145074"/>
              </a:xfrm>
              <a:prstGeom prst="rect">
                <a:avLst/>
              </a:prstGeom>
              <a:pattFill prst="lgCheck">
                <a:fgClr>
                  <a:srgbClr val="0070C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D4E0510A-BDD0-ED89-D85D-A0F2A1118489}"/>
                  </a:ext>
                </a:extLst>
              </xdr:cNvPr>
              <xdr:cNvSpPr/>
            </xdr:nvSpPr>
            <xdr:spPr>
              <a:xfrm>
                <a:off x="5196800" y="29533763"/>
                <a:ext cx="143039" cy="145074"/>
              </a:xfrm>
              <a:prstGeom prst="rect">
                <a:avLst/>
              </a:prstGeom>
              <a:pattFill prst="smCheck">
                <a:fgClr>
                  <a:srgbClr val="0070C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01B81FA3-1E24-B581-CD29-4A51A4CCDCB3}"/>
                  </a:ext>
                </a:extLst>
              </xdr:cNvPr>
              <xdr:cNvSpPr/>
            </xdr:nvSpPr>
            <xdr:spPr>
              <a:xfrm>
                <a:off x="4905161" y="29683468"/>
                <a:ext cx="145199" cy="146132"/>
              </a:xfrm>
              <a:prstGeom prst="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E9E4316E-97F9-1013-5682-6BDDAD7ED730}"/>
                  </a:ext>
                </a:extLst>
              </xdr:cNvPr>
              <xdr:cNvSpPr/>
            </xdr:nvSpPr>
            <xdr:spPr>
              <a:xfrm>
                <a:off x="5050336" y="29683137"/>
                <a:ext cx="146027" cy="146132"/>
              </a:xfrm>
              <a:prstGeom prst="rect">
                <a:avLst/>
              </a:prstGeom>
              <a:pattFill prst="lgCheck">
                <a:fgClr>
                  <a:srgbClr val="00B0F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5FDA6D9E-D9BC-80B6-6714-E22E442020D4}"/>
                  </a:ext>
                </a:extLst>
              </xdr:cNvPr>
              <xdr:cNvSpPr/>
            </xdr:nvSpPr>
            <xdr:spPr>
              <a:xfrm>
                <a:off x="5197199" y="29679890"/>
                <a:ext cx="143039" cy="146132"/>
              </a:xfrm>
              <a:prstGeom prst="rect">
                <a:avLst/>
              </a:prstGeom>
              <a:pattFill prst="smCheck">
                <a:fgClr>
                  <a:srgbClr val="00B0F0"/>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28">
                <a:extLst>
                  <a:ext uri="{FF2B5EF4-FFF2-40B4-BE49-F238E27FC236}">
                    <a16:creationId xmlns:a16="http://schemas.microsoft.com/office/drawing/2014/main" id="{CCFC9689-481D-BB6F-F4EB-3BCC04580016}"/>
                  </a:ext>
                </a:extLst>
              </xdr:cNvPr>
              <xdr:cNvSpPr/>
            </xdr:nvSpPr>
            <xdr:spPr>
              <a:xfrm>
                <a:off x="5197316" y="28812266"/>
                <a:ext cx="146027" cy="145076"/>
              </a:xfrm>
              <a:prstGeom prst="rect">
                <a:avLst/>
              </a:prstGeom>
              <a:pattFill prst="smCheck">
                <a:fgClr>
                  <a:schemeClr val="tx1"/>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5" name="TextBox 4">
            <a:extLst>
              <a:ext uri="{FF2B5EF4-FFF2-40B4-BE49-F238E27FC236}">
                <a16:creationId xmlns:a16="http://schemas.microsoft.com/office/drawing/2014/main" id="{9D92A2E5-5B9F-5724-4AF1-4BE8DA52C899}"/>
              </a:ext>
            </a:extLst>
          </xdr:cNvPr>
          <xdr:cNvSpPr txBox="1"/>
        </xdr:nvSpPr>
        <xdr:spPr>
          <a:xfrm>
            <a:off x="5722620" y="29824681"/>
            <a:ext cx="350520" cy="14477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l"/>
            <a:r>
              <a:rPr lang="en-US" sz="900"/>
              <a:t>TWh/y</a:t>
            </a:r>
          </a:p>
        </xdr:txBody>
      </xdr:sp>
    </xdr:grpSp>
    <xdr:clientData/>
  </xdr:twoCellAnchor>
  <xdr:twoCellAnchor>
    <xdr:from>
      <xdr:col>22</xdr:col>
      <xdr:colOff>103143</xdr:colOff>
      <xdr:row>55</xdr:row>
      <xdr:rowOff>93980</xdr:rowOff>
    </xdr:from>
    <xdr:to>
      <xdr:col>31</xdr:col>
      <xdr:colOff>13779</xdr:colOff>
      <xdr:row>77</xdr:row>
      <xdr:rowOff>179326</xdr:rowOff>
    </xdr:to>
    <xdr:grpSp>
      <xdr:nvGrpSpPr>
        <xdr:cNvPr id="60" name="Group 59">
          <a:extLst>
            <a:ext uri="{FF2B5EF4-FFF2-40B4-BE49-F238E27FC236}">
              <a16:creationId xmlns:a16="http://schemas.microsoft.com/office/drawing/2014/main" id="{E509DB91-4271-D388-79C6-899B08617BEA}"/>
            </a:ext>
          </a:extLst>
        </xdr:cNvPr>
        <xdr:cNvGrpSpPr/>
      </xdr:nvGrpSpPr>
      <xdr:grpSpPr>
        <a:xfrm>
          <a:off x="12990468" y="10571480"/>
          <a:ext cx="5397036" cy="4276346"/>
          <a:chOff x="9313789" y="10664825"/>
          <a:chExt cx="5400225" cy="4268726"/>
        </a:xfrm>
      </xdr:grpSpPr>
      <xdr:graphicFrame macro="">
        <xdr:nvGraphicFramePr>
          <xdr:cNvPr id="52" name="Chart 51">
            <a:extLst>
              <a:ext uri="{FF2B5EF4-FFF2-40B4-BE49-F238E27FC236}">
                <a16:creationId xmlns:a16="http://schemas.microsoft.com/office/drawing/2014/main" id="{8A44F445-DAF8-A9A4-679D-D49DBBFAE49B}"/>
              </a:ext>
            </a:extLst>
          </xdr:cNvPr>
          <xdr:cNvGraphicFramePr/>
        </xdr:nvGraphicFramePr>
        <xdr:xfrm>
          <a:off x="9313789" y="10670701"/>
          <a:ext cx="1656000" cy="42628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3" name="Chart 52">
            <a:extLst>
              <a:ext uri="{FF2B5EF4-FFF2-40B4-BE49-F238E27FC236}">
                <a16:creationId xmlns:a16="http://schemas.microsoft.com/office/drawing/2014/main" id="{B75A54BA-5087-4125-A48E-1D535E5DA0C9}"/>
              </a:ext>
            </a:extLst>
          </xdr:cNvPr>
          <xdr:cNvGraphicFramePr>
            <a:graphicFrameLocks/>
          </xdr:cNvGraphicFramePr>
        </xdr:nvGraphicFramePr>
        <xdr:xfrm>
          <a:off x="12588875" y="10664825"/>
          <a:ext cx="1656000" cy="42660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4" name="Chart 53">
            <a:extLst>
              <a:ext uri="{FF2B5EF4-FFF2-40B4-BE49-F238E27FC236}">
                <a16:creationId xmlns:a16="http://schemas.microsoft.com/office/drawing/2014/main" id="{195B2221-F298-4740-96FA-C9DAAC658DC3}"/>
              </a:ext>
            </a:extLst>
          </xdr:cNvPr>
          <xdr:cNvGraphicFramePr>
            <a:graphicFrameLocks/>
          </xdr:cNvGraphicFramePr>
        </xdr:nvGraphicFramePr>
        <xdr:xfrm>
          <a:off x="10960100" y="10664826"/>
          <a:ext cx="1656000" cy="4266025"/>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59" name="Group 58">
            <a:extLst>
              <a:ext uri="{FF2B5EF4-FFF2-40B4-BE49-F238E27FC236}">
                <a16:creationId xmlns:a16="http://schemas.microsoft.com/office/drawing/2014/main" id="{ED497B70-1E95-CF34-3859-AF62627EE246}"/>
              </a:ext>
            </a:extLst>
          </xdr:cNvPr>
          <xdr:cNvGrpSpPr/>
        </xdr:nvGrpSpPr>
        <xdr:grpSpPr>
          <a:xfrm>
            <a:off x="14344651" y="11762672"/>
            <a:ext cx="369363" cy="3036001"/>
            <a:chOff x="14106502" y="11759208"/>
            <a:chExt cx="366295" cy="3039467"/>
          </a:xfrm>
        </xdr:grpSpPr>
        <xdr:sp macro="" textlink="">
          <xdr:nvSpPr>
            <xdr:cNvPr id="55" name="Rectangle 54">
              <a:extLst>
                <a:ext uri="{FF2B5EF4-FFF2-40B4-BE49-F238E27FC236}">
                  <a16:creationId xmlns:a16="http://schemas.microsoft.com/office/drawing/2014/main" id="{6BF7735F-2B42-1E2A-BC02-FCE8E17FD4E0}"/>
                </a:ext>
              </a:extLst>
            </xdr:cNvPr>
            <xdr:cNvSpPr/>
          </xdr:nvSpPr>
          <xdr:spPr>
            <a:xfrm rot="16200000">
              <a:off x="13824797" y="14150676"/>
              <a:ext cx="932825" cy="363174"/>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Current</a:t>
              </a:r>
            </a:p>
          </xdr:txBody>
        </xdr:sp>
        <xdr:sp macro="" textlink="">
          <xdr:nvSpPr>
            <xdr:cNvPr id="57" name="Rectangle 56">
              <a:extLst>
                <a:ext uri="{FF2B5EF4-FFF2-40B4-BE49-F238E27FC236}">
                  <a16:creationId xmlns:a16="http://schemas.microsoft.com/office/drawing/2014/main" id="{23BCAC3F-F629-4679-81AD-A7BA7B8EBC90}"/>
                </a:ext>
              </a:extLst>
            </xdr:cNvPr>
            <xdr:cNvSpPr/>
          </xdr:nvSpPr>
          <xdr:spPr>
            <a:xfrm rot="16200000">
              <a:off x="13821677" y="13223575"/>
              <a:ext cx="932825" cy="363175"/>
            </a:xfrm>
            <a:prstGeom prst="rect">
              <a:avLst/>
            </a:prstGeom>
            <a:pattFill prst="lgCheck">
              <a:fgClr>
                <a:schemeClr val="bg1">
                  <a:lumMod val="75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+2035</a:t>
              </a:r>
            </a:p>
          </xdr:txBody>
        </xdr:sp>
        <xdr:sp macro="" textlink="">
          <xdr:nvSpPr>
            <xdr:cNvPr id="58" name="Rectangle 57">
              <a:extLst>
                <a:ext uri="{FF2B5EF4-FFF2-40B4-BE49-F238E27FC236}">
                  <a16:creationId xmlns:a16="http://schemas.microsoft.com/office/drawing/2014/main" id="{4D4F2310-836F-4180-8B2B-ED8610EA65F9}"/>
                </a:ext>
              </a:extLst>
            </xdr:cNvPr>
            <xdr:cNvSpPr/>
          </xdr:nvSpPr>
          <xdr:spPr>
            <a:xfrm rot="16200000">
              <a:off x="13694317" y="12171483"/>
              <a:ext cx="1187724" cy="363174"/>
            </a:xfrm>
            <a:prstGeom prst="rect">
              <a:avLst/>
            </a:prstGeom>
            <a:pattFill prst="smCheck">
              <a:fgClr>
                <a:schemeClr val="bg1">
                  <a:lumMod val="75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+2035 for H2</a:t>
              </a:r>
            </a:p>
          </xdr:txBody>
        </xdr:sp>
      </xdr:grpSp>
    </xdr:grpSp>
    <xdr:clientData/>
  </xdr:twoCellAnchor>
  <xdr:twoCellAnchor>
    <xdr:from>
      <xdr:col>22</xdr:col>
      <xdr:colOff>0</xdr:colOff>
      <xdr:row>35</xdr:row>
      <xdr:rowOff>166688</xdr:rowOff>
    </xdr:from>
    <xdr:to>
      <xdr:col>31</xdr:col>
      <xdr:colOff>213910</xdr:colOff>
      <xdr:row>52</xdr:row>
      <xdr:rowOff>151665</xdr:rowOff>
    </xdr:to>
    <xdr:grpSp>
      <xdr:nvGrpSpPr>
        <xdr:cNvPr id="125" name="Group 124">
          <a:extLst>
            <a:ext uri="{FF2B5EF4-FFF2-40B4-BE49-F238E27FC236}">
              <a16:creationId xmlns:a16="http://schemas.microsoft.com/office/drawing/2014/main" id="{EDFDD810-3B83-4708-8BB7-9DB0164F7417}"/>
            </a:ext>
          </a:extLst>
        </xdr:cNvPr>
        <xdr:cNvGrpSpPr/>
      </xdr:nvGrpSpPr>
      <xdr:grpSpPr>
        <a:xfrm>
          <a:off x="12887325" y="6834188"/>
          <a:ext cx="5700310" cy="3223477"/>
          <a:chOff x="14653259" y="5084757"/>
          <a:chExt cx="5519335" cy="2880577"/>
        </a:xfrm>
      </xdr:grpSpPr>
      <xdr:graphicFrame macro="">
        <xdr:nvGraphicFramePr>
          <xdr:cNvPr id="126" name="Chart 125">
            <a:extLst>
              <a:ext uri="{FF2B5EF4-FFF2-40B4-BE49-F238E27FC236}">
                <a16:creationId xmlns:a16="http://schemas.microsoft.com/office/drawing/2014/main" id="{0A90F4A8-6772-D0FF-BADB-2C4AC5B71092}"/>
              </a:ext>
            </a:extLst>
          </xdr:cNvPr>
          <xdr:cNvGraphicFramePr/>
        </xdr:nvGraphicFramePr>
        <xdr:xfrm>
          <a:off x="14653259" y="5084757"/>
          <a:ext cx="5519335" cy="2880577"/>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27" name="TextBox 126">
            <a:extLst>
              <a:ext uri="{FF2B5EF4-FFF2-40B4-BE49-F238E27FC236}">
                <a16:creationId xmlns:a16="http://schemas.microsoft.com/office/drawing/2014/main" id="{7BD7FC96-87AD-3139-0453-A3D1249EBCB6}"/>
              </a:ext>
            </a:extLst>
          </xdr:cNvPr>
          <xdr:cNvSpPr txBox="1"/>
        </xdr:nvSpPr>
        <xdr:spPr>
          <a:xfrm>
            <a:off x="19661355" y="7668616"/>
            <a:ext cx="381525" cy="24411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GW</a:t>
            </a:r>
          </a:p>
        </xdr:txBody>
      </xdr:sp>
      <xdr:grpSp>
        <xdr:nvGrpSpPr>
          <xdr:cNvPr id="14336" name="Group 14335">
            <a:extLst>
              <a:ext uri="{FF2B5EF4-FFF2-40B4-BE49-F238E27FC236}">
                <a16:creationId xmlns:a16="http://schemas.microsoft.com/office/drawing/2014/main" id="{6FA8BEB2-B48B-8CF8-A803-ED73A85978F7}"/>
              </a:ext>
            </a:extLst>
          </xdr:cNvPr>
          <xdr:cNvGrpSpPr/>
        </xdr:nvGrpSpPr>
        <xdr:grpSpPr>
          <a:xfrm>
            <a:off x="17856826" y="6344592"/>
            <a:ext cx="1907099" cy="1124694"/>
            <a:chOff x="16926582" y="8566261"/>
            <a:chExt cx="1986393" cy="1165340"/>
          </a:xfrm>
        </xdr:grpSpPr>
        <xdr:sp macro="" textlink="">
          <xdr:nvSpPr>
            <xdr:cNvPr id="14338" name="TextBox 14337">
              <a:extLst>
                <a:ext uri="{FF2B5EF4-FFF2-40B4-BE49-F238E27FC236}">
                  <a16:creationId xmlns:a16="http://schemas.microsoft.com/office/drawing/2014/main" id="{A6A960BD-C241-D2BD-A5B8-2DB999A84116}"/>
                </a:ext>
              </a:extLst>
            </xdr:cNvPr>
            <xdr:cNvSpPr txBox="1"/>
          </xdr:nvSpPr>
          <xdr:spPr>
            <a:xfrm>
              <a:off x="16926582" y="8566261"/>
              <a:ext cx="1287658" cy="83819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US" sz="1100"/>
                <a:t>Pumped hydro</a:t>
              </a:r>
            </a:p>
            <a:p>
              <a:pPr algn="r"/>
              <a:r>
                <a:rPr lang="en-US" sz="1100"/>
                <a:t>Demand response</a:t>
              </a:r>
            </a:p>
            <a:p>
              <a:pPr algn="r"/>
              <a:r>
                <a:rPr lang="en-US" sz="1100"/>
                <a:t>Batteries</a:t>
              </a:r>
            </a:p>
            <a:p>
              <a:pPr algn="r"/>
              <a:r>
                <a:rPr lang="en-US" sz="1100"/>
                <a:t>Gas</a:t>
              </a:r>
            </a:p>
          </xdr:txBody>
        </xdr:sp>
        <xdr:sp macro="" textlink="">
          <xdr:nvSpPr>
            <xdr:cNvPr id="14344" name="TextBox 14343">
              <a:extLst>
                <a:ext uri="{FF2B5EF4-FFF2-40B4-BE49-F238E27FC236}">
                  <a16:creationId xmlns:a16="http://schemas.microsoft.com/office/drawing/2014/main" id="{73F3CBF1-FBDB-ACB6-318D-A7FC78C5E584}"/>
                </a:ext>
              </a:extLst>
            </xdr:cNvPr>
            <xdr:cNvSpPr txBox="1"/>
          </xdr:nvSpPr>
          <xdr:spPr>
            <a:xfrm>
              <a:off x="18161286" y="9353292"/>
              <a:ext cx="751689" cy="37830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vert="vert270" wrap="none" rtlCol="0" anchor="t">
              <a:noAutofit/>
            </a:bodyPr>
            <a:lstStyle/>
            <a:p>
              <a:r>
                <a:rPr lang="en-US" sz="1100"/>
                <a:t>2030</a:t>
              </a:r>
            </a:p>
            <a:p>
              <a:r>
                <a:rPr lang="en-US" sz="1100"/>
                <a:t>2040</a:t>
              </a:r>
            </a:p>
            <a:p>
              <a:r>
                <a:rPr lang="en-US" sz="1100"/>
                <a:t>2050</a:t>
              </a:r>
            </a:p>
          </xdr:txBody>
        </xdr:sp>
        <xdr:grpSp>
          <xdr:nvGrpSpPr>
            <xdr:cNvPr id="14345" name="Group 14344">
              <a:extLst>
                <a:ext uri="{FF2B5EF4-FFF2-40B4-BE49-F238E27FC236}">
                  <a16:creationId xmlns:a16="http://schemas.microsoft.com/office/drawing/2014/main" id="{0392D130-9701-9AE2-FBA1-7FC9A088A1F7}"/>
                </a:ext>
              </a:extLst>
            </xdr:cNvPr>
            <xdr:cNvGrpSpPr/>
          </xdr:nvGrpSpPr>
          <xdr:grpSpPr>
            <a:xfrm>
              <a:off x="18252360" y="8633161"/>
              <a:ext cx="520048" cy="689061"/>
              <a:chOff x="18252360" y="8633161"/>
              <a:chExt cx="520048" cy="689061"/>
            </a:xfrm>
          </xdr:grpSpPr>
          <xdr:sp macro="" textlink="">
            <xdr:nvSpPr>
              <xdr:cNvPr id="14346" name="Rectangle 14345">
                <a:extLst>
                  <a:ext uri="{FF2B5EF4-FFF2-40B4-BE49-F238E27FC236}">
                    <a16:creationId xmlns:a16="http://schemas.microsoft.com/office/drawing/2014/main" id="{465A268F-FDED-2CAD-8E91-1F8D52EAC066}"/>
                  </a:ext>
                </a:extLst>
              </xdr:cNvPr>
              <xdr:cNvSpPr/>
            </xdr:nvSpPr>
            <xdr:spPr>
              <a:xfrm>
                <a:off x="18257615" y="8998396"/>
                <a:ext cx="143144" cy="144000"/>
              </a:xfrm>
              <a:prstGeom prst="rect">
                <a:avLst/>
              </a:prstGeom>
              <a:solidFill>
                <a:srgbClr val="A8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47" name="Rectangle 14346">
                <a:extLst>
                  <a:ext uri="{FF2B5EF4-FFF2-40B4-BE49-F238E27FC236}">
                    <a16:creationId xmlns:a16="http://schemas.microsoft.com/office/drawing/2014/main" id="{6E3ED72E-D8ED-C7C5-F97D-521525DA15FC}"/>
                  </a:ext>
                </a:extLst>
              </xdr:cNvPr>
              <xdr:cNvSpPr/>
            </xdr:nvSpPr>
            <xdr:spPr>
              <a:xfrm>
                <a:off x="18443113" y="9000707"/>
                <a:ext cx="145553" cy="144000"/>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48" name="Rectangle 14347">
                <a:extLst>
                  <a:ext uri="{FF2B5EF4-FFF2-40B4-BE49-F238E27FC236}">
                    <a16:creationId xmlns:a16="http://schemas.microsoft.com/office/drawing/2014/main" id="{FC113691-829F-A636-873F-FA6A087B1455}"/>
                  </a:ext>
                </a:extLst>
              </xdr:cNvPr>
              <xdr:cNvSpPr/>
            </xdr:nvSpPr>
            <xdr:spPr>
              <a:xfrm>
                <a:off x="18620769" y="8997359"/>
                <a:ext cx="145553" cy="144000"/>
              </a:xfrm>
              <a:prstGeom prst="rect">
                <a:avLst/>
              </a:prstGeom>
              <a:solidFill>
                <a:srgbClr val="FF898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49" name="Rectangle 14348">
                <a:extLst>
                  <a:ext uri="{FF2B5EF4-FFF2-40B4-BE49-F238E27FC236}">
                    <a16:creationId xmlns:a16="http://schemas.microsoft.com/office/drawing/2014/main" id="{D5842961-D854-62B5-290B-93B8F70E3598}"/>
                  </a:ext>
                </a:extLst>
              </xdr:cNvPr>
              <xdr:cNvSpPr/>
            </xdr:nvSpPr>
            <xdr:spPr>
              <a:xfrm>
                <a:off x="18262932" y="9175911"/>
                <a:ext cx="145553" cy="144000"/>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50" name="Rectangle 14349">
                <a:extLst>
                  <a:ext uri="{FF2B5EF4-FFF2-40B4-BE49-F238E27FC236}">
                    <a16:creationId xmlns:a16="http://schemas.microsoft.com/office/drawing/2014/main" id="{4E1DD2CC-A344-C7CA-2B5B-94B6C23B49A7}"/>
                  </a:ext>
                </a:extLst>
              </xdr:cNvPr>
              <xdr:cNvSpPr/>
            </xdr:nvSpPr>
            <xdr:spPr>
              <a:xfrm>
                <a:off x="18446740" y="9178222"/>
                <a:ext cx="145553" cy="144000"/>
              </a:xfrm>
              <a:prstGeom prst="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51" name="Rectangle 14350">
                <a:extLst>
                  <a:ext uri="{FF2B5EF4-FFF2-40B4-BE49-F238E27FC236}">
                    <a16:creationId xmlns:a16="http://schemas.microsoft.com/office/drawing/2014/main" id="{9CC8AD33-075B-63B9-02CB-854A830AC671}"/>
                  </a:ext>
                </a:extLst>
              </xdr:cNvPr>
              <xdr:cNvSpPr/>
            </xdr:nvSpPr>
            <xdr:spPr>
              <a:xfrm>
                <a:off x="18628494" y="9174874"/>
                <a:ext cx="143914" cy="144000"/>
              </a:xfrm>
              <a:prstGeom prst="rect">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52" name="Rectangle 14351">
                <a:extLst>
                  <a:ext uri="{FF2B5EF4-FFF2-40B4-BE49-F238E27FC236}">
                    <a16:creationId xmlns:a16="http://schemas.microsoft.com/office/drawing/2014/main" id="{7B33348E-BD48-A8F7-D8D7-C421583C7522}"/>
                  </a:ext>
                </a:extLst>
              </xdr:cNvPr>
              <xdr:cNvSpPr/>
            </xdr:nvSpPr>
            <xdr:spPr>
              <a:xfrm>
                <a:off x="18252360" y="8815779"/>
                <a:ext cx="143144" cy="144000"/>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53" name="Rectangle 14352">
                <a:extLst>
                  <a:ext uri="{FF2B5EF4-FFF2-40B4-BE49-F238E27FC236}">
                    <a16:creationId xmlns:a16="http://schemas.microsoft.com/office/drawing/2014/main" id="{77CE7C08-DFAD-5ACF-C9B1-00198A55D976}"/>
                  </a:ext>
                </a:extLst>
              </xdr:cNvPr>
              <xdr:cNvSpPr/>
            </xdr:nvSpPr>
            <xdr:spPr>
              <a:xfrm>
                <a:off x="18437858" y="8818090"/>
                <a:ext cx="145553" cy="144000"/>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54" name="Rectangle 14353">
                <a:extLst>
                  <a:ext uri="{FF2B5EF4-FFF2-40B4-BE49-F238E27FC236}">
                    <a16:creationId xmlns:a16="http://schemas.microsoft.com/office/drawing/2014/main" id="{6EAC8A4B-7C57-C540-CA99-1917EC75838E}"/>
                  </a:ext>
                </a:extLst>
              </xdr:cNvPr>
              <xdr:cNvSpPr/>
            </xdr:nvSpPr>
            <xdr:spPr>
              <a:xfrm>
                <a:off x="18615514" y="8814742"/>
                <a:ext cx="145553" cy="144000"/>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55" name="Rectangle 14354">
                <a:extLst>
                  <a:ext uri="{FF2B5EF4-FFF2-40B4-BE49-F238E27FC236}">
                    <a16:creationId xmlns:a16="http://schemas.microsoft.com/office/drawing/2014/main" id="{DE7DFE6C-E7F2-47A9-0DF8-1ADAB975599A}"/>
                  </a:ext>
                </a:extLst>
              </xdr:cNvPr>
              <xdr:cNvSpPr/>
            </xdr:nvSpPr>
            <xdr:spPr>
              <a:xfrm>
                <a:off x="18253674" y="8633161"/>
                <a:ext cx="143144" cy="144000"/>
              </a:xfrm>
              <a:prstGeom prst="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56" name="Rectangle 14355">
                <a:extLst>
                  <a:ext uri="{FF2B5EF4-FFF2-40B4-BE49-F238E27FC236}">
                    <a16:creationId xmlns:a16="http://schemas.microsoft.com/office/drawing/2014/main" id="{AC665C40-2792-9106-1194-03CCC9A155A7}"/>
                  </a:ext>
                </a:extLst>
              </xdr:cNvPr>
              <xdr:cNvSpPr/>
            </xdr:nvSpPr>
            <xdr:spPr>
              <a:xfrm>
                <a:off x="18439172" y="8635472"/>
                <a:ext cx="145553" cy="144000"/>
              </a:xfrm>
              <a:prstGeom prst="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twoCellAnchor editAs="oneCell">
    <xdr:from>
      <xdr:col>22</xdr:col>
      <xdr:colOff>47625</xdr:colOff>
      <xdr:row>19</xdr:row>
      <xdr:rowOff>180975</xdr:rowOff>
    </xdr:from>
    <xdr:to>
      <xdr:col>32</xdr:col>
      <xdr:colOff>71755</xdr:colOff>
      <xdr:row>37</xdr:row>
      <xdr:rowOff>45085</xdr:rowOff>
    </xdr:to>
    <xdr:pic>
      <xdr:nvPicPr>
        <xdr:cNvPr id="124" name="Picture 123">
          <a:extLst>
            <a:ext uri="{FF2B5EF4-FFF2-40B4-BE49-F238E27FC236}">
              <a16:creationId xmlns:a16="http://schemas.microsoft.com/office/drawing/2014/main" id="{0E2B6342-7C2B-73DD-8B70-E362C47CC66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930188" y="3800475"/>
          <a:ext cx="6215380" cy="3293110"/>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Jasiunas Justinas" id="{6E8249B2-D156-40FE-BEF0-A30F94D33501}" userId="S::justinas.jasiunas@vtt.fi::c190a721-4a8b-4328-a850-ea6de092b8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 dT="2024-11-06T08:25:36.41" personId="{6E8249B2-D156-40FE-BEF0-A30F94D33501}" id="{B4F1AD00-CBD2-4F33-9865-BB7C7261190F}">
    <text>Ignoring this as insignificant compared to solar PV and far from the model focus of Finland</text>
  </threadedComment>
  <threadedComment ref="G14" dT="2024-11-01T15:20:52.27" personId="{6E8249B2-D156-40FE-BEF0-A30F94D33501}" id="{CA7EC719-834A-4CEA-84F1-6B0D2DB6FCAB}">
    <text>Unsure if value is reasonable (i.e., small reactor), but it is taken directly from website.</text>
  </threadedComment>
  <threadedComment ref="Z19" dT="2024-11-01T15:57:31.67" personId="{6E8249B2-D156-40FE-BEF0-A30F94D33501}" id="{10660C48-E17F-4ED2-B539-21F266874B01}">
    <text>DK data aggregation is assumed in absence of TYNDP specification.</text>
  </threadedComment>
  <threadedComment ref="AA19" dT="2024-11-01T15:57:53.01" personId="{6E8249B2-D156-40FE-BEF0-A30F94D33501}" id="{D1034A28-BDAB-4746-B7DE-00A4427E4D1D}">
    <text>DK data aggregation is assumed in absence of TYNDP specification.</text>
  </threadedComment>
  <threadedComment ref="D45" dT="2024-11-04T16:01:39.63" personId="{6E8249B2-D156-40FE-BEF0-A30F94D33501}" id="{26CCDDEE-8E5E-411A-A5D5-DEE4006612D6}">
    <text>Excluding this due to insignificant size.</text>
  </threadedComment>
  <threadedComment ref="C124" dT="2025-01-28T11:19:43.87" personId="{6E8249B2-D156-40FE-BEF0-A30F94D33501}" id="{E3229781-9A84-4609-9DB9-A3CA9DA0953E}">
    <text>This is replaced to 7000 in "additional backbone inputs.xlsx"</text>
  </threadedComment>
  <threadedComment ref="O134" dT="2024-11-11T11:56:26.67" personId="{6E8249B2-D156-40FE-BEF0-A30F94D33501}" id="{ABE8F33A-7B71-44E7-8B12-82853990FE0A}">
    <text>Other capacity</text>
  </threadedComment>
  <threadedComment ref="O135" dT="2024-11-11T11:56:26.67" personId="{6E8249B2-D156-40FE-BEF0-A30F94D33501}" id="{25C0088A-FA92-4811-A203-CA18CD4525A8}">
    <text>Other capacity</text>
  </threadedComment>
  <threadedComment ref="T164" dT="2024-11-06T08:18:22.67" personId="{6E8249B2-D156-40FE-BEF0-A30F94D33501}" id="{65FF70EE-1A40-4638-92A5-1F3A6A040605}">
    <text>Re-classify "pondage" as "run of the river" to enable comparison.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2024.entsos-tyndp-scenarios.eu/"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mdpi.com/1996-1073/13/18/4918"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gitlab.vtt.fi/backbone/backbone/-/wikis/Getting-started/Example%20model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vttresearch/north_european_model/commit/cf6d6bad45f10c5d2dca7170698cefa6048e8b7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5A6B9-BAC0-4A5F-B273-69EF1366270E}">
  <dimension ref="A1:P50"/>
  <sheetViews>
    <sheetView tabSelected="1" workbookViewId="0">
      <selection activeCell="B3" sqref="B3"/>
    </sheetView>
  </sheetViews>
  <sheetFormatPr defaultRowHeight="15"/>
  <cols>
    <col min="1" max="1" width="10.42578125" style="24" customWidth="1"/>
    <col min="2" max="2" width="21.7109375" style="24" customWidth="1"/>
    <col min="3" max="16" width="9.42578125" style="24" customWidth="1"/>
    <col min="17" max="16384" width="9.140625" style="24"/>
  </cols>
  <sheetData>
    <row r="1" spans="1:16">
      <c r="A1" s="5" t="s">
        <v>550</v>
      </c>
      <c r="B1" s="3" t="s">
        <v>618</v>
      </c>
      <c r="C1" s="3"/>
      <c r="D1" s="3"/>
      <c r="E1" s="3"/>
      <c r="F1" s="3"/>
      <c r="G1" s="3"/>
      <c r="H1" s="3"/>
      <c r="I1" s="3"/>
      <c r="J1" s="3"/>
      <c r="K1" s="3"/>
      <c r="L1" s="3"/>
      <c r="M1" s="3"/>
      <c r="N1" s="3"/>
      <c r="O1" s="3"/>
      <c r="P1" s="3"/>
    </row>
    <row r="2" spans="1:16">
      <c r="A2" s="5"/>
      <c r="B2" s="3" t="s">
        <v>708</v>
      </c>
      <c r="C2" s="3"/>
      <c r="D2" s="3"/>
      <c r="E2" s="3"/>
      <c r="F2" s="3"/>
      <c r="G2" s="3"/>
      <c r="H2" s="3"/>
      <c r="I2" s="3"/>
      <c r="J2" s="3"/>
      <c r="K2" s="3"/>
      <c r="L2" s="3"/>
      <c r="M2" s="3"/>
      <c r="N2" s="3"/>
      <c r="O2" s="3"/>
      <c r="P2" s="3"/>
    </row>
    <row r="3" spans="1:16">
      <c r="A3" s="5"/>
      <c r="B3" s="17" t="s">
        <v>598</v>
      </c>
      <c r="C3" s="3"/>
      <c r="D3" s="3"/>
      <c r="E3" s="3"/>
      <c r="F3" s="3"/>
      <c r="G3" s="3"/>
      <c r="H3" s="3"/>
      <c r="I3" s="3"/>
      <c r="J3" s="3"/>
      <c r="K3" s="3"/>
      <c r="L3" s="3"/>
      <c r="M3" s="3"/>
      <c r="N3" s="3"/>
      <c r="O3" s="3"/>
      <c r="P3" s="3"/>
    </row>
    <row r="4" spans="1:16">
      <c r="A4" s="5" t="s">
        <v>552</v>
      </c>
      <c r="B4" s="3" t="s">
        <v>553</v>
      </c>
      <c r="C4" s="3"/>
      <c r="D4" s="3"/>
      <c r="E4" s="3"/>
      <c r="F4" s="3"/>
      <c r="G4" s="3"/>
      <c r="H4" s="3"/>
      <c r="I4" s="3"/>
      <c r="J4" s="3"/>
      <c r="K4" s="3"/>
      <c r="L4" s="3"/>
      <c r="M4" s="3"/>
      <c r="N4" s="3"/>
      <c r="O4" s="3"/>
      <c r="P4" s="3"/>
    </row>
    <row r="5" spans="1:16">
      <c r="A5" s="322" t="s">
        <v>551</v>
      </c>
      <c r="B5" s="324" t="s">
        <v>554</v>
      </c>
      <c r="C5" s="3"/>
      <c r="D5" s="3"/>
      <c r="E5" s="3"/>
      <c r="F5" s="3"/>
      <c r="G5" s="3"/>
      <c r="H5" s="3"/>
      <c r="I5" s="3"/>
      <c r="J5" s="3"/>
      <c r="K5" s="3"/>
      <c r="L5" s="3"/>
      <c r="M5" s="3"/>
      <c r="N5" s="3"/>
      <c r="O5" s="3"/>
      <c r="P5" s="3"/>
    </row>
    <row r="6" spans="1:16">
      <c r="A6" s="322" t="s">
        <v>707</v>
      </c>
      <c r="B6" s="323">
        <v>45695</v>
      </c>
      <c r="C6" s="3"/>
      <c r="D6" s="3"/>
      <c r="E6" s="3"/>
      <c r="F6" s="3"/>
      <c r="G6" s="3"/>
      <c r="H6" s="3"/>
      <c r="I6" s="3"/>
      <c r="J6" s="3"/>
      <c r="K6" s="3"/>
      <c r="L6" s="3"/>
      <c r="M6" s="3"/>
      <c r="N6" s="3"/>
      <c r="O6" s="3"/>
      <c r="P6" s="3"/>
    </row>
    <row r="8" spans="1:16">
      <c r="A8" s="320" t="s">
        <v>642</v>
      </c>
      <c r="B8" s="3"/>
      <c r="C8" s="3"/>
      <c r="D8" s="3"/>
      <c r="E8" s="3"/>
      <c r="F8" s="3"/>
      <c r="G8" s="3"/>
      <c r="H8" s="3"/>
      <c r="I8" s="3"/>
      <c r="J8" s="3"/>
      <c r="K8" s="3"/>
      <c r="L8" s="3"/>
      <c r="M8" s="3"/>
      <c r="N8" s="3"/>
      <c r="O8" s="3"/>
      <c r="P8" s="3"/>
    </row>
    <row r="9" spans="1:16" ht="15" customHeight="1">
      <c r="A9" s="3"/>
      <c r="B9" s="3" t="s">
        <v>556</v>
      </c>
      <c r="C9" s="17" t="s">
        <v>555</v>
      </c>
      <c r="D9" s="3"/>
      <c r="E9" s="3"/>
      <c r="F9" s="3"/>
      <c r="G9" s="3"/>
      <c r="H9" s="3"/>
      <c r="I9" s="3"/>
      <c r="J9" s="3"/>
      <c r="K9" s="3"/>
      <c r="L9" s="3"/>
      <c r="M9" s="3"/>
      <c r="N9" s="3"/>
      <c r="O9" s="3"/>
      <c r="P9" s="3"/>
    </row>
    <row r="10" spans="1:16">
      <c r="A10" s="321"/>
      <c r="B10" s="3"/>
      <c r="C10" s="17" t="s">
        <v>590</v>
      </c>
      <c r="D10" s="3"/>
      <c r="E10" s="3"/>
      <c r="F10" s="3"/>
      <c r="G10" s="3"/>
      <c r="H10" s="3"/>
      <c r="I10" s="3"/>
      <c r="J10" s="3"/>
      <c r="K10" s="3"/>
      <c r="L10" s="3"/>
      <c r="M10" s="3"/>
      <c r="N10" s="3"/>
      <c r="O10" s="3"/>
      <c r="P10" s="3"/>
    </row>
    <row r="11" spans="1:16">
      <c r="A11" s="321"/>
      <c r="B11" s="3"/>
      <c r="C11" s="17" t="s">
        <v>576</v>
      </c>
      <c r="D11" s="3"/>
      <c r="E11" s="3"/>
      <c r="F11" s="3"/>
      <c r="G11" s="3"/>
      <c r="H11" s="3"/>
      <c r="I11" s="3"/>
      <c r="J11" s="3"/>
      <c r="K11" s="3"/>
      <c r="L11" s="3"/>
      <c r="M11" s="3"/>
      <c r="N11" s="3"/>
      <c r="O11" s="3"/>
      <c r="P11" s="3"/>
    </row>
    <row r="12" spans="1:16">
      <c r="A12" s="321"/>
      <c r="B12" s="3" t="s">
        <v>557</v>
      </c>
      <c r="C12" s="17" t="s">
        <v>577</v>
      </c>
      <c r="D12" s="3"/>
      <c r="E12" s="3"/>
      <c r="F12" s="3"/>
      <c r="G12" s="3"/>
      <c r="H12" s="3"/>
      <c r="I12" s="3"/>
      <c r="J12" s="3"/>
      <c r="K12" s="3"/>
      <c r="L12" s="3"/>
      <c r="M12" s="3"/>
      <c r="N12" s="3"/>
      <c r="O12" s="3"/>
      <c r="P12" s="3"/>
    </row>
    <row r="13" spans="1:16">
      <c r="A13" s="3" t="s">
        <v>562</v>
      </c>
      <c r="B13" s="3"/>
      <c r="C13" s="3"/>
      <c r="D13" s="3"/>
      <c r="E13" s="3"/>
      <c r="F13" s="3"/>
      <c r="G13" s="3"/>
      <c r="H13" s="3"/>
      <c r="I13" s="3"/>
      <c r="J13" s="3"/>
      <c r="K13" s="3"/>
      <c r="L13" s="3"/>
      <c r="M13" s="3"/>
      <c r="N13" s="3"/>
      <c r="O13" s="3"/>
      <c r="P13" s="3"/>
    </row>
    <row r="14" spans="1:16">
      <c r="A14" s="3"/>
      <c r="B14" s="3" t="s">
        <v>696</v>
      </c>
      <c r="C14" s="67" t="s">
        <v>695</v>
      </c>
      <c r="D14" s="3"/>
      <c r="E14" s="3"/>
      <c r="F14" s="3"/>
      <c r="G14" s="3"/>
      <c r="H14" s="3"/>
      <c r="I14" s="3"/>
      <c r="J14" s="3"/>
      <c r="K14" s="3"/>
      <c r="L14" s="3"/>
      <c r="M14" s="3"/>
      <c r="N14" s="3"/>
      <c r="O14" s="3"/>
      <c r="P14" s="3"/>
    </row>
    <row r="15" spans="1:16">
      <c r="A15" s="3"/>
      <c r="B15" s="3"/>
      <c r="C15" s="551" t="s">
        <v>697</v>
      </c>
      <c r="D15" s="3"/>
      <c r="E15" s="3"/>
      <c r="F15" s="3"/>
      <c r="G15" s="3"/>
      <c r="H15" s="3"/>
      <c r="I15" s="3"/>
      <c r="J15" s="3"/>
      <c r="K15" s="3"/>
      <c r="L15" s="3"/>
      <c r="M15" s="3"/>
      <c r="N15" s="3"/>
      <c r="O15" s="3"/>
      <c r="P15" s="3"/>
    </row>
    <row r="16" spans="1:16">
      <c r="A16" s="3"/>
      <c r="B16" s="3" t="s">
        <v>558</v>
      </c>
      <c r="C16" s="17" t="s">
        <v>578</v>
      </c>
      <c r="D16" s="3"/>
      <c r="E16" s="3"/>
      <c r="F16" s="3"/>
      <c r="G16" s="3"/>
      <c r="H16" s="3"/>
      <c r="I16" s="3"/>
      <c r="J16" s="3"/>
      <c r="K16" s="3"/>
      <c r="L16" s="3"/>
      <c r="M16" s="3"/>
      <c r="N16" s="3"/>
      <c r="O16" s="3"/>
      <c r="P16" s="3"/>
    </row>
    <row r="17" spans="1:16">
      <c r="A17" s="3"/>
      <c r="B17" s="3" t="s">
        <v>599</v>
      </c>
      <c r="C17" s="17" t="s">
        <v>612</v>
      </c>
      <c r="D17" s="3"/>
      <c r="E17" s="3"/>
      <c r="F17" s="3"/>
      <c r="G17" s="3"/>
      <c r="H17" s="3"/>
      <c r="I17" s="3"/>
      <c r="J17" s="3"/>
      <c r="K17" s="3"/>
      <c r="L17" s="3"/>
      <c r="M17" s="3"/>
      <c r="N17" s="3"/>
      <c r="O17" s="3"/>
      <c r="P17" s="3"/>
    </row>
    <row r="18" spans="1:16">
      <c r="A18" s="3"/>
      <c r="B18" s="16" t="s">
        <v>600</v>
      </c>
      <c r="C18" s="17" t="s">
        <v>698</v>
      </c>
      <c r="D18" s="3"/>
      <c r="E18" s="3"/>
      <c r="F18" s="3"/>
      <c r="G18" s="3"/>
      <c r="H18" s="3"/>
      <c r="I18" s="3"/>
      <c r="J18" s="3"/>
      <c r="K18" s="3"/>
      <c r="L18" s="3"/>
      <c r="M18" s="3"/>
      <c r="N18" s="3"/>
      <c r="O18" s="3"/>
      <c r="P18" s="3"/>
    </row>
    <row r="19" spans="1:16">
      <c r="A19" s="15" t="s">
        <v>281</v>
      </c>
      <c r="B19" s="16" t="s">
        <v>592</v>
      </c>
      <c r="C19" s="17" t="s">
        <v>589</v>
      </c>
      <c r="D19" s="3"/>
      <c r="E19" s="3"/>
      <c r="F19" s="3"/>
      <c r="G19" s="3"/>
      <c r="H19" s="3"/>
      <c r="I19" s="3"/>
      <c r="J19" s="3"/>
      <c r="K19" s="3"/>
      <c r="L19" s="3"/>
      <c r="M19" s="3"/>
      <c r="N19" s="3"/>
      <c r="O19" s="3"/>
      <c r="P19" s="3"/>
    </row>
    <row r="20" spans="1:16">
      <c r="A20" s="15"/>
      <c r="B20" s="16" t="s">
        <v>593</v>
      </c>
      <c r="C20" s="17" t="s">
        <v>591</v>
      </c>
      <c r="D20" s="3"/>
      <c r="E20" s="3"/>
      <c r="F20" s="3"/>
      <c r="G20" s="3"/>
      <c r="H20" s="3"/>
      <c r="I20" s="3"/>
      <c r="J20" s="3"/>
      <c r="K20" s="3"/>
      <c r="L20" s="3"/>
      <c r="M20" s="3"/>
      <c r="N20" s="3"/>
      <c r="O20" s="3"/>
      <c r="P20" s="3"/>
    </row>
    <row r="22" spans="1:16">
      <c r="A22" s="3" t="s">
        <v>563</v>
      </c>
      <c r="B22" s="3"/>
      <c r="C22" s="3"/>
      <c r="D22" s="3"/>
      <c r="E22" s="3"/>
      <c r="F22" s="3"/>
      <c r="G22" s="3"/>
      <c r="H22" s="3"/>
      <c r="I22" s="3"/>
      <c r="J22" s="3"/>
      <c r="K22" s="3"/>
      <c r="L22" s="3"/>
      <c r="M22" s="3"/>
      <c r="N22" s="3"/>
      <c r="O22" s="3"/>
      <c r="P22" s="3"/>
    </row>
    <row r="23" spans="1:16">
      <c r="A23" s="3" t="s">
        <v>564</v>
      </c>
      <c r="B23" s="3" t="s">
        <v>565</v>
      </c>
      <c r="C23" s="3"/>
      <c r="D23" s="3"/>
      <c r="E23" s="3"/>
      <c r="F23" s="3"/>
      <c r="G23" s="3"/>
      <c r="H23" s="3"/>
      <c r="I23" s="3"/>
      <c r="J23" s="3"/>
      <c r="K23" s="3"/>
      <c r="L23" s="3"/>
      <c r="M23" s="3"/>
      <c r="N23" s="3"/>
      <c r="O23" s="3"/>
      <c r="P23" s="3"/>
    </row>
    <row r="24" spans="1:16">
      <c r="A24" s="3" t="s">
        <v>566</v>
      </c>
      <c r="B24" s="3"/>
      <c r="C24" s="3"/>
      <c r="D24" s="3"/>
      <c r="E24" s="3"/>
      <c r="F24" s="3"/>
      <c r="G24" s="3"/>
      <c r="H24" s="3"/>
      <c r="I24" s="3"/>
      <c r="J24" s="3"/>
      <c r="K24" s="3"/>
      <c r="L24" s="3"/>
      <c r="M24" s="3"/>
      <c r="N24" s="3"/>
      <c r="O24" s="3"/>
      <c r="P24" s="3"/>
    </row>
    <row r="25" spans="1:16">
      <c r="A25" s="3"/>
      <c r="B25" s="3" t="s">
        <v>567</v>
      </c>
      <c r="C25" s="3" t="s">
        <v>568</v>
      </c>
      <c r="D25" s="3"/>
      <c r="E25" s="3"/>
      <c r="F25" s="3"/>
      <c r="G25" s="3"/>
      <c r="H25" s="3"/>
      <c r="I25" s="3"/>
      <c r="J25" s="3"/>
      <c r="K25" s="3"/>
      <c r="L25" s="3"/>
      <c r="M25" s="3"/>
      <c r="N25" s="3"/>
      <c r="O25" s="3"/>
      <c r="P25" s="3"/>
    </row>
    <row r="26" spans="1:16">
      <c r="A26" s="3"/>
      <c r="B26" s="3" t="s">
        <v>569</v>
      </c>
      <c r="C26" s="3" t="s">
        <v>573</v>
      </c>
      <c r="D26" s="3"/>
      <c r="E26" s="3"/>
      <c r="F26" s="3"/>
      <c r="G26" s="3"/>
      <c r="H26" s="3"/>
      <c r="I26" s="3"/>
      <c r="J26" s="3"/>
      <c r="K26" s="3"/>
      <c r="L26" s="3"/>
      <c r="M26" s="3"/>
      <c r="N26" s="3"/>
      <c r="O26" s="3"/>
      <c r="P26" s="3"/>
    </row>
    <row r="27" spans="1:16">
      <c r="A27" s="3"/>
      <c r="B27" s="3" t="s">
        <v>570</v>
      </c>
      <c r="C27" s="3" t="s">
        <v>574</v>
      </c>
      <c r="D27" s="3"/>
      <c r="E27" s="3"/>
      <c r="F27" s="3"/>
      <c r="G27" s="3"/>
      <c r="H27" s="3"/>
      <c r="I27" s="3"/>
      <c r="J27" s="3"/>
      <c r="K27" s="3"/>
      <c r="L27" s="3"/>
      <c r="M27" s="3"/>
      <c r="N27" s="3"/>
      <c r="O27" s="3"/>
      <c r="P27" s="3"/>
    </row>
    <row r="28" spans="1:16">
      <c r="A28" s="3"/>
      <c r="B28" s="3" t="s">
        <v>575</v>
      </c>
      <c r="C28" s="3"/>
      <c r="D28" s="3"/>
      <c r="E28" s="3"/>
      <c r="F28" s="3"/>
      <c r="G28" s="3"/>
      <c r="H28" s="3"/>
      <c r="I28" s="3"/>
      <c r="J28" s="3"/>
      <c r="K28" s="3"/>
      <c r="L28" s="3"/>
      <c r="M28" s="3"/>
      <c r="N28" s="3"/>
      <c r="O28" s="3"/>
      <c r="P28" s="3"/>
    </row>
    <row r="29" spans="1:16">
      <c r="A29" s="3" t="s">
        <v>571</v>
      </c>
      <c r="B29" s="3"/>
      <c r="C29" s="3"/>
      <c r="D29" s="3"/>
      <c r="E29" s="3"/>
      <c r="F29" s="3"/>
      <c r="G29" s="3"/>
      <c r="H29" s="3"/>
      <c r="I29" s="3"/>
      <c r="J29" s="3"/>
      <c r="K29" s="3"/>
      <c r="L29" s="3"/>
      <c r="M29" s="3"/>
      <c r="N29" s="3"/>
      <c r="O29" s="3"/>
      <c r="P29" s="3"/>
    </row>
    <row r="30" spans="1:16">
      <c r="A30" s="3"/>
      <c r="B30" s="3" t="s">
        <v>567</v>
      </c>
      <c r="C30" s="3" t="s">
        <v>572</v>
      </c>
      <c r="D30" s="3"/>
      <c r="E30" s="3"/>
      <c r="F30" s="3"/>
      <c r="G30" s="3"/>
      <c r="H30" s="3"/>
      <c r="I30" s="3"/>
      <c r="J30" s="3"/>
      <c r="K30" s="3"/>
      <c r="L30" s="3"/>
      <c r="M30" s="3"/>
      <c r="N30" s="3"/>
      <c r="O30" s="3"/>
      <c r="P30" s="3"/>
    </row>
    <row r="31" spans="1:16">
      <c r="A31" s="3"/>
      <c r="B31" s="3" t="s">
        <v>570</v>
      </c>
      <c r="C31" s="589" t="s">
        <v>579</v>
      </c>
      <c r="D31" s="589"/>
      <c r="E31" s="589"/>
      <c r="F31" s="589"/>
      <c r="G31" s="589"/>
      <c r="H31" s="589"/>
      <c r="I31" s="589"/>
      <c r="J31" s="589"/>
      <c r="K31" s="589"/>
      <c r="L31" s="589"/>
      <c r="M31" s="589"/>
      <c r="N31" s="589"/>
      <c r="O31" s="589"/>
      <c r="P31" s="589"/>
    </row>
    <row r="32" spans="1:16">
      <c r="A32" s="3"/>
      <c r="B32" s="3"/>
      <c r="C32" s="589"/>
      <c r="D32" s="589"/>
      <c r="E32" s="589"/>
      <c r="F32" s="589"/>
      <c r="G32" s="589"/>
      <c r="H32" s="589"/>
      <c r="I32" s="589"/>
      <c r="J32" s="589"/>
      <c r="K32" s="589"/>
      <c r="L32" s="589"/>
      <c r="M32" s="589"/>
      <c r="N32" s="589"/>
      <c r="O32" s="589"/>
      <c r="P32" s="589"/>
    </row>
    <row r="33" spans="1:16">
      <c r="A33" s="3"/>
      <c r="B33" s="3"/>
      <c r="C33" s="589"/>
      <c r="D33" s="589"/>
      <c r="E33" s="589"/>
      <c r="F33" s="589"/>
      <c r="G33" s="589"/>
      <c r="H33" s="589"/>
      <c r="I33" s="589"/>
      <c r="J33" s="589"/>
      <c r="K33" s="589"/>
      <c r="L33" s="589"/>
      <c r="M33" s="589"/>
      <c r="N33" s="589"/>
      <c r="O33" s="589"/>
      <c r="P33" s="589"/>
    </row>
    <row r="34" spans="1:16">
      <c r="A34" s="3" t="s">
        <v>580</v>
      </c>
      <c r="B34" s="3"/>
      <c r="C34" s="327"/>
      <c r="D34" s="327"/>
      <c r="E34" s="327"/>
      <c r="F34" s="327"/>
      <c r="G34" s="327"/>
      <c r="H34" s="327"/>
      <c r="I34" s="327"/>
      <c r="J34" s="327"/>
      <c r="K34" s="327"/>
      <c r="L34" s="327"/>
      <c r="M34" s="327"/>
      <c r="N34" s="327"/>
      <c r="O34" s="327"/>
      <c r="P34" s="327"/>
    </row>
    <row r="35" spans="1:16">
      <c r="A35" s="3"/>
      <c r="B35" s="3" t="s">
        <v>432</v>
      </c>
      <c r="C35" s="327"/>
      <c r="D35" s="327"/>
      <c r="E35" s="327"/>
      <c r="F35" s="327"/>
      <c r="G35" s="327"/>
      <c r="H35" s="327"/>
      <c r="I35" s="327"/>
      <c r="J35" s="327"/>
      <c r="K35" s="327"/>
      <c r="L35" s="327"/>
      <c r="M35" s="327"/>
      <c r="N35" s="327"/>
      <c r="O35" s="327"/>
      <c r="P35" s="327"/>
    </row>
    <row r="36" spans="1:16">
      <c r="A36" s="3" t="s">
        <v>581</v>
      </c>
      <c r="B36" s="3" t="s">
        <v>582</v>
      </c>
      <c r="C36" s="327"/>
      <c r="D36" s="327"/>
      <c r="E36" s="327"/>
      <c r="F36" s="327"/>
      <c r="G36" s="327"/>
      <c r="H36" s="327"/>
      <c r="I36" s="327"/>
      <c r="J36" s="327"/>
      <c r="K36" s="327"/>
      <c r="L36" s="327"/>
      <c r="M36" s="327"/>
      <c r="N36" s="327"/>
      <c r="O36" s="327"/>
      <c r="P36" s="327"/>
    </row>
    <row r="37" spans="1:16">
      <c r="C37" s="326"/>
      <c r="D37" s="326"/>
      <c r="E37" s="326"/>
      <c r="F37" s="326"/>
      <c r="G37" s="326"/>
      <c r="H37" s="326"/>
      <c r="I37" s="326"/>
      <c r="J37" s="326"/>
      <c r="K37" s="326"/>
      <c r="L37" s="326"/>
      <c r="M37" s="326"/>
      <c r="N37" s="326"/>
      <c r="O37" s="326"/>
      <c r="P37" s="326"/>
    </row>
    <row r="38" spans="1:16">
      <c r="A38" s="3" t="s">
        <v>583</v>
      </c>
      <c r="B38" s="3"/>
      <c r="C38" s="327"/>
      <c r="D38" s="327"/>
      <c r="E38" s="327"/>
      <c r="F38" s="327"/>
      <c r="G38" s="327"/>
      <c r="H38" s="327"/>
      <c r="I38" s="327"/>
      <c r="J38" s="327"/>
      <c r="K38" s="327"/>
      <c r="L38" s="327"/>
      <c r="M38" s="327"/>
      <c r="N38" s="327"/>
      <c r="O38" s="327"/>
      <c r="P38" s="327"/>
    </row>
    <row r="39" spans="1:16">
      <c r="A39" s="3" t="s">
        <v>584</v>
      </c>
      <c r="B39" s="3"/>
      <c r="C39" s="327"/>
      <c r="D39" s="327"/>
      <c r="E39" s="327"/>
      <c r="F39" s="327"/>
      <c r="G39" s="327"/>
      <c r="H39" s="327"/>
      <c r="I39" s="327"/>
      <c r="J39" s="327"/>
      <c r="K39" s="327"/>
      <c r="L39" s="327"/>
      <c r="M39" s="327"/>
      <c r="N39" s="327"/>
      <c r="O39" s="327"/>
      <c r="P39" s="327"/>
    </row>
    <row r="40" spans="1:16">
      <c r="A40" s="3" t="s">
        <v>585</v>
      </c>
      <c r="B40" s="3"/>
      <c r="C40" s="327"/>
      <c r="D40" s="327"/>
      <c r="E40" s="327"/>
      <c r="F40" s="327"/>
      <c r="G40" s="327"/>
      <c r="H40" s="327"/>
      <c r="I40" s="327"/>
      <c r="J40" s="327"/>
      <c r="K40" s="327"/>
      <c r="L40" s="327"/>
      <c r="M40" s="327"/>
      <c r="N40" s="327"/>
      <c r="O40" s="327"/>
      <c r="P40" s="327"/>
    </row>
    <row r="41" spans="1:16">
      <c r="A41" s="3" t="s">
        <v>586</v>
      </c>
      <c r="B41" s="3"/>
      <c r="C41" s="327"/>
      <c r="D41" s="327"/>
      <c r="E41" s="327"/>
      <c r="F41" s="327"/>
      <c r="G41" s="327"/>
      <c r="H41" s="327"/>
      <c r="I41" s="327"/>
      <c r="J41" s="327"/>
      <c r="K41" s="327"/>
      <c r="L41" s="327"/>
      <c r="M41" s="327"/>
      <c r="N41" s="327"/>
      <c r="O41" s="327"/>
      <c r="P41" s="327"/>
    </row>
    <row r="42" spans="1:16">
      <c r="A42" s="3" t="s">
        <v>587</v>
      </c>
      <c r="B42" s="3"/>
      <c r="C42" s="327"/>
      <c r="D42" s="327"/>
      <c r="E42" s="327"/>
      <c r="F42" s="327"/>
      <c r="G42" s="327"/>
      <c r="H42" s="327"/>
      <c r="I42" s="327"/>
      <c r="J42" s="327"/>
      <c r="K42" s="327"/>
      <c r="L42" s="327"/>
      <c r="M42" s="327"/>
      <c r="N42" s="327"/>
      <c r="O42" s="327"/>
      <c r="P42" s="327"/>
    </row>
    <row r="43" spans="1:16">
      <c r="A43" s="3" t="s">
        <v>588</v>
      </c>
      <c r="B43" s="3"/>
      <c r="C43" s="327"/>
      <c r="D43" s="327"/>
      <c r="E43" s="327"/>
      <c r="F43" s="327"/>
      <c r="G43" s="327"/>
      <c r="H43" s="327"/>
      <c r="I43" s="327"/>
      <c r="J43" s="327"/>
      <c r="K43" s="327"/>
      <c r="L43" s="327"/>
      <c r="M43" s="327"/>
      <c r="N43" s="327"/>
      <c r="O43" s="327"/>
      <c r="P43" s="327"/>
    </row>
    <row r="44" spans="1:16">
      <c r="C44" s="326"/>
      <c r="D44" s="326"/>
      <c r="E44" s="326"/>
      <c r="F44" s="326"/>
      <c r="G44" s="326"/>
      <c r="H44" s="326"/>
      <c r="I44" s="326"/>
      <c r="J44" s="326"/>
      <c r="K44" s="326"/>
      <c r="L44" s="326"/>
      <c r="M44" s="326"/>
      <c r="N44" s="326"/>
      <c r="O44" s="326"/>
      <c r="P44" s="326"/>
    </row>
    <row r="45" spans="1:16">
      <c r="A45" s="5" t="s">
        <v>560</v>
      </c>
      <c r="B45" s="3"/>
      <c r="C45" s="325" t="s">
        <v>559</v>
      </c>
      <c r="D45" s="3"/>
      <c r="E45" s="3"/>
      <c r="F45" s="3"/>
      <c r="G45" s="3"/>
      <c r="H45" s="3"/>
      <c r="I45" s="3"/>
      <c r="J45" s="3"/>
      <c r="K45" s="3"/>
      <c r="L45" s="3"/>
      <c r="M45" s="3"/>
      <c r="N45" s="3"/>
      <c r="O45" s="3"/>
      <c r="P45" s="3"/>
    </row>
    <row r="46" spans="1:16">
      <c r="A46" s="588" t="s">
        <v>561</v>
      </c>
      <c r="B46" s="588"/>
      <c r="C46" s="588"/>
      <c r="D46" s="588"/>
      <c r="E46" s="588"/>
      <c r="F46" s="588"/>
      <c r="G46" s="588"/>
      <c r="H46" s="588"/>
      <c r="I46" s="588"/>
      <c r="J46" s="588"/>
      <c r="K46" s="588"/>
      <c r="L46" s="588"/>
      <c r="M46" s="588"/>
      <c r="N46" s="588"/>
      <c r="O46" s="588"/>
      <c r="P46" s="588"/>
    </row>
    <row r="47" spans="1:16">
      <c r="A47" s="588"/>
      <c r="B47" s="588"/>
      <c r="C47" s="588"/>
      <c r="D47" s="588"/>
      <c r="E47" s="588"/>
      <c r="F47" s="588"/>
      <c r="G47" s="588"/>
      <c r="H47" s="588"/>
      <c r="I47" s="588"/>
      <c r="J47" s="588"/>
      <c r="K47" s="588"/>
      <c r="L47" s="588"/>
      <c r="M47" s="588"/>
      <c r="N47" s="588"/>
      <c r="O47" s="588"/>
      <c r="P47" s="588"/>
    </row>
    <row r="48" spans="1:16">
      <c r="A48" s="588"/>
      <c r="B48" s="588"/>
      <c r="C48" s="588"/>
      <c r="D48" s="588"/>
      <c r="E48" s="588"/>
      <c r="F48" s="588"/>
      <c r="G48" s="588"/>
      <c r="H48" s="588"/>
      <c r="I48" s="588"/>
      <c r="J48" s="588"/>
      <c r="K48" s="588"/>
      <c r="L48" s="588"/>
      <c r="M48" s="588"/>
      <c r="N48" s="588"/>
      <c r="O48" s="588"/>
      <c r="P48" s="588"/>
    </row>
    <row r="49" spans="1:16">
      <c r="A49" s="588"/>
      <c r="B49" s="588"/>
      <c r="C49" s="588"/>
      <c r="D49" s="588"/>
      <c r="E49" s="588"/>
      <c r="F49" s="588"/>
      <c r="G49" s="588"/>
      <c r="H49" s="588"/>
      <c r="I49" s="588"/>
      <c r="J49" s="588"/>
      <c r="K49" s="588"/>
      <c r="L49" s="588"/>
      <c r="M49" s="588"/>
      <c r="N49" s="588"/>
      <c r="O49" s="588"/>
      <c r="P49" s="588"/>
    </row>
    <row r="50" spans="1:16">
      <c r="A50" s="588"/>
      <c r="B50" s="588"/>
      <c r="C50" s="588"/>
      <c r="D50" s="588"/>
      <c r="E50" s="588"/>
      <c r="F50" s="588"/>
      <c r="G50" s="588"/>
      <c r="H50" s="588"/>
      <c r="I50" s="588"/>
      <c r="J50" s="588"/>
      <c r="K50" s="588"/>
      <c r="L50" s="588"/>
      <c r="M50" s="588"/>
      <c r="N50" s="588"/>
      <c r="O50" s="588"/>
      <c r="P50" s="588"/>
    </row>
  </sheetData>
  <mergeCells count="2">
    <mergeCell ref="A46:P50"/>
    <mergeCell ref="C31:P33"/>
  </mergeCells>
  <hyperlinks>
    <hyperlink ref="C45" r:id="rId1" xr:uid="{3662259A-94DA-436F-9AF2-74ED292801D5}"/>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sheetPr>
  <dimension ref="A1:BA172"/>
  <sheetViews>
    <sheetView showZeros="0" zoomScale="90" zoomScaleNormal="90" workbookViewId="0">
      <selection activeCell="AB48" sqref="AB48"/>
    </sheetView>
  </sheetViews>
  <sheetFormatPr defaultColWidth="9.140625" defaultRowHeight="15"/>
  <cols>
    <col min="1" max="1" width="14" style="24" customWidth="1"/>
    <col min="2" max="2" width="5.7109375" style="24" customWidth="1"/>
    <col min="3" max="3" width="7" style="24" customWidth="1"/>
    <col min="4" max="5" width="5.7109375" style="24" customWidth="1"/>
    <col min="6" max="6" width="6.28515625" style="24" customWidth="1"/>
    <col min="7" max="7" width="7.28515625" style="24" customWidth="1"/>
    <col min="8" max="11" width="5.7109375" style="24" customWidth="1"/>
    <col min="12" max="12" width="6.140625" style="24" customWidth="1"/>
    <col min="13" max="13" width="5.7109375" style="24" customWidth="1"/>
    <col min="14" max="14" width="6.140625" style="24" customWidth="1"/>
    <col min="15" max="43" width="5.7109375" style="24" customWidth="1"/>
    <col min="44" max="44" width="6.28515625" style="24" customWidth="1"/>
    <col min="45" max="53" width="5.7109375" style="24" customWidth="1"/>
    <col min="54" max="16384" width="9.140625" style="24"/>
  </cols>
  <sheetData>
    <row r="1" spans="1:43">
      <c r="A1" s="385" t="s">
        <v>0</v>
      </c>
      <c r="B1" s="385"/>
      <c r="C1" s="385"/>
      <c r="D1" s="385"/>
      <c r="E1" s="385"/>
      <c r="F1" s="385"/>
      <c r="G1" s="385"/>
      <c r="H1" s="385"/>
      <c r="I1" s="385"/>
      <c r="J1" s="385"/>
      <c r="K1" s="385"/>
      <c r="L1" s="385"/>
      <c r="M1" s="385"/>
      <c r="N1" s="385"/>
      <c r="O1" s="385"/>
      <c r="P1" s="385"/>
      <c r="Q1" s="385"/>
      <c r="R1" s="385"/>
      <c r="S1" s="385"/>
      <c r="T1" s="385"/>
      <c r="U1" s="385"/>
      <c r="V1" s="385"/>
      <c r="W1" s="385"/>
      <c r="X1" s="385"/>
      <c r="Y1" s="385"/>
      <c r="Z1" s="385"/>
      <c r="AA1" s="385"/>
      <c r="AB1" s="385"/>
      <c r="AC1" s="385"/>
      <c r="AD1" s="385"/>
      <c r="AE1" s="385"/>
      <c r="AF1" s="385"/>
      <c r="AG1" s="385"/>
      <c r="AH1" s="385"/>
      <c r="AI1" s="385"/>
      <c r="AJ1" s="385"/>
      <c r="AK1" s="385"/>
      <c r="AL1" s="385"/>
      <c r="AM1" s="385"/>
      <c r="AN1" s="385"/>
      <c r="AO1" s="385"/>
      <c r="AP1" s="385"/>
      <c r="AQ1" s="385"/>
    </row>
    <row r="2" spans="1:43">
      <c r="A2" s="385" t="s">
        <v>611</v>
      </c>
      <c r="B2" s="385"/>
      <c r="C2" s="385"/>
      <c r="D2" s="385"/>
      <c r="E2" s="385"/>
      <c r="F2" s="385"/>
      <c r="G2" s="385"/>
      <c r="H2" s="385"/>
      <c r="I2" s="385"/>
      <c r="J2" s="385"/>
      <c r="K2" s="385"/>
      <c r="L2" s="385"/>
      <c r="M2" s="385"/>
      <c r="N2" s="385"/>
      <c r="O2" s="385"/>
      <c r="P2" s="385"/>
      <c r="Q2" s="385"/>
      <c r="R2" s="385"/>
      <c r="S2" s="385"/>
      <c r="T2" s="385"/>
      <c r="U2" s="385"/>
      <c r="V2" s="385"/>
      <c r="W2" s="385"/>
      <c r="X2" s="385"/>
      <c r="Y2" s="385"/>
      <c r="Z2" s="385"/>
      <c r="AA2" s="385"/>
      <c r="AB2" s="385"/>
      <c r="AC2" s="385"/>
      <c r="AD2" s="385"/>
      <c r="AE2" s="385"/>
      <c r="AF2" s="385"/>
      <c r="AG2" s="385"/>
      <c r="AH2" s="385"/>
      <c r="AI2" s="385"/>
      <c r="AJ2" s="385"/>
      <c r="AK2" s="385"/>
      <c r="AL2" s="385"/>
      <c r="AM2" s="385"/>
      <c r="AN2" s="385"/>
      <c r="AO2" s="385"/>
      <c r="AP2" s="385"/>
      <c r="AQ2" s="385"/>
    </row>
    <row r="3" spans="1:43">
      <c r="A3" s="63" t="s">
        <v>613</v>
      </c>
      <c r="B3" s="385"/>
      <c r="C3" s="385"/>
      <c r="D3" s="385"/>
      <c r="E3" s="385"/>
      <c r="F3" s="385"/>
      <c r="G3" s="385"/>
      <c r="H3" s="385"/>
      <c r="I3" s="385"/>
      <c r="J3" s="385"/>
      <c r="K3" s="385"/>
      <c r="L3" s="385"/>
      <c r="M3" s="385"/>
      <c r="N3" s="385"/>
      <c r="O3" s="385"/>
      <c r="P3" s="385"/>
      <c r="Q3" s="385"/>
      <c r="R3" s="385"/>
      <c r="S3" s="385"/>
      <c r="T3" s="385"/>
      <c r="U3" s="385"/>
      <c r="V3" s="385"/>
      <c r="W3" s="385"/>
      <c r="X3" s="385"/>
      <c r="Y3" s="385"/>
      <c r="Z3" s="385"/>
      <c r="AA3" s="385"/>
      <c r="AB3" s="385"/>
      <c r="AC3" s="385"/>
      <c r="AD3" s="385"/>
      <c r="AE3" s="385"/>
      <c r="AF3" s="385"/>
      <c r="AG3" s="385"/>
      <c r="AH3" s="385"/>
      <c r="AI3" s="385"/>
      <c r="AJ3" s="385"/>
      <c r="AK3" s="385"/>
      <c r="AL3" s="385"/>
      <c r="AM3" s="385"/>
      <c r="AN3" s="385"/>
      <c r="AO3" s="385"/>
      <c r="AP3" s="385"/>
      <c r="AQ3" s="385"/>
    </row>
    <row r="4" spans="1:43">
      <c r="A4" s="3" t="s">
        <v>1</v>
      </c>
      <c r="B4" s="3" t="s">
        <v>2</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spans="1:43">
      <c r="A5" s="3"/>
      <c r="B5" s="3" t="s">
        <v>3</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row>
    <row r="6" spans="1:43">
      <c r="A6" s="3"/>
      <c r="B6" s="16" t="s">
        <v>4</v>
      </c>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row>
    <row r="7" spans="1:43">
      <c r="A7" s="3"/>
      <c r="B7" s="3" t="s">
        <v>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spans="1:43">
      <c r="A8" s="3"/>
      <c r="B8" s="3" t="s">
        <v>6</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row>
    <row r="9" spans="1:43">
      <c r="A9" s="3" t="s">
        <v>7</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row>
    <row r="11" spans="1:43">
      <c r="A11" s="13" t="s">
        <v>8</v>
      </c>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row>
    <row r="12" spans="1:43">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row>
    <row r="13" spans="1:43">
      <c r="A13" s="5" t="s">
        <v>9</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row>
    <row r="14" spans="1:43">
      <c r="A14" s="88" t="s">
        <v>10</v>
      </c>
    </row>
    <row r="15" spans="1:43">
      <c r="K15" s="26"/>
    </row>
    <row r="16" spans="1:43">
      <c r="B16" s="627" t="s">
        <v>11</v>
      </c>
      <c r="C16" s="627"/>
      <c r="D16" s="627"/>
      <c r="E16" s="627" t="s">
        <v>12</v>
      </c>
      <c r="F16" s="627"/>
      <c r="G16" s="627"/>
      <c r="H16" s="627" t="s">
        <v>13</v>
      </c>
      <c r="I16" s="627"/>
      <c r="J16" s="627"/>
      <c r="K16" s="627" t="s">
        <v>14</v>
      </c>
      <c r="L16" s="627"/>
      <c r="M16" s="627"/>
      <c r="N16" s="627" t="s">
        <v>15</v>
      </c>
      <c r="O16" s="627"/>
      <c r="P16" s="627"/>
      <c r="Q16" s="627" t="s">
        <v>16</v>
      </c>
      <c r="R16" s="627"/>
      <c r="S16" s="627"/>
      <c r="T16" s="627" t="s">
        <v>17</v>
      </c>
      <c r="U16" s="627"/>
      <c r="V16" s="627"/>
      <c r="W16" s="627" t="s">
        <v>18</v>
      </c>
      <c r="X16" s="627"/>
      <c r="Y16" s="627"/>
      <c r="Z16" s="627" t="s">
        <v>19</v>
      </c>
      <c r="AA16" s="627"/>
      <c r="AB16" s="627"/>
      <c r="AC16" s="627" t="s">
        <v>20</v>
      </c>
      <c r="AD16" s="627"/>
      <c r="AE16" s="627"/>
      <c r="AF16" s="627" t="s">
        <v>21</v>
      </c>
      <c r="AG16" s="627"/>
      <c r="AH16" s="627"/>
      <c r="AI16" s="627" t="s">
        <v>22</v>
      </c>
      <c r="AJ16" s="627"/>
      <c r="AK16" s="627"/>
      <c r="AL16" s="627" t="s">
        <v>23</v>
      </c>
      <c r="AM16" s="627"/>
      <c r="AN16" s="627"/>
      <c r="AO16" s="627" t="s">
        <v>24</v>
      </c>
      <c r="AP16" s="627"/>
      <c r="AQ16" s="627"/>
    </row>
    <row r="17" spans="1:53">
      <c r="A17" s="27"/>
      <c r="B17" s="386" t="s">
        <v>25</v>
      </c>
      <c r="C17" s="386" t="s">
        <v>26</v>
      </c>
      <c r="D17" s="386" t="s">
        <v>27</v>
      </c>
      <c r="E17" s="386" t="s">
        <v>25</v>
      </c>
      <c r="F17" s="386" t="s">
        <v>26</v>
      </c>
      <c r="G17" s="386" t="s">
        <v>27</v>
      </c>
      <c r="H17" s="386" t="s">
        <v>25</v>
      </c>
      <c r="I17" s="386" t="s">
        <v>26</v>
      </c>
      <c r="J17" s="386" t="s">
        <v>27</v>
      </c>
      <c r="K17" s="386" t="s">
        <v>25</v>
      </c>
      <c r="L17" s="386" t="s">
        <v>26</v>
      </c>
      <c r="M17" s="386" t="s">
        <v>27</v>
      </c>
      <c r="N17" s="386" t="s">
        <v>25</v>
      </c>
      <c r="O17" s="386" t="s">
        <v>26</v>
      </c>
      <c r="P17" s="386" t="s">
        <v>27</v>
      </c>
      <c r="Q17" s="386" t="s">
        <v>25</v>
      </c>
      <c r="R17" s="386" t="s">
        <v>26</v>
      </c>
      <c r="S17" s="386" t="s">
        <v>27</v>
      </c>
      <c r="T17" s="386" t="s">
        <v>25</v>
      </c>
      <c r="U17" s="386" t="s">
        <v>26</v>
      </c>
      <c r="V17" s="386" t="s">
        <v>27</v>
      </c>
      <c r="W17" s="386" t="s">
        <v>25</v>
      </c>
      <c r="X17" s="386" t="s">
        <v>26</v>
      </c>
      <c r="Y17" s="386" t="s">
        <v>27</v>
      </c>
      <c r="Z17" s="386" t="s">
        <v>25</v>
      </c>
      <c r="AA17" s="386" t="s">
        <v>26</v>
      </c>
      <c r="AB17" s="386" t="s">
        <v>27</v>
      </c>
      <c r="AC17" s="386" t="s">
        <v>25</v>
      </c>
      <c r="AD17" s="386" t="s">
        <v>26</v>
      </c>
      <c r="AE17" s="386" t="s">
        <v>27</v>
      </c>
      <c r="AF17" s="386" t="s">
        <v>25</v>
      </c>
      <c r="AG17" s="386" t="s">
        <v>26</v>
      </c>
      <c r="AH17" s="386" t="s">
        <v>27</v>
      </c>
      <c r="AI17" s="386" t="s">
        <v>25</v>
      </c>
      <c r="AJ17" s="386" t="s">
        <v>26</v>
      </c>
      <c r="AK17" s="386" t="s">
        <v>27</v>
      </c>
      <c r="AL17" s="386" t="s">
        <v>25</v>
      </c>
      <c r="AM17" s="386" t="s">
        <v>26</v>
      </c>
      <c r="AN17" s="386" t="s">
        <v>27</v>
      </c>
      <c r="AO17" s="386" t="s">
        <v>25</v>
      </c>
      <c r="AP17" s="386" t="s">
        <v>26</v>
      </c>
      <c r="AQ17" s="386" t="s">
        <v>27</v>
      </c>
    </row>
    <row r="18" spans="1:53">
      <c r="A18" s="29" t="s">
        <v>28</v>
      </c>
      <c r="B18" s="412">
        <v>125.26950242051855</v>
      </c>
      <c r="C18" s="413">
        <v>162.54198156819476</v>
      </c>
      <c r="D18" s="414">
        <v>191.94921761708341</v>
      </c>
      <c r="E18" s="412">
        <v>147.54933996614554</v>
      </c>
      <c r="F18" s="413">
        <v>142.88604777815996</v>
      </c>
      <c r="G18" s="414">
        <v>142.64759550847481</v>
      </c>
      <c r="H18" s="413">
        <v>105.41376793036197</v>
      </c>
      <c r="I18" s="413">
        <v>126.41677594696898</v>
      </c>
      <c r="J18" s="414">
        <v>126.91876364552984</v>
      </c>
      <c r="K18" s="412">
        <v>72.986245663576753</v>
      </c>
      <c r="L18" s="413">
        <v>79.849147210280833</v>
      </c>
      <c r="M18" s="414">
        <v>87.85883626913386</v>
      </c>
      <c r="N18" s="413">
        <v>27.808623684300141</v>
      </c>
      <c r="O18" s="413">
        <v>38.574407526141329</v>
      </c>
      <c r="P18" s="414">
        <v>32.57192888507447</v>
      </c>
      <c r="Q18" s="412">
        <v>23.020608525803496</v>
      </c>
      <c r="R18" s="413">
        <v>31.90674452396911</v>
      </c>
      <c r="S18" s="414">
        <v>32.709427913028001</v>
      </c>
      <c r="T18" s="413">
        <v>16.848878942666087</v>
      </c>
      <c r="U18" s="413">
        <v>22.950449245943684</v>
      </c>
      <c r="V18" s="414">
        <v>22.040112076220304</v>
      </c>
      <c r="W18" s="412">
        <v>45.961397149719552</v>
      </c>
      <c r="X18" s="413">
        <v>40.638927356216136</v>
      </c>
      <c r="Y18" s="414">
        <v>38.32951148382206</v>
      </c>
      <c r="Z18" s="413">
        <v>9.758237114062764</v>
      </c>
      <c r="AA18" s="413">
        <v>9.6826024742945727</v>
      </c>
      <c r="AB18" s="414">
        <v>9.7857824827550033</v>
      </c>
      <c r="AC18" s="412">
        <v>24.142483306732149</v>
      </c>
      <c r="AD18" s="413">
        <v>29.821686839316584</v>
      </c>
      <c r="AE18" s="414">
        <v>31.831114700442637</v>
      </c>
      <c r="AF18" s="415"/>
      <c r="AG18" s="415"/>
      <c r="AH18" s="416"/>
      <c r="AI18" s="412">
        <v>2.9127387221315666</v>
      </c>
      <c r="AJ18" s="413">
        <v>2.7777266431809342</v>
      </c>
      <c r="AK18" s="414">
        <v>2.289437856908227</v>
      </c>
      <c r="AL18" s="413">
        <v>1.6523386281414354</v>
      </c>
      <c r="AM18" s="413">
        <v>2.0245099268947437</v>
      </c>
      <c r="AN18" s="414">
        <v>1.581436752463516</v>
      </c>
      <c r="AO18" s="412">
        <v>2.111576813110585</v>
      </c>
      <c r="AP18" s="413">
        <v>2.86124121179575</v>
      </c>
      <c r="AQ18" s="414">
        <v>2.7773489838341554</v>
      </c>
      <c r="BA18" s="36"/>
    </row>
    <row r="19" spans="1:53">
      <c r="A19" s="29" t="s">
        <v>29</v>
      </c>
      <c r="B19" s="417">
        <v>112.18381084093178</v>
      </c>
      <c r="C19" s="418">
        <v>102.95056691755134</v>
      </c>
      <c r="D19" s="419">
        <v>104.38196255433739</v>
      </c>
      <c r="E19" s="417">
        <v>127.44248196798941</v>
      </c>
      <c r="F19" s="418">
        <v>83.392732461225663</v>
      </c>
      <c r="G19" s="419">
        <v>83.393229566826577</v>
      </c>
      <c r="H19" s="418">
        <v>89.178913906190502</v>
      </c>
      <c r="I19" s="418">
        <v>107.95228087074216</v>
      </c>
      <c r="J19" s="419">
        <v>81.027240409651725</v>
      </c>
      <c r="K19" s="417">
        <v>68.405060171341333</v>
      </c>
      <c r="L19" s="418">
        <v>53.503556744461804</v>
      </c>
      <c r="M19" s="419">
        <v>53.576461365383302</v>
      </c>
      <c r="N19" s="418">
        <v>44.395861473465111</v>
      </c>
      <c r="O19" s="418">
        <v>35.452883927089779</v>
      </c>
      <c r="P19" s="419">
        <v>36.262815668613108</v>
      </c>
      <c r="Q19" s="417">
        <v>32.629185559677026</v>
      </c>
      <c r="R19" s="418">
        <v>26.962146150130756</v>
      </c>
      <c r="S19" s="419">
        <v>31.38161289610283</v>
      </c>
      <c r="T19" s="418">
        <v>19.90063035145856</v>
      </c>
      <c r="U19" s="418">
        <v>18.841142372752607</v>
      </c>
      <c r="V19" s="419">
        <v>18.184580377204711</v>
      </c>
      <c r="W19" s="417">
        <v>25.860808652649304</v>
      </c>
      <c r="X19" s="418">
        <v>20.498775598211825</v>
      </c>
      <c r="Y19" s="419">
        <v>19.680568400576487</v>
      </c>
      <c r="Z19" s="418">
        <v>8.5369914127732667</v>
      </c>
      <c r="AA19" s="418">
        <v>8.2814420968560114</v>
      </c>
      <c r="AB19" s="419">
        <v>8.0123975594580141</v>
      </c>
      <c r="AC19" s="417">
        <v>18.496723118567548</v>
      </c>
      <c r="AD19" s="418">
        <v>16.269531415944623</v>
      </c>
      <c r="AE19" s="419">
        <v>17.731223650585438</v>
      </c>
      <c r="AF19" s="420"/>
      <c r="AG19" s="420"/>
      <c r="AH19" s="421"/>
      <c r="AI19" s="417">
        <v>3.0953999568750752</v>
      </c>
      <c r="AJ19" s="418">
        <v>2.837483694339253</v>
      </c>
      <c r="AK19" s="419">
        <v>2.8626618006933833</v>
      </c>
      <c r="AL19" s="418">
        <v>2.4259820996468116</v>
      </c>
      <c r="AM19" s="418">
        <v>2.0574988883702026</v>
      </c>
      <c r="AN19" s="419">
        <v>2.0807662464879786</v>
      </c>
      <c r="AO19" s="417">
        <v>2.6073906524463841</v>
      </c>
      <c r="AP19" s="418">
        <v>2.4712672795169861</v>
      </c>
      <c r="AQ19" s="419">
        <v>2.4161387778123196</v>
      </c>
      <c r="BA19" s="37"/>
    </row>
    <row r="20" spans="1:53">
      <c r="A20" s="29" t="s">
        <v>30</v>
      </c>
      <c r="B20" s="417">
        <v>252.63388888901002</v>
      </c>
      <c r="C20" s="418">
        <v>404.80161997813832</v>
      </c>
      <c r="D20" s="419">
        <v>245.778541948786</v>
      </c>
      <c r="E20" s="417">
        <v>135.61282805559642</v>
      </c>
      <c r="F20" s="418">
        <v>159.94762252741947</v>
      </c>
      <c r="G20" s="419">
        <v>149.69964887900596</v>
      </c>
      <c r="H20" s="418">
        <v>99.852868611171687</v>
      </c>
      <c r="I20" s="418">
        <v>101.94773429213723</v>
      </c>
      <c r="J20" s="419">
        <v>99.013444879185201</v>
      </c>
      <c r="K20" s="417">
        <v>89.951833333411074</v>
      </c>
      <c r="L20" s="418">
        <v>87.432860152458304</v>
      </c>
      <c r="M20" s="419">
        <v>65.941989821002338</v>
      </c>
      <c r="N20" s="418">
        <v>73.352501666753241</v>
      </c>
      <c r="O20" s="418">
        <v>88.600238937393925</v>
      </c>
      <c r="P20" s="419">
        <v>76.865118761506352</v>
      </c>
      <c r="Q20" s="417">
        <v>45.331309203355609</v>
      </c>
      <c r="R20" s="418">
        <v>104.83306957206436</v>
      </c>
      <c r="S20" s="419">
        <v>77.763423333505884</v>
      </c>
      <c r="T20" s="418">
        <v>41.908422222246053</v>
      </c>
      <c r="U20" s="418">
        <v>80.734987900211962</v>
      </c>
      <c r="V20" s="419">
        <v>74.800697401694663</v>
      </c>
      <c r="W20" s="417">
        <v>55.423944444485777</v>
      </c>
      <c r="X20" s="418">
        <v>122.80563671744828</v>
      </c>
      <c r="Y20" s="419">
        <v>106.04855938273889</v>
      </c>
      <c r="Z20" s="418">
        <v>10.935953333337894</v>
      </c>
      <c r="AA20" s="418">
        <v>14.348489812821514</v>
      </c>
      <c r="AB20" s="419">
        <v>7.0163905699143694</v>
      </c>
      <c r="AC20" s="417">
        <v>41.166333333363887</v>
      </c>
      <c r="AD20" s="418">
        <v>85.806024454732665</v>
      </c>
      <c r="AE20" s="419">
        <v>68.747276085863803</v>
      </c>
      <c r="AF20" s="420"/>
      <c r="AG20" s="420"/>
      <c r="AH20" s="421"/>
      <c r="AI20" s="417">
        <v>5.1172666666694697</v>
      </c>
      <c r="AJ20" s="418">
        <v>5.5121749431690992</v>
      </c>
      <c r="AK20" s="419">
        <v>4.4400661255302394</v>
      </c>
      <c r="AL20" s="418">
        <v>2.2929183333391974</v>
      </c>
      <c r="AM20" s="418">
        <v>2.3978904262270229</v>
      </c>
      <c r="AN20" s="419">
        <v>2.1510544126732065</v>
      </c>
      <c r="AO20" s="417">
        <v>2.9439000000015945</v>
      </c>
      <c r="AP20" s="418">
        <v>2.1941507824699373</v>
      </c>
      <c r="AQ20" s="419">
        <v>2.0372836240959571</v>
      </c>
      <c r="BA20" s="36"/>
    </row>
    <row r="21" spans="1:53">
      <c r="A21" s="29" t="s">
        <v>31</v>
      </c>
      <c r="B21" s="417">
        <v>11.676000000195845</v>
      </c>
      <c r="C21" s="418">
        <v>157.36239860798611</v>
      </c>
      <c r="D21" s="419">
        <v>121.60535715756389</v>
      </c>
      <c r="E21" s="417">
        <v>9.0084611112165938</v>
      </c>
      <c r="F21" s="418">
        <v>88.65186730620627</v>
      </c>
      <c r="G21" s="419">
        <v>84.514006542096666</v>
      </c>
      <c r="H21" s="418">
        <v>6.5071830557322414</v>
      </c>
      <c r="I21" s="418">
        <v>81.154643369338558</v>
      </c>
      <c r="J21" s="419">
        <v>61.960324553465298</v>
      </c>
      <c r="K21" s="417">
        <v>3.7390000001372554</v>
      </c>
      <c r="L21" s="418">
        <v>79.61914807402222</v>
      </c>
      <c r="M21" s="419">
        <v>60.018807431625973</v>
      </c>
      <c r="N21" s="418">
        <v>3.1881597223481135</v>
      </c>
      <c r="O21" s="418">
        <v>34.446731742698582</v>
      </c>
      <c r="P21" s="419">
        <v>23.730717819714698</v>
      </c>
      <c r="Q21" s="417">
        <v>2.3635881600947357</v>
      </c>
      <c r="R21" s="418">
        <v>46.491732242945247</v>
      </c>
      <c r="S21" s="419">
        <v>26.466493890100629</v>
      </c>
      <c r="T21" s="418">
        <v>1.7066000000879824</v>
      </c>
      <c r="U21" s="418">
        <v>21.948233686531644</v>
      </c>
      <c r="V21" s="419">
        <v>19.988691609340847</v>
      </c>
      <c r="W21" s="417">
        <v>2.7380000000200972</v>
      </c>
      <c r="X21" s="418">
        <v>16.511565416471736</v>
      </c>
      <c r="Y21" s="419">
        <v>14.898170230489409</v>
      </c>
      <c r="Z21" s="418">
        <v>0.46218805557782139</v>
      </c>
      <c r="AA21" s="418">
        <v>11.280374723453521</v>
      </c>
      <c r="AB21" s="419">
        <v>3.5555080095868168</v>
      </c>
      <c r="AC21" s="417">
        <v>0.85900000001979415</v>
      </c>
      <c r="AD21" s="418">
        <v>9.9373888423200487</v>
      </c>
      <c r="AE21" s="419">
        <v>7.9535049198090837</v>
      </c>
      <c r="AF21" s="420"/>
      <c r="AG21" s="420"/>
      <c r="AH21" s="421"/>
      <c r="AI21" s="417">
        <v>5.5000000002317466E-2</v>
      </c>
      <c r="AJ21" s="418">
        <v>3.1268390818550307</v>
      </c>
      <c r="AK21" s="419">
        <v>1.818251945038063</v>
      </c>
      <c r="AL21" s="418">
        <v>0.10679694445020754</v>
      </c>
      <c r="AM21" s="418">
        <v>1.8340270433846715</v>
      </c>
      <c r="AN21" s="419">
        <v>0.97428589127424003</v>
      </c>
      <c r="AO21" s="417">
        <v>3.3000000003937026E-2</v>
      </c>
      <c r="AP21" s="418">
        <v>0.9905797808446366</v>
      </c>
      <c r="AQ21" s="419">
        <v>1.0195906892952997</v>
      </c>
      <c r="BA21" s="38"/>
    </row>
    <row r="22" spans="1:53">
      <c r="A22" s="29" t="s">
        <v>32</v>
      </c>
      <c r="B22" s="417">
        <v>5.0589999999999993</v>
      </c>
      <c r="C22" s="418">
        <v>6.7304034785481832</v>
      </c>
      <c r="D22" s="419">
        <v>5.7252090008770384</v>
      </c>
      <c r="E22" s="417">
        <v>8.2687249999999999</v>
      </c>
      <c r="F22" s="418">
        <v>9.4188662918830222</v>
      </c>
      <c r="G22" s="419">
        <v>9.4188410410722607</v>
      </c>
      <c r="H22" s="418">
        <v>3.1539988888888888</v>
      </c>
      <c r="I22" s="418">
        <v>3.9092320550397917</v>
      </c>
      <c r="J22" s="419">
        <v>3.2806300430583302</v>
      </c>
      <c r="K22" s="417">
        <v>5.3769999999999998</v>
      </c>
      <c r="L22" s="418">
        <v>6.9687681711302272</v>
      </c>
      <c r="M22" s="419">
        <v>5.4615370114063193</v>
      </c>
      <c r="N22" s="418">
        <v>1.8322511111111113</v>
      </c>
      <c r="O22" s="418">
        <v>2.4038847455212551</v>
      </c>
      <c r="P22" s="419">
        <v>1.8868434786141959</v>
      </c>
      <c r="Q22" s="417">
        <v>11.446234369445026</v>
      </c>
      <c r="R22" s="418">
        <v>13.70941422475256</v>
      </c>
      <c r="S22" s="419">
        <v>13.766020122246717</v>
      </c>
      <c r="T22" s="418">
        <v>1.7981</v>
      </c>
      <c r="U22" s="418">
        <v>2.2063711787895302</v>
      </c>
      <c r="V22" s="419">
        <v>1.8553998889902668</v>
      </c>
      <c r="W22" s="417">
        <v>1.024</v>
      </c>
      <c r="X22" s="418">
        <v>1.3077474233844177</v>
      </c>
      <c r="Y22" s="419">
        <v>1.0869081053796994</v>
      </c>
      <c r="Z22" s="418">
        <v>1.8264880555555556</v>
      </c>
      <c r="AA22" s="418">
        <v>2.3558234115047401</v>
      </c>
      <c r="AB22" s="419">
        <v>1.8612930978583475</v>
      </c>
      <c r="AC22" s="417">
        <v>1.4749999999999999</v>
      </c>
      <c r="AD22" s="418">
        <v>1.9803153581245232</v>
      </c>
      <c r="AE22" s="419">
        <v>1.631231474790958</v>
      </c>
      <c r="AF22" s="420"/>
      <c r="AG22" s="420"/>
      <c r="AH22" s="421"/>
      <c r="AI22" s="417">
        <v>0.21109999999999998</v>
      </c>
      <c r="AJ22" s="418">
        <v>0.25958996599257073</v>
      </c>
      <c r="AK22" s="419">
        <v>0.21696960559875897</v>
      </c>
      <c r="AL22" s="418">
        <v>0.17919805555555557</v>
      </c>
      <c r="AM22" s="418">
        <v>0.22762964131068011</v>
      </c>
      <c r="AN22" s="419">
        <v>0.18623523567036351</v>
      </c>
      <c r="AO22" s="417">
        <v>0.13400000000000001</v>
      </c>
      <c r="AP22" s="418">
        <v>0.16885622993127436</v>
      </c>
      <c r="AQ22" s="419">
        <v>0.13919569365316226</v>
      </c>
      <c r="BA22" s="36"/>
    </row>
    <row r="23" spans="1:53">
      <c r="A23" s="29" t="s">
        <v>33</v>
      </c>
      <c r="B23" s="417">
        <v>0</v>
      </c>
      <c r="C23" s="418">
        <v>0</v>
      </c>
      <c r="D23" s="419">
        <v>0</v>
      </c>
      <c r="E23" s="417">
        <v>1.1570119444444444</v>
      </c>
      <c r="F23" s="418">
        <v>2.636561874167854</v>
      </c>
      <c r="G23" s="419">
        <v>2.636561874167854</v>
      </c>
      <c r="H23" s="418">
        <v>0</v>
      </c>
      <c r="I23" s="418">
        <v>0</v>
      </c>
      <c r="J23" s="419">
        <v>0</v>
      </c>
      <c r="K23" s="417">
        <v>1.5760000000000001</v>
      </c>
      <c r="L23" s="418">
        <v>1.5760000000000001</v>
      </c>
      <c r="M23" s="419">
        <v>1.5760000000000001</v>
      </c>
      <c r="N23" s="418">
        <v>0</v>
      </c>
      <c r="O23" s="418">
        <v>0</v>
      </c>
      <c r="P23" s="419">
        <v>0</v>
      </c>
      <c r="Q23" s="417">
        <v>0</v>
      </c>
      <c r="R23" s="418">
        <v>0</v>
      </c>
      <c r="S23" s="419">
        <v>0</v>
      </c>
      <c r="T23" s="418">
        <v>5.0199999999999995E-2</v>
      </c>
      <c r="U23" s="418">
        <v>5.0199999999999995E-2</v>
      </c>
      <c r="V23" s="419">
        <v>5.0199999999999995E-2</v>
      </c>
      <c r="W23" s="417">
        <v>0</v>
      </c>
      <c r="X23" s="418">
        <v>0</v>
      </c>
      <c r="Y23" s="419">
        <v>0</v>
      </c>
      <c r="Z23" s="418">
        <v>0</v>
      </c>
      <c r="AA23" s="418">
        <v>0</v>
      </c>
      <c r="AB23" s="419">
        <v>0</v>
      </c>
      <c r="AC23" s="417">
        <v>0</v>
      </c>
      <c r="AD23" s="418">
        <v>0</v>
      </c>
      <c r="AE23" s="419">
        <v>0</v>
      </c>
      <c r="AF23" s="420"/>
      <c r="AG23" s="420"/>
      <c r="AH23" s="421"/>
      <c r="AI23" s="417">
        <v>0</v>
      </c>
      <c r="AJ23" s="418">
        <v>0</v>
      </c>
      <c r="AK23" s="419">
        <v>0</v>
      </c>
      <c r="AL23" s="418">
        <v>2.3388888888888887E-4</v>
      </c>
      <c r="AM23" s="418">
        <v>2.3388888888888887E-4</v>
      </c>
      <c r="AN23" s="419">
        <v>2.3388888888888887E-4</v>
      </c>
      <c r="AO23" s="417">
        <v>0</v>
      </c>
      <c r="AP23" s="418">
        <v>0</v>
      </c>
      <c r="AQ23" s="419">
        <v>0</v>
      </c>
      <c r="BA23" s="36"/>
    </row>
    <row r="24" spans="1:53">
      <c r="A24" s="29" t="s">
        <v>34</v>
      </c>
      <c r="B24" s="422">
        <v>31.053000000000001</v>
      </c>
      <c r="C24" s="423">
        <v>31.053000000000001</v>
      </c>
      <c r="D24" s="424">
        <v>31.053000000000001</v>
      </c>
      <c r="E24" s="422">
        <v>23.869743055555556</v>
      </c>
      <c r="F24" s="423">
        <v>23.869743055555556</v>
      </c>
      <c r="G24" s="424">
        <v>23.869743055555556</v>
      </c>
      <c r="H24" s="423">
        <v>12.505419999999999</v>
      </c>
      <c r="I24" s="423">
        <v>12.505419999999999</v>
      </c>
      <c r="J24" s="424">
        <v>12.505419999999999</v>
      </c>
      <c r="K24" s="422">
        <v>9.4610000000000003</v>
      </c>
      <c r="L24" s="423">
        <v>9.4610000000000003</v>
      </c>
      <c r="M24" s="424">
        <v>9.4610000000000003</v>
      </c>
      <c r="N24" s="423">
        <v>12.625531944444443</v>
      </c>
      <c r="O24" s="423">
        <v>12.625531944444443</v>
      </c>
      <c r="P24" s="424">
        <v>12.625531944444443</v>
      </c>
      <c r="Q24" s="422">
        <v>3.4897908388888887</v>
      </c>
      <c r="R24" s="423">
        <v>3.4897908388888887</v>
      </c>
      <c r="S24" s="424">
        <v>3.4897908388888887</v>
      </c>
      <c r="T24" s="423">
        <v>3.7263999999999999</v>
      </c>
      <c r="U24" s="423">
        <v>3.7263999999999999</v>
      </c>
      <c r="V24" s="424">
        <v>3.7263999999999999</v>
      </c>
      <c r="W24" s="422">
        <v>2.794</v>
      </c>
      <c r="X24" s="423">
        <v>2.794</v>
      </c>
      <c r="Y24" s="424">
        <v>2.794</v>
      </c>
      <c r="Z24" s="423">
        <v>0.83323888888888886</v>
      </c>
      <c r="AA24" s="423">
        <v>0.83323888888888886</v>
      </c>
      <c r="AB24" s="424">
        <v>0.83323888888888886</v>
      </c>
      <c r="AC24" s="422">
        <v>2.597</v>
      </c>
      <c r="AD24" s="423">
        <v>2.597</v>
      </c>
      <c r="AE24" s="424">
        <v>2.597</v>
      </c>
      <c r="AF24" s="425"/>
      <c r="AG24" s="425"/>
      <c r="AH24" s="426"/>
      <c r="AI24" s="422">
        <v>0.20699999999999999</v>
      </c>
      <c r="AJ24" s="423">
        <v>0.20699999999999999</v>
      </c>
      <c r="AK24" s="424">
        <v>0.20699999999999999</v>
      </c>
      <c r="AL24" s="423">
        <v>0.4910788888888889</v>
      </c>
      <c r="AM24" s="423">
        <v>0.4910788888888889</v>
      </c>
      <c r="AN24" s="424">
        <v>0.4910788888888889</v>
      </c>
      <c r="AO24" s="422">
        <v>1.015485</v>
      </c>
      <c r="AP24" s="423">
        <v>1.015485</v>
      </c>
      <c r="AQ24" s="424">
        <v>1.015485</v>
      </c>
      <c r="BA24" s="36"/>
    </row>
    <row r="25" spans="1:53">
      <c r="A25" s="29" t="s">
        <v>35</v>
      </c>
      <c r="B25" s="427">
        <f t="shared" ref="B25:G25" si="0">SUM(B18:B24)</f>
        <v>537.87520215065626</v>
      </c>
      <c r="C25" s="427">
        <f t="shared" si="0"/>
        <v>865.43997055041871</v>
      </c>
      <c r="D25" s="427">
        <f t="shared" si="0"/>
        <v>700.4932882786477</v>
      </c>
      <c r="E25" s="427">
        <f t="shared" si="0"/>
        <v>452.90859110094794</v>
      </c>
      <c r="F25" s="427">
        <f t="shared" si="0"/>
        <v>510.80344129461781</v>
      </c>
      <c r="G25" s="427">
        <f t="shared" si="0"/>
        <v>496.17962646719963</v>
      </c>
      <c r="H25" s="427">
        <f t="shared" ref="H25" si="1">SUM(H18:H24)</f>
        <v>316.61215239234531</v>
      </c>
      <c r="I25" s="427">
        <f t="shared" ref="I25" si="2">SUM(I18:I24)</f>
        <v>433.88608653422676</v>
      </c>
      <c r="J25" s="427">
        <f t="shared" ref="J25" si="3">SUM(J18:J24)</f>
        <v>384.70582353089043</v>
      </c>
      <c r="K25" s="427">
        <f t="shared" ref="K25:AE25" si="4">SUM(K18:K24)</f>
        <v>251.49613916846644</v>
      </c>
      <c r="L25" s="427">
        <f t="shared" si="4"/>
        <v>318.41048035235349</v>
      </c>
      <c r="M25" s="427">
        <f t="shared" si="4"/>
        <v>283.89463189855184</v>
      </c>
      <c r="N25" s="427">
        <f t="shared" si="4"/>
        <v>163.20292960242216</v>
      </c>
      <c r="O25" s="427">
        <f t="shared" si="4"/>
        <v>212.1036788232893</v>
      </c>
      <c r="P25" s="427">
        <f t="shared" si="4"/>
        <v>183.94295655796728</v>
      </c>
      <c r="Q25" s="427">
        <f t="shared" si="4"/>
        <v>118.28071665726478</v>
      </c>
      <c r="R25" s="427">
        <f t="shared" si="4"/>
        <v>227.39289755275092</v>
      </c>
      <c r="S25" s="427">
        <f t="shared" si="4"/>
        <v>185.57676899387295</v>
      </c>
      <c r="T25" s="427">
        <f t="shared" si="4"/>
        <v>85.93923151645869</v>
      </c>
      <c r="U25" s="427">
        <f t="shared" si="4"/>
        <v>150.45778438422943</v>
      </c>
      <c r="V25" s="427">
        <f t="shared" si="4"/>
        <v>140.64608135345077</v>
      </c>
      <c r="W25" s="427">
        <f t="shared" si="4"/>
        <v>133.80215024687473</v>
      </c>
      <c r="X25" s="427">
        <f t="shared" si="4"/>
        <v>204.55665251173241</v>
      </c>
      <c r="Y25" s="427">
        <f t="shared" si="4"/>
        <v>182.83771760300655</v>
      </c>
      <c r="Z25" s="427">
        <f t="shared" si="4"/>
        <v>32.353096860196189</v>
      </c>
      <c r="AA25" s="427">
        <f t="shared" si="4"/>
        <v>46.781971407819242</v>
      </c>
      <c r="AB25" s="427">
        <f t="shared" si="4"/>
        <v>31.064610608461443</v>
      </c>
      <c r="AC25" s="427">
        <f t="shared" si="4"/>
        <v>88.736539758683364</v>
      </c>
      <c r="AD25" s="427">
        <f t="shared" si="4"/>
        <v>146.41194691043845</v>
      </c>
      <c r="AE25" s="427">
        <f t="shared" si="4"/>
        <v>130.4913508314919</v>
      </c>
      <c r="AF25" s="420">
        <v>151.04149000000001</v>
      </c>
      <c r="AG25" s="420">
        <v>183.12366165896</v>
      </c>
      <c r="AH25" s="420">
        <v>183.12366165896</v>
      </c>
      <c r="AI25" s="427">
        <f t="shared" ref="AI25:AN25" si="5">SUM(AI18:AI24)</f>
        <v>11.598505345678429</v>
      </c>
      <c r="AJ25" s="427">
        <f t="shared" si="5"/>
        <v>14.720814328536889</v>
      </c>
      <c r="AK25" s="427">
        <f t="shared" si="5"/>
        <v>11.834387333768674</v>
      </c>
      <c r="AL25" s="427">
        <f t="shared" si="5"/>
        <v>7.1485468389109856</v>
      </c>
      <c r="AM25" s="427">
        <f t="shared" si="5"/>
        <v>9.0328687039650983</v>
      </c>
      <c r="AN25" s="427">
        <f t="shared" si="5"/>
        <v>7.465091316347082</v>
      </c>
      <c r="AO25" s="427">
        <f t="shared" ref="AO25:AQ25" si="6">SUM(AO18:AO24)</f>
        <v>8.8453524655625007</v>
      </c>
      <c r="AP25" s="427">
        <f t="shared" si="6"/>
        <v>9.7015802845585846</v>
      </c>
      <c r="AQ25" s="427">
        <f t="shared" si="6"/>
        <v>9.405042768690894</v>
      </c>
    </row>
    <row r="26" spans="1:53">
      <c r="A26" s="27"/>
      <c r="W26" s="28"/>
    </row>
    <row r="27" spans="1:53">
      <c r="A27" s="2" t="s">
        <v>36</v>
      </c>
      <c r="B27" s="3"/>
      <c r="C27" s="3"/>
      <c r="D27" s="3"/>
      <c r="E27" s="3"/>
      <c r="F27" s="3"/>
      <c r="G27" s="3"/>
      <c r="H27" s="3"/>
      <c r="I27" s="3"/>
      <c r="J27" s="3"/>
      <c r="K27" s="3"/>
      <c r="L27" s="3"/>
      <c r="M27" s="3"/>
      <c r="N27" s="3"/>
      <c r="O27" s="3"/>
      <c r="P27" s="3"/>
      <c r="Q27" s="3"/>
      <c r="R27" s="3"/>
      <c r="S27" s="3"/>
      <c r="T27" s="3"/>
      <c r="U27" s="3"/>
      <c r="V27" s="3"/>
      <c r="W27" s="4"/>
      <c r="X27" s="3"/>
      <c r="Y27" s="3"/>
      <c r="Z27" s="3"/>
      <c r="AA27" s="3"/>
      <c r="AB27" s="3"/>
      <c r="AC27" s="3"/>
      <c r="AD27" s="3"/>
      <c r="AE27" s="3"/>
      <c r="AF27" s="3"/>
      <c r="AG27" s="3"/>
      <c r="AH27" s="3"/>
      <c r="AI27" s="3"/>
      <c r="AJ27" s="3"/>
      <c r="AK27" s="3"/>
      <c r="AL27" s="3"/>
      <c r="AM27" s="3"/>
      <c r="AN27" s="3"/>
      <c r="AO27" s="3"/>
      <c r="AP27" s="3"/>
      <c r="AQ27" s="3"/>
    </row>
    <row r="28" spans="1:53">
      <c r="A28" s="88" t="s">
        <v>37</v>
      </c>
    </row>
    <row r="30" spans="1:53">
      <c r="B30" s="627" t="s">
        <v>38</v>
      </c>
      <c r="C30" s="627"/>
      <c r="D30" s="627"/>
      <c r="E30" s="627" t="s">
        <v>39</v>
      </c>
      <c r="F30" s="627"/>
      <c r="G30" s="627"/>
      <c r="H30" s="627" t="s">
        <v>40</v>
      </c>
      <c r="I30" s="627"/>
      <c r="J30" s="627"/>
      <c r="K30" s="627" t="s">
        <v>41</v>
      </c>
      <c r="L30" s="627"/>
      <c r="M30" s="627"/>
      <c r="N30" s="627" t="s">
        <v>42</v>
      </c>
      <c r="O30" s="627"/>
      <c r="P30" s="627"/>
      <c r="Q30" s="627" t="s">
        <v>43</v>
      </c>
      <c r="R30" s="627"/>
      <c r="S30" s="627"/>
      <c r="T30" s="627" t="s">
        <v>44</v>
      </c>
      <c r="U30" s="627"/>
      <c r="V30" s="627"/>
      <c r="W30" s="627" t="s">
        <v>45</v>
      </c>
      <c r="X30" s="627"/>
      <c r="Y30" s="627"/>
      <c r="Z30" s="627" t="s">
        <v>46</v>
      </c>
      <c r="AA30" s="627"/>
      <c r="AB30" s="627"/>
      <c r="AC30" s="627" t="s">
        <v>47</v>
      </c>
      <c r="AD30" s="627"/>
      <c r="AE30" s="627"/>
      <c r="AF30" s="627" t="s">
        <v>48</v>
      </c>
      <c r="AG30" s="627"/>
      <c r="AH30" s="627"/>
      <c r="AI30" s="627" t="s">
        <v>49</v>
      </c>
      <c r="AJ30" s="627"/>
      <c r="AK30" s="627"/>
      <c r="AL30" s="627" t="s">
        <v>50</v>
      </c>
      <c r="AM30" s="627"/>
      <c r="AN30" s="627"/>
      <c r="AO30" s="627" t="s">
        <v>51</v>
      </c>
      <c r="AP30" s="627"/>
      <c r="AQ30" s="627"/>
      <c r="AR30" s="627" t="s">
        <v>35</v>
      </c>
      <c r="AS30" s="627"/>
      <c r="AT30" s="627"/>
      <c r="AU30" s="627"/>
    </row>
    <row r="31" spans="1:53">
      <c r="A31" s="27"/>
      <c r="B31" s="392" t="s">
        <v>25</v>
      </c>
      <c r="C31" s="392" t="s">
        <v>26</v>
      </c>
      <c r="D31" s="392" t="s">
        <v>27</v>
      </c>
      <c r="E31" s="392" t="s">
        <v>25</v>
      </c>
      <c r="F31" s="392" t="s">
        <v>26</v>
      </c>
      <c r="G31" s="392" t="s">
        <v>27</v>
      </c>
      <c r="H31" s="386" t="s">
        <v>25</v>
      </c>
      <c r="I31" s="386" t="s">
        <v>26</v>
      </c>
      <c r="J31" s="386" t="s">
        <v>27</v>
      </c>
      <c r="K31" s="392" t="s">
        <v>25</v>
      </c>
      <c r="L31" s="392" t="s">
        <v>26</v>
      </c>
      <c r="M31" s="392" t="s">
        <v>27</v>
      </c>
      <c r="N31" s="392" t="s">
        <v>25</v>
      </c>
      <c r="O31" s="392" t="s">
        <v>26</v>
      </c>
      <c r="P31" s="392" t="s">
        <v>27</v>
      </c>
      <c r="Q31" s="392" t="s">
        <v>25</v>
      </c>
      <c r="R31" s="392" t="s">
        <v>26</v>
      </c>
      <c r="S31" s="392" t="s">
        <v>27</v>
      </c>
      <c r="T31" s="392" t="s">
        <v>25</v>
      </c>
      <c r="U31" s="392" t="s">
        <v>26</v>
      </c>
      <c r="V31" s="392" t="s">
        <v>27</v>
      </c>
      <c r="W31" s="392" t="s">
        <v>25</v>
      </c>
      <c r="X31" s="392" t="s">
        <v>26</v>
      </c>
      <c r="Y31" s="392" t="s">
        <v>27</v>
      </c>
      <c r="Z31" s="392" t="s">
        <v>25</v>
      </c>
      <c r="AA31" s="392" t="s">
        <v>26</v>
      </c>
      <c r="AB31" s="392" t="s">
        <v>27</v>
      </c>
      <c r="AC31" s="392" t="s">
        <v>25</v>
      </c>
      <c r="AD31" s="392" t="s">
        <v>26</v>
      </c>
      <c r="AE31" s="392" t="s">
        <v>27</v>
      </c>
      <c r="AF31" s="386" t="s">
        <v>25</v>
      </c>
      <c r="AG31" s="386" t="s">
        <v>26</v>
      </c>
      <c r="AH31" s="386" t="s">
        <v>27</v>
      </c>
      <c r="AI31" s="392" t="s">
        <v>25</v>
      </c>
      <c r="AJ31" s="392" t="s">
        <v>26</v>
      </c>
      <c r="AK31" s="392" t="s">
        <v>27</v>
      </c>
      <c r="AL31" s="392" t="s">
        <v>25</v>
      </c>
      <c r="AM31" s="392" t="s">
        <v>26</v>
      </c>
      <c r="AN31" s="392" t="s">
        <v>27</v>
      </c>
      <c r="AO31" s="392" t="s">
        <v>25</v>
      </c>
      <c r="AP31" s="392" t="s">
        <v>26</v>
      </c>
      <c r="AQ31" s="392" t="s">
        <v>27</v>
      </c>
      <c r="AR31" s="24" t="s">
        <v>26</v>
      </c>
      <c r="AS31" s="24" t="s">
        <v>27</v>
      </c>
    </row>
    <row r="32" spans="1:53">
      <c r="A32" s="29" t="s">
        <v>28</v>
      </c>
      <c r="B32" s="429">
        <v>0</v>
      </c>
      <c r="C32" s="430">
        <v>29.622123488274219</v>
      </c>
      <c r="D32" s="431">
        <v>75.210858552488233</v>
      </c>
      <c r="E32" s="429">
        <v>0</v>
      </c>
      <c r="F32" s="430">
        <v>0</v>
      </c>
      <c r="G32" s="431">
        <v>2.4959849578530466</v>
      </c>
      <c r="H32" s="430">
        <v>0</v>
      </c>
      <c r="I32" s="430">
        <v>54.032016867523133</v>
      </c>
      <c r="J32" s="431">
        <v>58.94312341588639</v>
      </c>
      <c r="K32" s="429">
        <v>0</v>
      </c>
      <c r="L32" s="430">
        <v>0</v>
      </c>
      <c r="M32" s="431">
        <v>0</v>
      </c>
      <c r="N32" s="430">
        <v>0</v>
      </c>
      <c r="O32" s="430">
        <v>4.7190439634378771</v>
      </c>
      <c r="P32" s="431">
        <v>17.672877550994848</v>
      </c>
      <c r="Q32" s="429">
        <v>0</v>
      </c>
      <c r="R32" s="430">
        <v>0</v>
      </c>
      <c r="S32" s="431">
        <v>9.4149877607292947</v>
      </c>
      <c r="T32" s="430">
        <v>0</v>
      </c>
      <c r="U32" s="430">
        <v>0</v>
      </c>
      <c r="V32" s="431">
        <v>5.8707774816590055</v>
      </c>
      <c r="W32" s="429">
        <v>0</v>
      </c>
      <c r="X32" s="430">
        <v>1.3794050401862439</v>
      </c>
      <c r="Y32" s="431">
        <v>5.7925803774942866</v>
      </c>
      <c r="Z32" s="430">
        <v>0</v>
      </c>
      <c r="AA32" s="430">
        <v>0</v>
      </c>
      <c r="AB32" s="431">
        <v>0</v>
      </c>
      <c r="AC32" s="429">
        <v>0</v>
      </c>
      <c r="AD32" s="430">
        <v>1.918359112250928E-2</v>
      </c>
      <c r="AE32" s="431">
        <v>0</v>
      </c>
      <c r="AF32" s="415"/>
      <c r="AG32" s="415"/>
      <c r="AH32" s="416"/>
      <c r="AI32" s="429">
        <v>0</v>
      </c>
      <c r="AJ32" s="430">
        <v>0.23604360588326337</v>
      </c>
      <c r="AK32" s="431">
        <v>0.86149771282596166</v>
      </c>
      <c r="AL32" s="430">
        <v>0</v>
      </c>
      <c r="AM32" s="430">
        <v>0.1954620729999014</v>
      </c>
      <c r="AN32" s="431">
        <v>0.89497083096857111</v>
      </c>
      <c r="AO32" s="429">
        <v>0</v>
      </c>
      <c r="AP32" s="430">
        <v>0</v>
      </c>
      <c r="AQ32" s="430">
        <v>0</v>
      </c>
      <c r="AR32" s="438">
        <f>SUM(C32,F32,I32,L32,O32,R32,U32,X32,AA32,AD32,AG32,AJ32,AM32,AP32)</f>
        <v>90.20327862942716</v>
      </c>
      <c r="AS32" s="296">
        <f>SUM(D32,G32,J32,M32,P32,S32,V32,Y32,AB32,AE32,AH32,AK32,AN32,AQ32)</f>
        <v>177.15765864089965</v>
      </c>
      <c r="AT32" s="439">
        <f t="shared" ref="AT32:AT37" si="7">AR32/$AR$40</f>
        <v>0.11352586916710011</v>
      </c>
      <c r="AU32" s="440">
        <f>AS32/$AS$40</f>
        <v>0.15372852550224184</v>
      </c>
    </row>
    <row r="33" spans="1:47">
      <c r="A33" s="29" t="s">
        <v>29</v>
      </c>
      <c r="B33" s="432">
        <v>0</v>
      </c>
      <c r="C33" s="433">
        <v>6.9944646331278326</v>
      </c>
      <c r="D33" s="434">
        <v>15.30678521062196</v>
      </c>
      <c r="E33" s="432">
        <v>0</v>
      </c>
      <c r="F33" s="433">
        <v>0</v>
      </c>
      <c r="G33" s="434">
        <v>0</v>
      </c>
      <c r="H33" s="433">
        <v>0</v>
      </c>
      <c r="I33" s="433">
        <v>8.9005865421505597</v>
      </c>
      <c r="J33" s="434">
        <v>9.6128907601149631</v>
      </c>
      <c r="K33" s="432">
        <v>0</v>
      </c>
      <c r="L33" s="433">
        <v>0</v>
      </c>
      <c r="M33" s="434">
        <v>0</v>
      </c>
      <c r="N33" s="433">
        <v>0</v>
      </c>
      <c r="O33" s="433">
        <v>1.1773932668972997</v>
      </c>
      <c r="P33" s="434">
        <v>3.9263516579508524</v>
      </c>
      <c r="Q33" s="432">
        <v>0</v>
      </c>
      <c r="R33" s="433">
        <v>0</v>
      </c>
      <c r="S33" s="434">
        <v>2.7726290206351898</v>
      </c>
      <c r="T33" s="433">
        <v>0</v>
      </c>
      <c r="U33" s="433">
        <v>0</v>
      </c>
      <c r="V33" s="434">
        <v>1.1104076218200594</v>
      </c>
      <c r="W33" s="432">
        <v>0</v>
      </c>
      <c r="X33" s="433">
        <v>0.44183349871323691</v>
      </c>
      <c r="Y33" s="434">
        <v>1.0809889252500815</v>
      </c>
      <c r="Z33" s="433">
        <v>0</v>
      </c>
      <c r="AA33" s="433">
        <v>0</v>
      </c>
      <c r="AB33" s="434">
        <v>0</v>
      </c>
      <c r="AC33" s="432">
        <v>0</v>
      </c>
      <c r="AD33" s="433">
        <v>0</v>
      </c>
      <c r="AE33" s="434">
        <v>0.54985841036424332</v>
      </c>
      <c r="AF33" s="420"/>
      <c r="AG33" s="420"/>
      <c r="AH33" s="421"/>
      <c r="AI33" s="432">
        <v>0</v>
      </c>
      <c r="AJ33" s="433">
        <v>6.1054047232720107E-2</v>
      </c>
      <c r="AK33" s="434">
        <v>0.18865727118931822</v>
      </c>
      <c r="AL33" s="433">
        <v>0</v>
      </c>
      <c r="AM33" s="433">
        <v>8.2254385143835776E-2</v>
      </c>
      <c r="AN33" s="434">
        <v>0.26379228951644029</v>
      </c>
      <c r="AO33" s="432">
        <v>0</v>
      </c>
      <c r="AP33" s="433">
        <v>0</v>
      </c>
      <c r="AQ33" s="433">
        <v>4.8108563745822779E-2</v>
      </c>
      <c r="AR33" s="441">
        <f t="shared" ref="AR33:AS40" si="8">SUM(C33,F33,I33,L33,O33,R33,U33,X33,AA33,AD33,AG33,AJ33,AM33,AP33)</f>
        <v>17.657586373265488</v>
      </c>
      <c r="AS33" s="72">
        <f t="shared" si="8"/>
        <v>34.860469731208937</v>
      </c>
      <c r="AT33" s="71">
        <f t="shared" si="7"/>
        <v>2.2223059636816193E-2</v>
      </c>
      <c r="AU33" s="442">
        <f>AS33/$AS$40</f>
        <v>3.0250166158253017E-2</v>
      </c>
    </row>
    <row r="34" spans="1:47">
      <c r="A34" s="29" t="s">
        <v>30</v>
      </c>
      <c r="B34" s="432">
        <v>0</v>
      </c>
      <c r="C34" s="433">
        <v>115.25015876536847</v>
      </c>
      <c r="D34" s="434">
        <v>199.48535445670308</v>
      </c>
      <c r="E34" s="432">
        <v>0</v>
      </c>
      <c r="F34" s="433">
        <v>11.720603912396314</v>
      </c>
      <c r="G34" s="434">
        <v>11.367822750335355</v>
      </c>
      <c r="H34" s="433">
        <v>0</v>
      </c>
      <c r="I34" s="433">
        <v>33.066865985350027</v>
      </c>
      <c r="J34" s="434">
        <v>31.824398376161863</v>
      </c>
      <c r="K34" s="432">
        <v>0</v>
      </c>
      <c r="L34" s="433">
        <v>56.593385538806665</v>
      </c>
      <c r="M34" s="434">
        <v>93.61977525234586</v>
      </c>
      <c r="N34" s="433">
        <v>0</v>
      </c>
      <c r="O34" s="433">
        <v>16.12421106452534</v>
      </c>
      <c r="P34" s="434">
        <v>21.972881413165595</v>
      </c>
      <c r="Q34" s="432">
        <v>0</v>
      </c>
      <c r="R34" s="433">
        <v>39.656250672336192</v>
      </c>
      <c r="S34" s="434">
        <v>56.053675395670332</v>
      </c>
      <c r="T34" s="433">
        <v>0</v>
      </c>
      <c r="U34" s="433">
        <v>19.138909622179252</v>
      </c>
      <c r="V34" s="434">
        <v>27.745049630577817</v>
      </c>
      <c r="W34" s="432">
        <v>0</v>
      </c>
      <c r="X34" s="433">
        <v>16.172779512915707</v>
      </c>
      <c r="Y34" s="434">
        <v>17.541615536111401</v>
      </c>
      <c r="Z34" s="433">
        <v>0</v>
      </c>
      <c r="AA34" s="433">
        <v>1.5328061362570233</v>
      </c>
      <c r="AB34" s="434">
        <v>5.0915264178090416</v>
      </c>
      <c r="AC34" s="432">
        <v>0</v>
      </c>
      <c r="AD34" s="433">
        <v>9.6561741736438567</v>
      </c>
      <c r="AE34" s="434">
        <v>15.66407024325725</v>
      </c>
      <c r="AF34" s="420"/>
      <c r="AG34" s="420"/>
      <c r="AH34" s="421"/>
      <c r="AI34" s="432">
        <v>0</v>
      </c>
      <c r="AJ34" s="433">
        <v>1.9337408429739147</v>
      </c>
      <c r="AK34" s="434">
        <v>2.2693259603580103</v>
      </c>
      <c r="AL34" s="433">
        <v>0</v>
      </c>
      <c r="AM34" s="433">
        <v>2.2247481010290213E-2</v>
      </c>
      <c r="AN34" s="434">
        <v>0.71706083531723563</v>
      </c>
      <c r="AO34" s="432">
        <v>0</v>
      </c>
      <c r="AP34" s="433">
        <v>0.63541775999001915</v>
      </c>
      <c r="AQ34" s="433">
        <v>0.57534640895642419</v>
      </c>
      <c r="AR34" s="441">
        <f t="shared" si="8"/>
        <v>321.50355146775308</v>
      </c>
      <c r="AS34" s="72">
        <f t="shared" si="8"/>
        <v>483.92790267676924</v>
      </c>
      <c r="AT34" s="71">
        <f t="shared" si="7"/>
        <v>0.40463019388276489</v>
      </c>
      <c r="AU34" s="442">
        <f t="shared" ref="AU34:AU37" si="9">AS34/$AS$40</f>
        <v>0.41992834799588619</v>
      </c>
    </row>
    <row r="35" spans="1:47">
      <c r="A35" s="29" t="s">
        <v>52</v>
      </c>
      <c r="B35" s="432">
        <v>0</v>
      </c>
      <c r="C35" s="433">
        <v>113.79543001259256</v>
      </c>
      <c r="D35" s="434">
        <v>88.131728373252471</v>
      </c>
      <c r="E35" s="432">
        <v>0</v>
      </c>
      <c r="F35" s="433">
        <v>28.959773643063279</v>
      </c>
      <c r="G35" s="434">
        <v>28.959773643063279</v>
      </c>
      <c r="H35" s="433">
        <v>0</v>
      </c>
      <c r="I35" s="433">
        <v>22.431063369605425</v>
      </c>
      <c r="J35" s="434">
        <v>17.082121787499997</v>
      </c>
      <c r="K35" s="432">
        <v>0</v>
      </c>
      <c r="L35" s="433">
        <v>5.8340913507782046</v>
      </c>
      <c r="M35" s="434">
        <v>7.9644817955941987</v>
      </c>
      <c r="N35" s="433">
        <v>0</v>
      </c>
      <c r="O35" s="433">
        <v>23.66356295275677</v>
      </c>
      <c r="P35" s="434">
        <v>22.088303946816453</v>
      </c>
      <c r="Q35" s="432">
        <v>0</v>
      </c>
      <c r="R35" s="433">
        <v>11.002575599846612</v>
      </c>
      <c r="S35" s="434">
        <v>16.923100889075503</v>
      </c>
      <c r="T35" s="433">
        <v>0</v>
      </c>
      <c r="U35" s="433">
        <v>19.757027475555503</v>
      </c>
      <c r="V35" s="434">
        <v>30.28004025480076</v>
      </c>
      <c r="W35" s="432">
        <v>0</v>
      </c>
      <c r="X35" s="433">
        <v>18.491687377777776</v>
      </c>
      <c r="Y35" s="434">
        <v>18.491687377777776</v>
      </c>
      <c r="Z35" s="433">
        <v>0</v>
      </c>
      <c r="AA35" s="433">
        <v>2.4441666666666579E-3</v>
      </c>
      <c r="AB35" s="434">
        <v>4.0736111111110947E-3</v>
      </c>
      <c r="AC35" s="432">
        <v>0</v>
      </c>
      <c r="AD35" s="433">
        <v>14.799834559999999</v>
      </c>
      <c r="AE35" s="434">
        <v>12.333195466666666</v>
      </c>
      <c r="AF35" s="420"/>
      <c r="AG35" s="420"/>
      <c r="AH35" s="421"/>
      <c r="AI35" s="432">
        <v>0</v>
      </c>
      <c r="AJ35" s="433">
        <v>7.1088272520447706</v>
      </c>
      <c r="AK35" s="434">
        <v>6.6080449918700541</v>
      </c>
      <c r="AL35" s="433">
        <v>0</v>
      </c>
      <c r="AM35" s="433">
        <v>4.8162727083333329E-3</v>
      </c>
      <c r="AN35" s="434">
        <v>4.5540687500000001E-3</v>
      </c>
      <c r="AO35" s="432">
        <v>0</v>
      </c>
      <c r="AP35" s="433">
        <v>0</v>
      </c>
      <c r="AQ35" s="433">
        <v>0</v>
      </c>
      <c r="AR35" s="441">
        <f t="shared" si="8"/>
        <v>265.85113403339591</v>
      </c>
      <c r="AS35" s="72">
        <f t="shared" si="8"/>
        <v>248.87110620627828</v>
      </c>
      <c r="AT35" s="71">
        <f t="shared" si="7"/>
        <v>0.33458851517127125</v>
      </c>
      <c r="AU35" s="442">
        <f t="shared" si="9"/>
        <v>0.21595785635637424</v>
      </c>
    </row>
    <row r="36" spans="1:47">
      <c r="A36" s="29" t="s">
        <v>31</v>
      </c>
      <c r="B36" s="432">
        <v>0</v>
      </c>
      <c r="C36" s="433">
        <v>42.318274905716855</v>
      </c>
      <c r="D36" s="434">
        <v>73.02674677694867</v>
      </c>
      <c r="E36" s="432">
        <v>0</v>
      </c>
      <c r="F36" s="433">
        <v>5.5723998401820056</v>
      </c>
      <c r="G36" s="434">
        <v>9.3542866680407002</v>
      </c>
      <c r="H36" s="433">
        <v>0</v>
      </c>
      <c r="I36" s="433">
        <v>12.291704068706656</v>
      </c>
      <c r="J36" s="434">
        <v>15.098153987400835</v>
      </c>
      <c r="K36" s="432">
        <v>0</v>
      </c>
      <c r="L36" s="433">
        <v>11.661252615200022</v>
      </c>
      <c r="M36" s="434">
        <v>19.137627550998548</v>
      </c>
      <c r="N36" s="433">
        <v>0</v>
      </c>
      <c r="O36" s="433">
        <v>9.1373633978232291</v>
      </c>
      <c r="P36" s="434">
        <v>23.651588246219685</v>
      </c>
      <c r="Q36" s="432">
        <v>0</v>
      </c>
      <c r="R36" s="433">
        <v>4.0626652961016552</v>
      </c>
      <c r="S36" s="434">
        <v>22.928477768378393</v>
      </c>
      <c r="T36" s="433">
        <v>0</v>
      </c>
      <c r="U36" s="433">
        <v>0.79500626248768835</v>
      </c>
      <c r="V36" s="434">
        <v>7.0364213753266602</v>
      </c>
      <c r="W36" s="432">
        <v>0</v>
      </c>
      <c r="X36" s="433">
        <v>0.47455847744122082</v>
      </c>
      <c r="Y36" s="434">
        <v>13.160912991176883</v>
      </c>
      <c r="Z36" s="433">
        <v>0</v>
      </c>
      <c r="AA36" s="433">
        <v>5.8151224586525334</v>
      </c>
      <c r="AB36" s="434">
        <v>3.2727482601822304</v>
      </c>
      <c r="AC36" s="432">
        <v>0</v>
      </c>
      <c r="AD36" s="433">
        <v>1.4041311012907429</v>
      </c>
      <c r="AE36" s="434">
        <v>5.4211018331197049</v>
      </c>
      <c r="AF36" s="420"/>
      <c r="AG36" s="420"/>
      <c r="AH36" s="421"/>
      <c r="AI36" s="432">
        <v>0</v>
      </c>
      <c r="AJ36" s="433">
        <v>1.5202293123391728</v>
      </c>
      <c r="AK36" s="434">
        <v>2.3912131207275622</v>
      </c>
      <c r="AL36" s="433">
        <v>0</v>
      </c>
      <c r="AM36" s="433">
        <v>0.83154383285670441</v>
      </c>
      <c r="AN36" s="434">
        <v>1.1412919818482476</v>
      </c>
      <c r="AO36" s="432">
        <v>0</v>
      </c>
      <c r="AP36" s="433">
        <v>0.24758104191448055</v>
      </c>
      <c r="AQ36" s="433">
        <v>0.28141810555061919</v>
      </c>
      <c r="AR36" s="441">
        <f t="shared" si="8"/>
        <v>96.131832610712976</v>
      </c>
      <c r="AS36" s="72">
        <f t="shared" si="8"/>
        <v>195.90198866591871</v>
      </c>
      <c r="AT36" s="71">
        <f t="shared" si="7"/>
        <v>0.12098728580135065</v>
      </c>
      <c r="AU36" s="442">
        <f t="shared" si="9"/>
        <v>0.16999391441277428</v>
      </c>
    </row>
    <row r="37" spans="1:47">
      <c r="A37" s="29" t="s">
        <v>32</v>
      </c>
      <c r="B37" s="432">
        <v>0</v>
      </c>
      <c r="C37" s="433">
        <v>3.1316061962766777</v>
      </c>
      <c r="D37" s="434">
        <v>8.2783920711626582</v>
      </c>
      <c r="E37" s="432">
        <v>0</v>
      </c>
      <c r="F37" s="433">
        <v>8.2455505379347635E-2</v>
      </c>
      <c r="G37" s="434">
        <v>8.1671627900725463E-2</v>
      </c>
      <c r="H37" s="433">
        <v>0</v>
      </c>
      <c r="I37" s="433">
        <v>0</v>
      </c>
      <c r="J37" s="434">
        <v>0</v>
      </c>
      <c r="K37" s="432">
        <v>0</v>
      </c>
      <c r="L37" s="433">
        <v>0</v>
      </c>
      <c r="M37" s="434">
        <v>0</v>
      </c>
      <c r="N37" s="433">
        <v>0</v>
      </c>
      <c r="O37" s="433">
        <v>0</v>
      </c>
      <c r="P37" s="434">
        <v>0</v>
      </c>
      <c r="Q37" s="432">
        <v>0</v>
      </c>
      <c r="R37" s="433">
        <v>0</v>
      </c>
      <c r="S37" s="434">
        <v>3.3267029239631301</v>
      </c>
      <c r="T37" s="433">
        <v>0</v>
      </c>
      <c r="U37" s="433">
        <v>0</v>
      </c>
      <c r="V37" s="434">
        <v>0</v>
      </c>
      <c r="W37" s="432">
        <v>0</v>
      </c>
      <c r="X37" s="433">
        <v>0</v>
      </c>
      <c r="Y37" s="434">
        <v>0</v>
      </c>
      <c r="Z37" s="433">
        <v>0</v>
      </c>
      <c r="AA37" s="433">
        <v>0</v>
      </c>
      <c r="AB37" s="434">
        <v>0</v>
      </c>
      <c r="AC37" s="432">
        <v>0</v>
      </c>
      <c r="AD37" s="433">
        <v>0</v>
      </c>
      <c r="AE37" s="434">
        <v>0</v>
      </c>
      <c r="AF37" s="420"/>
      <c r="AG37" s="420"/>
      <c r="AH37" s="421"/>
      <c r="AI37" s="432">
        <v>0</v>
      </c>
      <c r="AJ37" s="433">
        <v>0</v>
      </c>
      <c r="AK37" s="434">
        <v>0</v>
      </c>
      <c r="AL37" s="433">
        <v>0</v>
      </c>
      <c r="AM37" s="433">
        <v>0</v>
      </c>
      <c r="AN37" s="434">
        <v>0</v>
      </c>
      <c r="AO37" s="432">
        <v>0</v>
      </c>
      <c r="AP37" s="433">
        <v>0</v>
      </c>
      <c r="AQ37" s="433">
        <v>0</v>
      </c>
      <c r="AR37" s="441">
        <f t="shared" si="8"/>
        <v>3.2140617016560253</v>
      </c>
      <c r="AS37" s="72">
        <f t="shared" si="8"/>
        <v>11.686766623026514</v>
      </c>
      <c r="AT37" s="71">
        <f t="shared" si="7"/>
        <v>4.0450763406969332E-3</v>
      </c>
      <c r="AU37" s="442">
        <f t="shared" si="9"/>
        <v>1.0141189574470416E-2</v>
      </c>
    </row>
    <row r="38" spans="1:47">
      <c r="A38" s="29" t="s">
        <v>33</v>
      </c>
      <c r="B38" s="432">
        <v>0</v>
      </c>
      <c r="C38" s="433">
        <v>0</v>
      </c>
      <c r="D38" s="434">
        <v>0</v>
      </c>
      <c r="E38" s="432">
        <v>0</v>
      </c>
      <c r="F38" s="433">
        <v>0</v>
      </c>
      <c r="G38" s="434">
        <v>0</v>
      </c>
      <c r="H38" s="433">
        <v>0</v>
      </c>
      <c r="I38" s="433">
        <v>0</v>
      </c>
      <c r="J38" s="434">
        <v>0</v>
      </c>
      <c r="K38" s="432">
        <v>0</v>
      </c>
      <c r="L38" s="433">
        <v>0</v>
      </c>
      <c r="M38" s="434">
        <v>0</v>
      </c>
      <c r="N38" s="433">
        <v>0</v>
      </c>
      <c r="O38" s="433">
        <v>0</v>
      </c>
      <c r="P38" s="434">
        <v>0</v>
      </c>
      <c r="Q38" s="432">
        <v>0</v>
      </c>
      <c r="R38" s="433">
        <v>0</v>
      </c>
      <c r="S38" s="434">
        <v>0</v>
      </c>
      <c r="T38" s="433">
        <v>0</v>
      </c>
      <c r="U38" s="433">
        <v>0</v>
      </c>
      <c r="V38" s="434">
        <v>0</v>
      </c>
      <c r="W38" s="432">
        <v>0</v>
      </c>
      <c r="X38" s="433">
        <v>0</v>
      </c>
      <c r="Y38" s="434">
        <v>0</v>
      </c>
      <c r="Z38" s="433">
        <v>0</v>
      </c>
      <c r="AA38" s="433">
        <v>0</v>
      </c>
      <c r="AB38" s="434">
        <v>0</v>
      </c>
      <c r="AC38" s="432">
        <v>0</v>
      </c>
      <c r="AD38" s="433">
        <v>0</v>
      </c>
      <c r="AE38" s="434">
        <v>0</v>
      </c>
      <c r="AF38" s="420"/>
      <c r="AG38" s="420"/>
      <c r="AH38" s="421"/>
      <c r="AI38" s="432">
        <v>0</v>
      </c>
      <c r="AJ38" s="433">
        <v>0</v>
      </c>
      <c r="AK38" s="434">
        <v>0</v>
      </c>
      <c r="AL38" s="433">
        <v>0</v>
      </c>
      <c r="AM38" s="433">
        <v>0</v>
      </c>
      <c r="AN38" s="434">
        <v>0</v>
      </c>
      <c r="AO38" s="432">
        <v>0</v>
      </c>
      <c r="AP38" s="433">
        <v>0</v>
      </c>
      <c r="AQ38" s="433">
        <v>0</v>
      </c>
      <c r="AR38" s="441">
        <f t="shared" si="8"/>
        <v>0</v>
      </c>
      <c r="AS38" s="72">
        <f t="shared" si="8"/>
        <v>0</v>
      </c>
      <c r="AT38" s="428"/>
      <c r="AU38" s="443"/>
    </row>
    <row r="39" spans="1:47">
      <c r="A39" s="29" t="s">
        <v>34</v>
      </c>
      <c r="B39" s="435">
        <v>0</v>
      </c>
      <c r="C39" s="436">
        <v>0</v>
      </c>
      <c r="D39" s="437">
        <v>0</v>
      </c>
      <c r="E39" s="435">
        <v>0</v>
      </c>
      <c r="F39" s="436">
        <v>0</v>
      </c>
      <c r="G39" s="437">
        <v>0</v>
      </c>
      <c r="H39" s="436">
        <v>0</v>
      </c>
      <c r="I39" s="436">
        <v>0</v>
      </c>
      <c r="J39" s="437">
        <v>0</v>
      </c>
      <c r="K39" s="435">
        <v>0</v>
      </c>
      <c r="L39" s="436">
        <v>0</v>
      </c>
      <c r="M39" s="437">
        <v>0</v>
      </c>
      <c r="N39" s="436">
        <v>0</v>
      </c>
      <c r="O39" s="436">
        <v>0</v>
      </c>
      <c r="P39" s="437">
        <v>0</v>
      </c>
      <c r="Q39" s="435">
        <v>0</v>
      </c>
      <c r="R39" s="436">
        <v>0</v>
      </c>
      <c r="S39" s="437">
        <v>0</v>
      </c>
      <c r="T39" s="436">
        <v>0</v>
      </c>
      <c r="U39" s="436">
        <v>0</v>
      </c>
      <c r="V39" s="437">
        <v>0</v>
      </c>
      <c r="W39" s="435">
        <v>0</v>
      </c>
      <c r="X39" s="436">
        <v>0</v>
      </c>
      <c r="Y39" s="437">
        <v>0</v>
      </c>
      <c r="Z39" s="436">
        <v>0</v>
      </c>
      <c r="AA39" s="436">
        <v>0</v>
      </c>
      <c r="AB39" s="437">
        <v>0</v>
      </c>
      <c r="AC39" s="435">
        <v>0</v>
      </c>
      <c r="AD39" s="436">
        <v>0</v>
      </c>
      <c r="AE39" s="437">
        <v>0</v>
      </c>
      <c r="AF39" s="425"/>
      <c r="AG39" s="425"/>
      <c r="AH39" s="426"/>
      <c r="AI39" s="435">
        <v>0</v>
      </c>
      <c r="AJ39" s="436">
        <v>0</v>
      </c>
      <c r="AK39" s="437">
        <v>0</v>
      </c>
      <c r="AL39" s="436">
        <v>0</v>
      </c>
      <c r="AM39" s="436">
        <v>0</v>
      </c>
      <c r="AN39" s="437">
        <v>0</v>
      </c>
      <c r="AO39" s="435">
        <v>0</v>
      </c>
      <c r="AP39" s="436">
        <v>0</v>
      </c>
      <c r="AQ39" s="436">
        <v>0</v>
      </c>
      <c r="AR39" s="444">
        <f t="shared" si="8"/>
        <v>0</v>
      </c>
      <c r="AS39" s="340">
        <f t="shared" si="8"/>
        <v>0</v>
      </c>
      <c r="AT39" s="445"/>
      <c r="AU39" s="446"/>
    </row>
    <row r="40" spans="1:47">
      <c r="A40" s="29" t="s">
        <v>35</v>
      </c>
      <c r="B40" s="448">
        <f t="shared" ref="B40:G40" si="10">SUM(B32:B39)</f>
        <v>0</v>
      </c>
      <c r="C40" s="448">
        <f t="shared" si="10"/>
        <v>311.11205800135662</v>
      </c>
      <c r="D40" s="448">
        <f t="shared" si="10"/>
        <v>459.43986544117706</v>
      </c>
      <c r="E40" s="448">
        <f t="shared" si="10"/>
        <v>0</v>
      </c>
      <c r="F40" s="448">
        <f t="shared" si="10"/>
        <v>46.335232901020952</v>
      </c>
      <c r="G40" s="448">
        <f t="shared" si="10"/>
        <v>52.259539647193108</v>
      </c>
      <c r="H40" s="448">
        <f t="shared" ref="H40" si="11">SUM(H32:H39)</f>
        <v>0</v>
      </c>
      <c r="I40" s="448">
        <f t="shared" ref="I40" si="12">SUM(I32:I39)</f>
        <v>130.72223683333578</v>
      </c>
      <c r="J40" s="448">
        <f t="shared" ref="J40" si="13">SUM(J32:J39)</f>
        <v>132.56068832706404</v>
      </c>
      <c r="K40" s="448">
        <f t="shared" ref="K40:AE40" si="14">SUM(K32:K39)</f>
        <v>0</v>
      </c>
      <c r="L40" s="448">
        <f t="shared" si="14"/>
        <v>74.088729504784894</v>
      </c>
      <c r="M40" s="448">
        <f t="shared" si="14"/>
        <v>120.7218845989386</v>
      </c>
      <c r="N40" s="448">
        <f t="shared" si="14"/>
        <v>0</v>
      </c>
      <c r="O40" s="448">
        <f t="shared" si="14"/>
        <v>54.821574645440514</v>
      </c>
      <c r="P40" s="448">
        <f t="shared" si="14"/>
        <v>89.312002815147437</v>
      </c>
      <c r="Q40" s="448">
        <f t="shared" si="14"/>
        <v>0</v>
      </c>
      <c r="R40" s="448">
        <f t="shared" si="14"/>
        <v>54.721491568284463</v>
      </c>
      <c r="S40" s="448">
        <f t="shared" si="14"/>
        <v>111.41957375845183</v>
      </c>
      <c r="T40" s="448">
        <f t="shared" si="14"/>
        <v>0</v>
      </c>
      <c r="U40" s="448">
        <f t="shared" si="14"/>
        <v>39.690943360222448</v>
      </c>
      <c r="V40" s="448">
        <f t="shared" si="14"/>
        <v>72.042696364184295</v>
      </c>
      <c r="W40" s="448">
        <f t="shared" si="14"/>
        <v>0</v>
      </c>
      <c r="X40" s="448">
        <f t="shared" si="14"/>
        <v>36.960263907034189</v>
      </c>
      <c r="Y40" s="448">
        <f t="shared" si="14"/>
        <v>56.067785207810431</v>
      </c>
      <c r="Z40" s="448">
        <f t="shared" si="14"/>
        <v>0</v>
      </c>
      <c r="AA40" s="448">
        <f t="shared" si="14"/>
        <v>7.3503727615762235</v>
      </c>
      <c r="AB40" s="448">
        <f t="shared" si="14"/>
        <v>8.3683482891023822</v>
      </c>
      <c r="AC40" s="448">
        <f t="shared" si="14"/>
        <v>0</v>
      </c>
      <c r="AD40" s="448">
        <f t="shared" si="14"/>
        <v>25.879323426057109</v>
      </c>
      <c r="AE40" s="448">
        <f t="shared" si="14"/>
        <v>33.968225953407867</v>
      </c>
      <c r="AF40" s="428"/>
      <c r="AG40" s="428"/>
      <c r="AH40" s="428"/>
      <c r="AI40" s="448">
        <f t="shared" ref="AI40:AN40" si="15">SUM(AI32:AI39)</f>
        <v>0</v>
      </c>
      <c r="AJ40" s="448">
        <f t="shared" si="15"/>
        <v>10.859895060473843</v>
      </c>
      <c r="AK40" s="448">
        <f t="shared" si="15"/>
        <v>12.318739056970907</v>
      </c>
      <c r="AL40" s="448">
        <f t="shared" si="15"/>
        <v>0</v>
      </c>
      <c r="AM40" s="448">
        <f t="shared" si="15"/>
        <v>1.1363240447190652</v>
      </c>
      <c r="AN40" s="448">
        <f t="shared" si="15"/>
        <v>3.0216700064004947</v>
      </c>
      <c r="AO40" s="448">
        <f t="shared" ref="AO40:AQ40" si="16">SUM(AO32:AO39)</f>
        <v>0</v>
      </c>
      <c r="AP40" s="448">
        <f t="shared" si="16"/>
        <v>0.88299880190449964</v>
      </c>
      <c r="AQ40" s="448">
        <f t="shared" si="16"/>
        <v>0.90487307825286611</v>
      </c>
      <c r="AR40" s="72">
        <f t="shared" si="8"/>
        <v>794.56144481621061</v>
      </c>
      <c r="AS40" s="72">
        <f t="shared" si="8"/>
        <v>1152.4058925441013</v>
      </c>
      <c r="AT40" s="428"/>
      <c r="AU40" s="428"/>
    </row>
    <row r="41" spans="1:47">
      <c r="A41" s="29" t="s">
        <v>53</v>
      </c>
      <c r="B41" s="448"/>
      <c r="C41" s="447">
        <f t="shared" ref="C41:AS41" si="17">(C34+C35)/C40</f>
        <v>0.73621572320080975</v>
      </c>
      <c r="D41" s="447">
        <f t="shared" si="17"/>
        <v>0.62601681844428392</v>
      </c>
      <c r="E41" s="447"/>
      <c r="F41" s="447">
        <f t="shared" si="17"/>
        <v>0.87795776579690488</v>
      </c>
      <c r="G41" s="447">
        <f t="shared" si="17"/>
        <v>0.7716791358219447</v>
      </c>
      <c r="H41" s="447"/>
      <c r="I41" s="447">
        <f t="shared" si="17"/>
        <v>0.42454849839903286</v>
      </c>
      <c r="J41" s="447">
        <f t="shared" si="17"/>
        <v>0.36893683022372281</v>
      </c>
      <c r="K41" s="447"/>
      <c r="L41" s="447">
        <f t="shared" si="17"/>
        <v>0.84260423018258257</v>
      </c>
      <c r="M41" s="447">
        <f t="shared" si="17"/>
        <v>0.84147341954959176</v>
      </c>
      <c r="N41" s="447"/>
      <c r="O41" s="447">
        <f t="shared" si="17"/>
        <v>0.72576853683262899</v>
      </c>
      <c r="P41" s="447">
        <f t="shared" si="17"/>
        <v>0.49334002117472625</v>
      </c>
      <c r="Q41" s="447"/>
      <c r="R41" s="447">
        <f t="shared" si="17"/>
        <v>0.92575740938947104</v>
      </c>
      <c r="S41" s="447">
        <f t="shared" si="17"/>
        <v>0.65497267511499624</v>
      </c>
      <c r="T41" s="447"/>
      <c r="U41" s="447">
        <f t="shared" si="17"/>
        <v>0.97997008397425922</v>
      </c>
      <c r="V41" s="447">
        <f t="shared" si="17"/>
        <v>0.80542640425415135</v>
      </c>
      <c r="W41" s="447"/>
      <c r="X41" s="447">
        <f t="shared" si="17"/>
        <v>0.93788472338521978</v>
      </c>
      <c r="Y41" s="447">
        <f t="shared" si="17"/>
        <v>0.64267391302037047</v>
      </c>
      <c r="Z41" s="447"/>
      <c r="AA41" s="447">
        <f t="shared" si="17"/>
        <v>0.2088669993648688</v>
      </c>
      <c r="AB41" s="447">
        <f t="shared" si="17"/>
        <v>0.60891347406702212</v>
      </c>
      <c r="AC41" s="447"/>
      <c r="AD41" s="447">
        <f t="shared" si="17"/>
        <v>0.94500185847284701</v>
      </c>
      <c r="AE41" s="447">
        <f t="shared" si="17"/>
        <v>0.82421924972843885</v>
      </c>
      <c r="AF41" s="447"/>
      <c r="AG41" s="447"/>
      <c r="AH41" s="447"/>
      <c r="AI41" s="447"/>
      <c r="AJ41" s="447">
        <f t="shared" si="17"/>
        <v>0.83265704177293742</v>
      </c>
      <c r="AK41" s="447">
        <f t="shared" si="17"/>
        <v>0.72063958098085967</v>
      </c>
      <c r="AL41" s="447"/>
      <c r="AM41" s="447">
        <f t="shared" si="17"/>
        <v>2.3816933069751727E-2</v>
      </c>
      <c r="AN41" s="447">
        <f t="shared" si="17"/>
        <v>0.23881327297114263</v>
      </c>
      <c r="AO41" s="447"/>
      <c r="AP41" s="447">
        <f t="shared" si="17"/>
        <v>0.71961338862466828</v>
      </c>
      <c r="AQ41" s="447">
        <f t="shared" si="17"/>
        <v>0.63583106049226945</v>
      </c>
      <c r="AR41" s="447">
        <f t="shared" si="17"/>
        <v>0.73921870905403619</v>
      </c>
      <c r="AS41" s="447">
        <f t="shared" si="17"/>
        <v>0.6358862043522604</v>
      </c>
      <c r="AT41" s="428"/>
      <c r="AU41" s="428"/>
    </row>
    <row r="42" spans="1:47">
      <c r="A42" s="27"/>
      <c r="W42" s="28"/>
    </row>
    <row r="43" spans="1:47">
      <c r="A43" s="2" t="s">
        <v>54</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row>
    <row r="44" spans="1:47">
      <c r="A44" s="88" t="s">
        <v>37</v>
      </c>
    </row>
    <row r="46" spans="1:47">
      <c r="B46" s="627" t="s">
        <v>38</v>
      </c>
      <c r="C46" s="627"/>
      <c r="D46" s="627"/>
      <c r="E46" s="627" t="s">
        <v>39</v>
      </c>
      <c r="F46" s="627"/>
      <c r="G46" s="627"/>
      <c r="H46" s="627" t="s">
        <v>40</v>
      </c>
      <c r="I46" s="627"/>
      <c r="J46" s="627"/>
      <c r="K46" s="627" t="s">
        <v>41</v>
      </c>
      <c r="L46" s="627"/>
      <c r="M46" s="627"/>
      <c r="N46" s="627" t="s">
        <v>42</v>
      </c>
      <c r="O46" s="627"/>
      <c r="P46" s="627"/>
      <c r="Q46" s="627" t="s">
        <v>43</v>
      </c>
      <c r="R46" s="627"/>
      <c r="S46" s="627"/>
      <c r="T46" s="627" t="s">
        <v>44</v>
      </c>
      <c r="U46" s="627"/>
      <c r="V46" s="627"/>
      <c r="W46" s="627" t="s">
        <v>45</v>
      </c>
      <c r="X46" s="627"/>
      <c r="Y46" s="627"/>
      <c r="Z46" s="627" t="s">
        <v>46</v>
      </c>
      <c r="AA46" s="627"/>
      <c r="AB46" s="627"/>
      <c r="AC46" s="627" t="s">
        <v>47</v>
      </c>
      <c r="AD46" s="627"/>
      <c r="AE46" s="627"/>
      <c r="AF46" s="627" t="s">
        <v>48</v>
      </c>
      <c r="AG46" s="627"/>
      <c r="AH46" s="627"/>
      <c r="AI46" s="627" t="s">
        <v>49</v>
      </c>
      <c r="AJ46" s="627"/>
      <c r="AK46" s="627"/>
      <c r="AL46" s="627" t="s">
        <v>50</v>
      </c>
      <c r="AM46" s="627"/>
      <c r="AN46" s="627"/>
      <c r="AO46" s="627" t="s">
        <v>51</v>
      </c>
      <c r="AP46" s="627"/>
      <c r="AQ46" s="627"/>
    </row>
    <row r="47" spans="1:47">
      <c r="A47" s="27"/>
      <c r="B47" s="386" t="s">
        <v>25</v>
      </c>
      <c r="C47" s="386" t="s">
        <v>26</v>
      </c>
      <c r="D47" s="386" t="s">
        <v>27</v>
      </c>
      <c r="E47" s="386" t="s">
        <v>25</v>
      </c>
      <c r="F47" s="386" t="s">
        <v>26</v>
      </c>
      <c r="G47" s="386" t="s">
        <v>27</v>
      </c>
      <c r="H47" s="386" t="s">
        <v>25</v>
      </c>
      <c r="I47" s="386" t="s">
        <v>26</v>
      </c>
      <c r="J47" s="386" t="s">
        <v>27</v>
      </c>
      <c r="K47" s="386" t="s">
        <v>25</v>
      </c>
      <c r="L47" s="386" t="s">
        <v>26</v>
      </c>
      <c r="M47" s="386" t="s">
        <v>27</v>
      </c>
      <c r="N47" s="386" t="s">
        <v>25</v>
      </c>
      <c r="O47" s="386" t="s">
        <v>26</v>
      </c>
      <c r="P47" s="386" t="s">
        <v>27</v>
      </c>
      <c r="Q47" s="386" t="s">
        <v>25</v>
      </c>
      <c r="R47" s="386" t="s">
        <v>26</v>
      </c>
      <c r="S47" s="386" t="s">
        <v>27</v>
      </c>
      <c r="T47" s="386" t="s">
        <v>25</v>
      </c>
      <c r="U47" s="386" t="s">
        <v>26</v>
      </c>
      <c r="V47" s="386" t="s">
        <v>27</v>
      </c>
      <c r="W47" s="386" t="s">
        <v>25</v>
      </c>
      <c r="X47" s="386" t="s">
        <v>26</v>
      </c>
      <c r="Y47" s="386" t="s">
        <v>27</v>
      </c>
      <c r="Z47" s="386" t="s">
        <v>25</v>
      </c>
      <c r="AA47" s="386" t="s">
        <v>26</v>
      </c>
      <c r="AB47" s="386" t="s">
        <v>27</v>
      </c>
      <c r="AC47" s="386" t="s">
        <v>25</v>
      </c>
      <c r="AD47" s="386" t="s">
        <v>26</v>
      </c>
      <c r="AE47" s="386" t="s">
        <v>27</v>
      </c>
      <c r="AF47" s="386" t="s">
        <v>25</v>
      </c>
      <c r="AG47" s="386" t="s">
        <v>26</v>
      </c>
      <c r="AH47" s="386" t="s">
        <v>27</v>
      </c>
      <c r="AI47" s="386" t="s">
        <v>25</v>
      </c>
      <c r="AJ47" s="386" t="s">
        <v>26</v>
      </c>
      <c r="AK47" s="386" t="s">
        <v>27</v>
      </c>
      <c r="AL47" s="386" t="s">
        <v>25</v>
      </c>
      <c r="AM47" s="386" t="s">
        <v>26</v>
      </c>
      <c r="AN47" s="386" t="s">
        <v>27</v>
      </c>
      <c r="AO47" s="386" t="s">
        <v>25</v>
      </c>
      <c r="AP47" s="386" t="s">
        <v>26</v>
      </c>
      <c r="AQ47" s="386" t="s">
        <v>27</v>
      </c>
    </row>
    <row r="48" spans="1:47">
      <c r="A48" s="29" t="s">
        <v>55</v>
      </c>
      <c r="B48" s="412">
        <v>0</v>
      </c>
      <c r="C48" s="413">
        <v>0</v>
      </c>
      <c r="D48" s="414">
        <v>0</v>
      </c>
      <c r="E48" s="412">
        <v>0</v>
      </c>
      <c r="F48" s="413">
        <v>0</v>
      </c>
      <c r="G48" s="414">
        <v>0</v>
      </c>
      <c r="H48" s="413">
        <v>0</v>
      </c>
      <c r="I48" s="413">
        <v>0</v>
      </c>
      <c r="J48" s="414">
        <v>0</v>
      </c>
      <c r="K48" s="412">
        <v>0</v>
      </c>
      <c r="L48" s="413">
        <v>0</v>
      </c>
      <c r="M48" s="414">
        <v>0</v>
      </c>
      <c r="N48" s="413">
        <v>0</v>
      </c>
      <c r="O48" s="413">
        <v>0</v>
      </c>
      <c r="P48" s="414">
        <v>0</v>
      </c>
      <c r="Q48" s="412">
        <v>0</v>
      </c>
      <c r="R48" s="413">
        <v>0</v>
      </c>
      <c r="S48" s="414">
        <v>0</v>
      </c>
      <c r="T48" s="413">
        <v>0</v>
      </c>
      <c r="U48" s="413">
        <v>0</v>
      </c>
      <c r="V48" s="414">
        <v>0</v>
      </c>
      <c r="W48" s="412">
        <v>0</v>
      </c>
      <c r="X48" s="413">
        <v>0</v>
      </c>
      <c r="Y48" s="414">
        <v>0</v>
      </c>
      <c r="Z48" s="413">
        <v>0</v>
      </c>
      <c r="AA48" s="413">
        <v>0</v>
      </c>
      <c r="AB48" s="414">
        <v>0</v>
      </c>
      <c r="AC48" s="412">
        <v>0</v>
      </c>
      <c r="AD48" s="413">
        <v>0</v>
      </c>
      <c r="AE48" s="414">
        <v>0</v>
      </c>
      <c r="AF48" s="415"/>
      <c r="AG48" s="415"/>
      <c r="AH48" s="416"/>
      <c r="AI48" s="412">
        <v>0</v>
      </c>
      <c r="AJ48" s="413">
        <v>0</v>
      </c>
      <c r="AK48" s="414">
        <v>0</v>
      </c>
      <c r="AL48" s="413">
        <v>0</v>
      </c>
      <c r="AM48" s="413">
        <v>0</v>
      </c>
      <c r="AN48" s="414">
        <v>0</v>
      </c>
      <c r="AO48" s="412">
        <v>0</v>
      </c>
      <c r="AP48" s="413">
        <v>0</v>
      </c>
      <c r="AQ48" s="414">
        <v>0</v>
      </c>
    </row>
    <row r="49" spans="1:43">
      <c r="A49" s="29" t="s">
        <v>56</v>
      </c>
      <c r="B49" s="417">
        <v>0</v>
      </c>
      <c r="C49" s="418">
        <v>11.801552132137342</v>
      </c>
      <c r="D49" s="419">
        <v>31.309305030848527</v>
      </c>
      <c r="E49" s="417">
        <v>0</v>
      </c>
      <c r="F49" s="418">
        <v>2.1712441640653508</v>
      </c>
      <c r="G49" s="419">
        <v>2.6054929968784202</v>
      </c>
      <c r="H49" s="418">
        <v>0</v>
      </c>
      <c r="I49" s="418">
        <v>2.0439870735467216</v>
      </c>
      <c r="J49" s="419">
        <v>1.9466543557587817</v>
      </c>
      <c r="K49" s="417">
        <v>0</v>
      </c>
      <c r="L49" s="418">
        <v>9.4766226042092274</v>
      </c>
      <c r="M49" s="419">
        <v>9.6609432316552812</v>
      </c>
      <c r="N49" s="418">
        <v>0</v>
      </c>
      <c r="O49" s="418">
        <v>2.1615788070830355</v>
      </c>
      <c r="P49" s="419">
        <v>2.0586464829362243</v>
      </c>
      <c r="Q49" s="417">
        <v>0</v>
      </c>
      <c r="R49" s="418">
        <v>6.7971789019374089</v>
      </c>
      <c r="S49" s="419">
        <v>13.430950399121652</v>
      </c>
      <c r="T49" s="418">
        <v>0</v>
      </c>
      <c r="U49" s="418">
        <v>0.48493949503678419</v>
      </c>
      <c r="V49" s="419">
        <v>4.8493949503678415</v>
      </c>
      <c r="W49" s="417">
        <v>0</v>
      </c>
      <c r="X49" s="418">
        <v>0.20777118591546992</v>
      </c>
      <c r="Y49" s="419">
        <v>0.20777118591546992</v>
      </c>
      <c r="Z49" s="418">
        <v>0</v>
      </c>
      <c r="AA49" s="418">
        <v>9.4605874580482349E-2</v>
      </c>
      <c r="AB49" s="419">
        <v>0.2254007149761956</v>
      </c>
      <c r="AC49" s="417">
        <v>0</v>
      </c>
      <c r="AD49" s="418">
        <v>0</v>
      </c>
      <c r="AE49" s="419">
        <v>0.78616738544052411</v>
      </c>
      <c r="AF49" s="420"/>
      <c r="AG49" s="420"/>
      <c r="AH49" s="421"/>
      <c r="AI49" s="417">
        <v>0</v>
      </c>
      <c r="AJ49" s="418">
        <v>0.27894448911316083</v>
      </c>
      <c r="AK49" s="419">
        <v>0.2656614182030102</v>
      </c>
      <c r="AL49" s="418">
        <v>0</v>
      </c>
      <c r="AM49" s="418">
        <v>1.8408365383052037E-2</v>
      </c>
      <c r="AN49" s="419">
        <v>1.7531776555287652E-2</v>
      </c>
      <c r="AO49" s="417">
        <v>0</v>
      </c>
      <c r="AP49" s="418">
        <v>2.8792402105497973E-2</v>
      </c>
      <c r="AQ49" s="419">
        <v>2.7421335338569504E-2</v>
      </c>
    </row>
    <row r="50" spans="1:43">
      <c r="A50" s="29" t="s">
        <v>57</v>
      </c>
      <c r="B50" s="417">
        <v>0</v>
      </c>
      <c r="C50" s="418">
        <v>98.631930012592591</v>
      </c>
      <c r="D50" s="419">
        <v>75.31892837325249</v>
      </c>
      <c r="E50" s="417">
        <v>0</v>
      </c>
      <c r="F50" s="418">
        <v>24.095773643063289</v>
      </c>
      <c r="G50" s="419">
        <v>24.095773643063289</v>
      </c>
      <c r="H50" s="418">
        <v>0</v>
      </c>
      <c r="I50" s="418">
        <v>18.065637890416664</v>
      </c>
      <c r="J50" s="419">
        <v>17.082121787499997</v>
      </c>
      <c r="K50" s="417">
        <v>0</v>
      </c>
      <c r="L50" s="418">
        <v>3.1040913507782082</v>
      </c>
      <c r="M50" s="419">
        <v>6.8844817955942004</v>
      </c>
      <c r="N50" s="418">
        <v>0</v>
      </c>
      <c r="O50" s="418">
        <v>10.898366280008705</v>
      </c>
      <c r="P50" s="419">
        <v>10.305045479664392</v>
      </c>
      <c r="Q50" s="417">
        <v>0</v>
      </c>
      <c r="R50" s="418">
        <v>3.7629083157215195</v>
      </c>
      <c r="S50" s="419">
        <v>3.4307499839428113</v>
      </c>
      <c r="T50" s="418">
        <v>0</v>
      </c>
      <c r="U50" s="418">
        <v>16.525027475555508</v>
      </c>
      <c r="V50" s="419">
        <v>27.048040254800764</v>
      </c>
      <c r="W50" s="417">
        <v>0</v>
      </c>
      <c r="X50" s="418">
        <v>18.491687377777776</v>
      </c>
      <c r="Y50" s="419">
        <v>18.491687377777776</v>
      </c>
      <c r="Z50" s="418">
        <v>0</v>
      </c>
      <c r="AA50" s="418">
        <v>2.4441666666666579E-3</v>
      </c>
      <c r="AB50" s="419">
        <v>4.0736111111110947E-3</v>
      </c>
      <c r="AC50" s="417">
        <v>0</v>
      </c>
      <c r="AD50" s="418">
        <v>14.799834559999999</v>
      </c>
      <c r="AE50" s="419">
        <v>12.333195466666666</v>
      </c>
      <c r="AF50" s="420"/>
      <c r="AG50" s="420"/>
      <c r="AH50" s="421"/>
      <c r="AI50" s="417">
        <v>0</v>
      </c>
      <c r="AJ50" s="418">
        <v>2.0483489857935449</v>
      </c>
      <c r="AK50" s="419">
        <v>1.9368342845612314</v>
      </c>
      <c r="AL50" s="418">
        <v>0</v>
      </c>
      <c r="AM50" s="418">
        <v>4.8162727083333329E-3</v>
      </c>
      <c r="AN50" s="419">
        <v>4.5540687500000001E-3</v>
      </c>
      <c r="AO50" s="417">
        <v>0</v>
      </c>
      <c r="AP50" s="418">
        <v>0</v>
      </c>
      <c r="AQ50" s="419">
        <v>0</v>
      </c>
    </row>
    <row r="51" spans="1:43">
      <c r="A51" s="29" t="s">
        <v>58</v>
      </c>
      <c r="B51" s="417">
        <v>0</v>
      </c>
      <c r="C51" s="418">
        <v>1.8650118428639415</v>
      </c>
      <c r="D51" s="419">
        <v>1.8134496272488432</v>
      </c>
      <c r="E51" s="417">
        <v>0</v>
      </c>
      <c r="F51" s="418">
        <v>0.57368536326553476</v>
      </c>
      <c r="G51" s="419">
        <v>0.56775074017296578</v>
      </c>
      <c r="H51" s="418">
        <v>0</v>
      </c>
      <c r="I51" s="418">
        <v>0.71774377298398107</v>
      </c>
      <c r="J51" s="419">
        <v>1.1732851215837827</v>
      </c>
      <c r="K51" s="417">
        <v>0</v>
      </c>
      <c r="L51" s="418">
        <v>0.48520197562149053</v>
      </c>
      <c r="M51" s="419">
        <v>0.761614727536577</v>
      </c>
      <c r="N51" s="418">
        <v>0</v>
      </c>
      <c r="O51" s="418">
        <v>1.4149790560716295</v>
      </c>
      <c r="P51" s="419">
        <v>1.3061345132968887</v>
      </c>
      <c r="Q51" s="417">
        <v>0</v>
      </c>
      <c r="R51" s="418">
        <v>0.91043024844273968</v>
      </c>
      <c r="S51" s="419">
        <v>0.41763226380402974</v>
      </c>
      <c r="T51" s="418">
        <v>0</v>
      </c>
      <c r="U51" s="418">
        <v>0.21782790108954522</v>
      </c>
      <c r="V51" s="419">
        <v>0.44654719723356778</v>
      </c>
      <c r="W51" s="417">
        <v>0</v>
      </c>
      <c r="X51" s="418">
        <v>0</v>
      </c>
      <c r="Y51" s="419">
        <v>0</v>
      </c>
      <c r="Z51" s="418">
        <v>0</v>
      </c>
      <c r="AA51" s="418">
        <v>0</v>
      </c>
      <c r="AB51" s="419">
        <v>0</v>
      </c>
      <c r="AC51" s="417">
        <v>0</v>
      </c>
      <c r="AD51" s="418">
        <v>0</v>
      </c>
      <c r="AE51" s="419">
        <v>0</v>
      </c>
      <c r="AF51" s="420"/>
      <c r="AG51" s="420"/>
      <c r="AH51" s="421"/>
      <c r="AI51" s="417">
        <v>0</v>
      </c>
      <c r="AJ51" s="418">
        <v>0.55083147390813214</v>
      </c>
      <c r="AK51" s="419">
        <v>0.50845982206904494</v>
      </c>
      <c r="AL51" s="418">
        <v>0</v>
      </c>
      <c r="AM51" s="418">
        <v>0</v>
      </c>
      <c r="AN51" s="419">
        <v>0</v>
      </c>
      <c r="AO51" s="417">
        <v>0</v>
      </c>
      <c r="AP51" s="418">
        <v>0</v>
      </c>
      <c r="AQ51" s="419">
        <v>0</v>
      </c>
    </row>
    <row r="52" spans="1:43">
      <c r="A52" s="29" t="s">
        <v>59</v>
      </c>
      <c r="B52" s="417">
        <v>0</v>
      </c>
      <c r="C52" s="418">
        <v>15.163499999999971</v>
      </c>
      <c r="D52" s="419">
        <v>12.812799999999976</v>
      </c>
      <c r="E52" s="417">
        <v>0</v>
      </c>
      <c r="F52" s="418">
        <v>4.863999999999991</v>
      </c>
      <c r="G52" s="419">
        <v>4.863999999999991</v>
      </c>
      <c r="H52" s="418">
        <v>0</v>
      </c>
      <c r="I52" s="418">
        <v>4.3654254791887608</v>
      </c>
      <c r="J52" s="419">
        <v>0</v>
      </c>
      <c r="K52" s="417">
        <v>0</v>
      </c>
      <c r="L52" s="418">
        <v>2.7299999999999964</v>
      </c>
      <c r="M52" s="419">
        <v>1.0799999999999985</v>
      </c>
      <c r="N52" s="418">
        <v>0</v>
      </c>
      <c r="O52" s="418">
        <v>12.765196672748065</v>
      </c>
      <c r="P52" s="419">
        <v>11.783258467152061</v>
      </c>
      <c r="Q52" s="417">
        <v>0</v>
      </c>
      <c r="R52" s="418">
        <v>7.2396672841250913</v>
      </c>
      <c r="S52" s="419">
        <v>13.492350905132692</v>
      </c>
      <c r="T52" s="418">
        <v>0</v>
      </c>
      <c r="U52" s="418">
        <v>3.2319999999999944</v>
      </c>
      <c r="V52" s="419">
        <v>3.2319999999999944</v>
      </c>
      <c r="W52" s="417">
        <v>0</v>
      </c>
      <c r="X52" s="418">
        <v>0</v>
      </c>
      <c r="Y52" s="419">
        <v>0</v>
      </c>
      <c r="Z52" s="418">
        <v>0</v>
      </c>
      <c r="AA52" s="418">
        <v>0</v>
      </c>
      <c r="AB52" s="419">
        <v>0</v>
      </c>
      <c r="AC52" s="417">
        <v>0</v>
      </c>
      <c r="AD52" s="418">
        <v>0</v>
      </c>
      <c r="AE52" s="419">
        <v>0</v>
      </c>
      <c r="AF52" s="420"/>
      <c r="AG52" s="420"/>
      <c r="AH52" s="421"/>
      <c r="AI52" s="417">
        <v>0</v>
      </c>
      <c r="AJ52" s="418">
        <v>5.0604782662512253</v>
      </c>
      <c r="AK52" s="419">
        <v>4.6712107073088225</v>
      </c>
      <c r="AL52" s="418">
        <v>0</v>
      </c>
      <c r="AM52" s="418">
        <v>0</v>
      </c>
      <c r="AN52" s="419">
        <v>0</v>
      </c>
      <c r="AO52" s="417">
        <v>0</v>
      </c>
      <c r="AP52" s="418">
        <v>0</v>
      </c>
      <c r="AQ52" s="419">
        <v>0</v>
      </c>
    </row>
    <row r="53" spans="1:43">
      <c r="A53" s="29" t="s">
        <v>60</v>
      </c>
      <c r="B53" s="417">
        <v>0</v>
      </c>
      <c r="C53" s="418">
        <v>1.9167960733099885</v>
      </c>
      <c r="D53" s="419">
        <v>12.340518032575522</v>
      </c>
      <c r="E53" s="417">
        <v>0</v>
      </c>
      <c r="F53" s="418">
        <v>0</v>
      </c>
      <c r="G53" s="419">
        <v>0</v>
      </c>
      <c r="H53" s="418">
        <v>0</v>
      </c>
      <c r="I53" s="418">
        <v>0</v>
      </c>
      <c r="J53" s="419">
        <v>0</v>
      </c>
      <c r="K53" s="417">
        <v>0</v>
      </c>
      <c r="L53" s="418">
        <v>0</v>
      </c>
      <c r="M53" s="419">
        <v>2.5820989189584611</v>
      </c>
      <c r="N53" s="418">
        <v>0</v>
      </c>
      <c r="O53" s="418">
        <v>0</v>
      </c>
      <c r="P53" s="419">
        <v>0</v>
      </c>
      <c r="Q53" s="417">
        <v>0</v>
      </c>
      <c r="R53" s="418">
        <v>0.57416516730284473</v>
      </c>
      <c r="S53" s="419">
        <v>0.58794534022239997</v>
      </c>
      <c r="T53" s="418">
        <v>0</v>
      </c>
      <c r="U53" s="418">
        <v>0</v>
      </c>
      <c r="V53" s="419">
        <v>0.68635492611976134</v>
      </c>
      <c r="W53" s="417">
        <v>0</v>
      </c>
      <c r="X53" s="418">
        <v>0</v>
      </c>
      <c r="Y53" s="419">
        <v>0</v>
      </c>
      <c r="Z53" s="418">
        <v>0</v>
      </c>
      <c r="AA53" s="418">
        <v>0</v>
      </c>
      <c r="AB53" s="419">
        <v>0</v>
      </c>
      <c r="AC53" s="417">
        <v>0</v>
      </c>
      <c r="AD53" s="418">
        <v>0.12052118164771007</v>
      </c>
      <c r="AE53" s="419">
        <v>0.24901070588369853</v>
      </c>
      <c r="AF53" s="420"/>
      <c r="AG53" s="420"/>
      <c r="AH53" s="421"/>
      <c r="AI53" s="417">
        <v>0</v>
      </c>
      <c r="AJ53" s="418">
        <v>0</v>
      </c>
      <c r="AK53" s="419">
        <v>0</v>
      </c>
      <c r="AL53" s="418">
        <v>0</v>
      </c>
      <c r="AM53" s="418">
        <v>0</v>
      </c>
      <c r="AN53" s="419">
        <v>0</v>
      </c>
      <c r="AO53" s="417">
        <v>0</v>
      </c>
      <c r="AP53" s="418">
        <v>0</v>
      </c>
      <c r="AQ53" s="419">
        <v>0</v>
      </c>
    </row>
    <row r="54" spans="1:43">
      <c r="A54" s="29" t="s">
        <v>61</v>
      </c>
      <c r="B54" s="417">
        <v>0</v>
      </c>
      <c r="C54" s="418">
        <v>0</v>
      </c>
      <c r="D54" s="419">
        <v>0</v>
      </c>
      <c r="E54" s="417">
        <v>0</v>
      </c>
      <c r="F54" s="418">
        <v>0</v>
      </c>
      <c r="G54" s="419">
        <v>0</v>
      </c>
      <c r="H54" s="418">
        <v>0</v>
      </c>
      <c r="I54" s="418">
        <v>0</v>
      </c>
      <c r="J54" s="419">
        <v>0</v>
      </c>
      <c r="K54" s="417">
        <v>0</v>
      </c>
      <c r="L54" s="418">
        <v>0</v>
      </c>
      <c r="M54" s="419">
        <v>0</v>
      </c>
      <c r="N54" s="418">
        <v>0</v>
      </c>
      <c r="O54" s="418">
        <v>0</v>
      </c>
      <c r="P54" s="419">
        <v>0</v>
      </c>
      <c r="Q54" s="417">
        <v>0</v>
      </c>
      <c r="R54" s="418">
        <v>0</v>
      </c>
      <c r="S54" s="419">
        <v>0</v>
      </c>
      <c r="T54" s="418">
        <v>0</v>
      </c>
      <c r="U54" s="418">
        <v>0</v>
      </c>
      <c r="V54" s="419">
        <v>0</v>
      </c>
      <c r="W54" s="417">
        <v>0</v>
      </c>
      <c r="X54" s="418">
        <v>0</v>
      </c>
      <c r="Y54" s="419">
        <v>0</v>
      </c>
      <c r="Z54" s="418">
        <v>0</v>
      </c>
      <c r="AA54" s="418">
        <v>0</v>
      </c>
      <c r="AB54" s="419">
        <v>0</v>
      </c>
      <c r="AC54" s="417">
        <v>0</v>
      </c>
      <c r="AD54" s="418">
        <v>0</v>
      </c>
      <c r="AE54" s="419">
        <v>0</v>
      </c>
      <c r="AF54" s="420"/>
      <c r="AG54" s="420"/>
      <c r="AH54" s="421"/>
      <c r="AI54" s="417">
        <v>0</v>
      </c>
      <c r="AJ54" s="418">
        <v>0</v>
      </c>
      <c r="AK54" s="419">
        <v>0</v>
      </c>
      <c r="AL54" s="418">
        <v>0</v>
      </c>
      <c r="AM54" s="418">
        <v>0</v>
      </c>
      <c r="AN54" s="419">
        <v>0</v>
      </c>
      <c r="AO54" s="417">
        <v>0</v>
      </c>
      <c r="AP54" s="418">
        <v>0</v>
      </c>
      <c r="AQ54" s="419">
        <v>0</v>
      </c>
    </row>
    <row r="55" spans="1:43">
      <c r="A55" s="24" t="s">
        <v>62</v>
      </c>
      <c r="B55" s="417">
        <v>0</v>
      </c>
      <c r="C55" s="418">
        <v>50.275549842375</v>
      </c>
      <c r="D55" s="419">
        <v>96.358215186111082</v>
      </c>
      <c r="E55" s="417">
        <v>0</v>
      </c>
      <c r="F55" s="418">
        <v>2.9210157322499999</v>
      </c>
      <c r="G55" s="419">
        <v>2.9210157322499999</v>
      </c>
      <c r="H55" s="418">
        <v>0</v>
      </c>
      <c r="I55" s="418">
        <v>20.808791119999999</v>
      </c>
      <c r="J55" s="419">
        <v>19.208114879999997</v>
      </c>
      <c r="K55" s="417">
        <v>0</v>
      </c>
      <c r="L55" s="418">
        <v>19.888483949999998</v>
      </c>
      <c r="M55" s="419">
        <v>35.909762687499999</v>
      </c>
      <c r="N55" s="418">
        <v>0</v>
      </c>
      <c r="O55" s="418">
        <v>2.87795111658275</v>
      </c>
      <c r="P55" s="419">
        <v>8.9383983321445584</v>
      </c>
      <c r="Q55" s="417">
        <v>0</v>
      </c>
      <c r="R55" s="418">
        <v>1.4915957362011272</v>
      </c>
      <c r="S55" s="419">
        <v>4.8261408709085361</v>
      </c>
      <c r="T55" s="418">
        <v>0</v>
      </c>
      <c r="U55" s="418">
        <v>7.236028928333333</v>
      </c>
      <c r="V55" s="419">
        <v>10.337184183333333</v>
      </c>
      <c r="W55" s="417">
        <v>0</v>
      </c>
      <c r="X55" s="418">
        <v>0</v>
      </c>
      <c r="Y55" s="419">
        <v>0</v>
      </c>
      <c r="Z55" s="418">
        <v>0</v>
      </c>
      <c r="AA55" s="418">
        <v>1.229684661333333</v>
      </c>
      <c r="AB55" s="419">
        <v>4.4715805866716556</v>
      </c>
      <c r="AC55" s="417">
        <v>0</v>
      </c>
      <c r="AD55" s="418">
        <v>0</v>
      </c>
      <c r="AE55" s="419">
        <v>0</v>
      </c>
      <c r="AF55" s="420"/>
      <c r="AG55" s="420"/>
      <c r="AH55" s="421"/>
      <c r="AI55" s="417">
        <v>0</v>
      </c>
      <c r="AJ55" s="418">
        <v>0.62609504999999999</v>
      </c>
      <c r="AK55" s="419">
        <v>1.0173348901333332</v>
      </c>
      <c r="AL55" s="418">
        <v>0</v>
      </c>
      <c r="AM55" s="418">
        <v>0</v>
      </c>
      <c r="AN55" s="419">
        <v>0.69602010707865225</v>
      </c>
      <c r="AO55" s="417">
        <v>0</v>
      </c>
      <c r="AP55" s="418">
        <v>0.56473721760000029</v>
      </c>
      <c r="AQ55" s="419">
        <v>0.50603693333333355</v>
      </c>
    </row>
    <row r="56" spans="1:43" ht="17.25">
      <c r="A56" s="24" t="s">
        <v>63</v>
      </c>
      <c r="B56" s="417">
        <v>0</v>
      </c>
      <c r="C56" s="418">
        <v>0</v>
      </c>
      <c r="D56" s="419">
        <v>0</v>
      </c>
      <c r="E56" s="417">
        <v>0</v>
      </c>
      <c r="F56" s="418">
        <v>0</v>
      </c>
      <c r="G56" s="419">
        <v>0</v>
      </c>
      <c r="H56" s="418">
        <v>0</v>
      </c>
      <c r="I56" s="418">
        <v>0</v>
      </c>
      <c r="J56" s="419">
        <v>0</v>
      </c>
      <c r="K56" s="417">
        <v>0</v>
      </c>
      <c r="L56" s="418">
        <v>0</v>
      </c>
      <c r="M56" s="419">
        <v>0</v>
      </c>
      <c r="N56" s="418">
        <v>0</v>
      </c>
      <c r="O56" s="418">
        <v>0</v>
      </c>
      <c r="P56" s="419">
        <v>0</v>
      </c>
      <c r="Q56" s="417">
        <v>0</v>
      </c>
      <c r="R56" s="418">
        <v>0</v>
      </c>
      <c r="S56" s="419">
        <v>0</v>
      </c>
      <c r="T56" s="418">
        <v>0</v>
      </c>
      <c r="U56" s="418">
        <v>0</v>
      </c>
      <c r="V56" s="419">
        <v>0</v>
      </c>
      <c r="W56" s="417">
        <v>0</v>
      </c>
      <c r="X56" s="418">
        <v>0</v>
      </c>
      <c r="Y56" s="419">
        <v>0</v>
      </c>
      <c r="Z56" s="418">
        <v>0</v>
      </c>
      <c r="AA56" s="418">
        <v>0</v>
      </c>
      <c r="AB56" s="419">
        <v>0</v>
      </c>
      <c r="AC56" s="417">
        <v>0</v>
      </c>
      <c r="AD56" s="418">
        <v>0</v>
      </c>
      <c r="AE56" s="419">
        <v>0</v>
      </c>
      <c r="AF56" s="420"/>
      <c r="AG56" s="420"/>
      <c r="AH56" s="421"/>
      <c r="AI56" s="417">
        <v>0</v>
      </c>
      <c r="AJ56" s="418">
        <v>0</v>
      </c>
      <c r="AK56" s="419">
        <v>0</v>
      </c>
      <c r="AL56" s="418">
        <v>0</v>
      </c>
      <c r="AM56" s="418">
        <v>0</v>
      </c>
      <c r="AN56" s="419">
        <v>0</v>
      </c>
      <c r="AO56" s="417">
        <v>0</v>
      </c>
      <c r="AP56" s="418">
        <v>0</v>
      </c>
      <c r="AQ56" s="419">
        <v>0</v>
      </c>
    </row>
    <row r="57" spans="1:43">
      <c r="A57" s="24" t="s">
        <v>64</v>
      </c>
      <c r="B57" s="417">
        <v>0</v>
      </c>
      <c r="C57" s="418">
        <v>6.5755194022701504</v>
      </c>
      <c r="D57" s="419">
        <v>11.853471909924847</v>
      </c>
      <c r="E57" s="417">
        <v>0</v>
      </c>
      <c r="F57" s="418">
        <v>0.48177499446874111</v>
      </c>
      <c r="G57" s="419">
        <v>0.48177499446874111</v>
      </c>
      <c r="H57" s="418">
        <v>0</v>
      </c>
      <c r="I57" s="418">
        <v>1.0643777042750924</v>
      </c>
      <c r="J57" s="419">
        <v>1.0643777042750924</v>
      </c>
      <c r="K57" s="417">
        <v>0</v>
      </c>
      <c r="L57" s="418">
        <v>1.2669712930477852</v>
      </c>
      <c r="M57" s="419">
        <v>5.9622178496366329</v>
      </c>
      <c r="N57" s="418">
        <v>0</v>
      </c>
      <c r="O57" s="418">
        <v>1.7813883247895728</v>
      </c>
      <c r="P57" s="419">
        <v>1.7813883247895728</v>
      </c>
      <c r="Q57" s="417">
        <v>0</v>
      </c>
      <c r="R57" s="418">
        <v>0.16938670294149036</v>
      </c>
      <c r="S57" s="419">
        <v>0.29523693952791918</v>
      </c>
      <c r="T57" s="418">
        <v>0</v>
      </c>
      <c r="U57" s="418">
        <v>0</v>
      </c>
      <c r="V57" s="419">
        <v>0.22545507580372454</v>
      </c>
      <c r="W57" s="417">
        <v>0</v>
      </c>
      <c r="X57" s="418">
        <v>7.9729170444739417</v>
      </c>
      <c r="Y57" s="419">
        <v>7.9729170444739417</v>
      </c>
      <c r="Z57" s="418">
        <v>0</v>
      </c>
      <c r="AA57" s="418">
        <v>8.0187418822080969E-2</v>
      </c>
      <c r="AB57" s="419">
        <v>7.3512968903330519E-2</v>
      </c>
      <c r="AC57" s="417">
        <v>0</v>
      </c>
      <c r="AD57" s="418">
        <v>1.8102774839431826</v>
      </c>
      <c r="AE57" s="419">
        <v>7.1059475292769561</v>
      </c>
      <c r="AF57" s="420"/>
      <c r="AG57" s="420"/>
      <c r="AH57" s="421"/>
      <c r="AI57" s="417">
        <v>0</v>
      </c>
      <c r="AJ57" s="418">
        <v>4.52920565939985E-2</v>
      </c>
      <c r="AK57" s="419">
        <v>4.52920565939985E-2</v>
      </c>
      <c r="AL57" s="418">
        <v>0</v>
      </c>
      <c r="AM57" s="418">
        <v>3.8391156272381778E-3</v>
      </c>
      <c r="AN57" s="419">
        <v>3.5089516832956945E-3</v>
      </c>
      <c r="AO57" s="417">
        <v>0</v>
      </c>
      <c r="AP57" s="418">
        <v>4.188814028452114E-2</v>
      </c>
      <c r="AQ57" s="419">
        <v>4.188814028452114E-2</v>
      </c>
    </row>
    <row r="58" spans="1:43">
      <c r="A58" s="24" t="s">
        <v>65</v>
      </c>
      <c r="B58" s="417">
        <v>0</v>
      </c>
      <c r="C58" s="418">
        <v>13.417421738184423</v>
      </c>
      <c r="D58" s="419">
        <v>12.09649502225566</v>
      </c>
      <c r="E58" s="417">
        <v>0</v>
      </c>
      <c r="F58" s="418">
        <v>1.7602360652495037</v>
      </c>
      <c r="G58" s="419">
        <v>1.7416702120874814</v>
      </c>
      <c r="H58" s="418">
        <v>0</v>
      </c>
      <c r="I58" s="418">
        <v>3.4075629602738444</v>
      </c>
      <c r="J58" s="419">
        <v>3.4075629602738444</v>
      </c>
      <c r="K58" s="417">
        <v>0</v>
      </c>
      <c r="L58" s="418">
        <v>13.652956509472498</v>
      </c>
      <c r="M58" s="419">
        <v>15.359576073156555</v>
      </c>
      <c r="N58" s="418">
        <v>0</v>
      </c>
      <c r="O58" s="418">
        <v>1.6540997892522351</v>
      </c>
      <c r="P58" s="419">
        <v>1.6540997892522351</v>
      </c>
      <c r="Q58" s="417">
        <v>0</v>
      </c>
      <c r="R58" s="418">
        <v>22.906268463658524</v>
      </c>
      <c r="S58" s="419">
        <v>23.113040068101601</v>
      </c>
      <c r="T58" s="418">
        <v>0</v>
      </c>
      <c r="U58" s="418">
        <v>2.6136999541391637</v>
      </c>
      <c r="V58" s="419">
        <v>2.6136999541391637</v>
      </c>
      <c r="W58" s="417">
        <v>0</v>
      </c>
      <c r="X58" s="418">
        <v>0.23535381775068351</v>
      </c>
      <c r="Y58" s="419">
        <v>0.23535381775068351</v>
      </c>
      <c r="Z58" s="418">
        <v>0</v>
      </c>
      <c r="AA58" s="418">
        <v>0.12832818152112666</v>
      </c>
      <c r="AB58" s="419">
        <v>0.3210321472578575</v>
      </c>
      <c r="AC58" s="417">
        <v>0</v>
      </c>
      <c r="AD58" s="418">
        <v>1.0121544269844733</v>
      </c>
      <c r="AE58" s="419">
        <v>0.80972354158757853</v>
      </c>
      <c r="AF58" s="420"/>
      <c r="AG58" s="420"/>
      <c r="AH58" s="421"/>
      <c r="AI58" s="417">
        <v>0</v>
      </c>
      <c r="AJ58" s="418">
        <v>0.43257777335862335</v>
      </c>
      <c r="AK58" s="419">
        <v>0.43257777335862335</v>
      </c>
      <c r="AL58" s="418">
        <v>0</v>
      </c>
      <c r="AM58" s="418">
        <v>0</v>
      </c>
      <c r="AN58" s="419">
        <v>0</v>
      </c>
      <c r="AO58" s="417">
        <v>0</v>
      </c>
      <c r="AP58" s="418">
        <v>0</v>
      </c>
      <c r="AQ58" s="419">
        <v>0</v>
      </c>
    </row>
    <row r="59" spans="1:43" ht="17.25">
      <c r="A59" s="24" t="s">
        <v>66</v>
      </c>
      <c r="B59" s="417">
        <v>0</v>
      </c>
      <c r="C59" s="418">
        <v>0</v>
      </c>
      <c r="D59" s="419">
        <v>0</v>
      </c>
      <c r="E59" s="417">
        <v>0</v>
      </c>
      <c r="F59" s="418">
        <v>0</v>
      </c>
      <c r="G59" s="419">
        <v>0</v>
      </c>
      <c r="H59" s="418">
        <v>0</v>
      </c>
      <c r="I59" s="418">
        <v>0</v>
      </c>
      <c r="J59" s="419">
        <v>0</v>
      </c>
      <c r="K59" s="417">
        <v>0</v>
      </c>
      <c r="L59" s="418">
        <v>0</v>
      </c>
      <c r="M59" s="419">
        <v>0</v>
      </c>
      <c r="N59" s="418">
        <v>0</v>
      </c>
      <c r="O59" s="418">
        <v>0</v>
      </c>
      <c r="P59" s="419">
        <v>0</v>
      </c>
      <c r="Q59" s="417">
        <v>0</v>
      </c>
      <c r="R59" s="418">
        <v>0</v>
      </c>
      <c r="S59" s="419">
        <v>0</v>
      </c>
      <c r="T59" s="418">
        <v>0</v>
      </c>
      <c r="U59" s="418">
        <v>0</v>
      </c>
      <c r="V59" s="419">
        <v>0</v>
      </c>
      <c r="W59" s="417">
        <v>0</v>
      </c>
      <c r="X59" s="418">
        <v>0</v>
      </c>
      <c r="Y59" s="419">
        <v>0</v>
      </c>
      <c r="Z59" s="418">
        <v>0</v>
      </c>
      <c r="AA59" s="418">
        <v>0</v>
      </c>
      <c r="AB59" s="419">
        <v>0</v>
      </c>
      <c r="AC59" s="417">
        <v>0</v>
      </c>
      <c r="AD59" s="418">
        <v>0</v>
      </c>
      <c r="AE59" s="419">
        <v>0</v>
      </c>
      <c r="AF59" s="420"/>
      <c r="AG59" s="420"/>
      <c r="AH59" s="421"/>
      <c r="AI59" s="417">
        <v>0</v>
      </c>
      <c r="AJ59" s="418">
        <v>0</v>
      </c>
      <c r="AK59" s="419">
        <v>0</v>
      </c>
      <c r="AL59" s="418">
        <v>0</v>
      </c>
      <c r="AM59" s="418">
        <v>0</v>
      </c>
      <c r="AN59" s="419">
        <v>0</v>
      </c>
      <c r="AO59" s="417">
        <v>0</v>
      </c>
      <c r="AP59" s="418">
        <v>0</v>
      </c>
      <c r="AQ59" s="419">
        <v>0</v>
      </c>
    </row>
    <row r="60" spans="1:43">
      <c r="A60" s="24" t="s">
        <v>67</v>
      </c>
      <c r="B60" s="422">
        <v>0</v>
      </c>
      <c r="C60" s="423">
        <v>29.39830773422764</v>
      </c>
      <c r="D60" s="424">
        <v>33.713899647738586</v>
      </c>
      <c r="E60" s="422">
        <v>0</v>
      </c>
      <c r="F60" s="423">
        <v>3.812647593097183</v>
      </c>
      <c r="G60" s="424">
        <v>3.0501180744777474</v>
      </c>
      <c r="H60" s="423">
        <v>0</v>
      </c>
      <c r="I60" s="423">
        <v>5.024403354270377</v>
      </c>
      <c r="J60" s="424">
        <v>5.024403354270377</v>
      </c>
      <c r="K60" s="422">
        <v>0</v>
      </c>
      <c r="L60" s="423">
        <v>11.823149206455669</v>
      </c>
      <c r="M60" s="424">
        <v>23.383561763902367</v>
      </c>
      <c r="N60" s="423">
        <v>0</v>
      </c>
      <c r="O60" s="423">
        <v>6.2342139707461168</v>
      </c>
      <c r="P60" s="424">
        <v>6.2342139707461168</v>
      </c>
      <c r="Q60" s="422">
        <v>0</v>
      </c>
      <c r="R60" s="423">
        <v>6.8072254518520605</v>
      </c>
      <c r="S60" s="424">
        <v>13.38272951398419</v>
      </c>
      <c r="T60" s="423">
        <v>0</v>
      </c>
      <c r="U60" s="423">
        <v>8.5864133435804302</v>
      </c>
      <c r="V60" s="424">
        <v>8.5864133435804302</v>
      </c>
      <c r="W60" s="422">
        <v>0</v>
      </c>
      <c r="X60" s="423">
        <v>7.7567374647756138</v>
      </c>
      <c r="Y60" s="424">
        <v>9.1255734879713124</v>
      </c>
      <c r="Z60" s="423">
        <v>0</v>
      </c>
      <c r="AA60" s="423">
        <v>0</v>
      </c>
      <c r="AB60" s="424">
        <v>0</v>
      </c>
      <c r="AC60" s="422">
        <v>0</v>
      </c>
      <c r="AD60" s="423">
        <v>6.7132210810684914</v>
      </c>
      <c r="AE60" s="424">
        <v>6.7132210810684914</v>
      </c>
      <c r="AF60" s="425"/>
      <c r="AG60" s="425"/>
      <c r="AH60" s="426"/>
      <c r="AI60" s="422">
        <v>0</v>
      </c>
      <c r="AJ60" s="423">
        <v>0</v>
      </c>
      <c r="AK60" s="424">
        <v>0</v>
      </c>
      <c r="AL60" s="423">
        <v>0</v>
      </c>
      <c r="AM60" s="423">
        <v>0</v>
      </c>
      <c r="AN60" s="424">
        <v>0</v>
      </c>
      <c r="AO60" s="422">
        <v>0</v>
      </c>
      <c r="AP60" s="423">
        <v>0</v>
      </c>
      <c r="AQ60" s="424">
        <v>0</v>
      </c>
    </row>
    <row r="62" spans="1:43">
      <c r="A62" s="41" t="s">
        <v>68</v>
      </c>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row>
    <row r="64" spans="1:43">
      <c r="A64" s="14" t="s">
        <v>69</v>
      </c>
      <c r="B64" s="15"/>
      <c r="C64" s="16"/>
      <c r="D64" s="16"/>
      <c r="E64" s="16"/>
      <c r="F64" s="16"/>
      <c r="G64" s="3"/>
      <c r="H64" s="3"/>
      <c r="I64" s="3"/>
      <c r="K64" s="6"/>
      <c r="L64" s="3"/>
      <c r="M64" s="633" t="s">
        <v>35</v>
      </c>
      <c r="N64" s="633"/>
      <c r="O64" s="634" t="s">
        <v>70</v>
      </c>
      <c r="P64" s="634"/>
      <c r="Q64" s="634" t="s">
        <v>71</v>
      </c>
      <c r="R64" s="634"/>
      <c r="S64" s="634"/>
    </row>
    <row r="65" spans="1:19">
      <c r="A65" s="7"/>
      <c r="B65" s="3"/>
      <c r="C65" s="3"/>
      <c r="D65" s="3"/>
      <c r="E65" s="3"/>
      <c r="F65" s="634" t="s">
        <v>26</v>
      </c>
      <c r="G65" s="634"/>
      <c r="H65" s="634" t="s">
        <v>27</v>
      </c>
      <c r="I65" s="634"/>
      <c r="K65" s="6"/>
      <c r="L65" s="3"/>
      <c r="M65" s="4" t="s">
        <v>26</v>
      </c>
      <c r="N65" s="8" t="s">
        <v>27</v>
      </c>
      <c r="O65" s="8" t="s">
        <v>26</v>
      </c>
      <c r="P65" s="8" t="s">
        <v>27</v>
      </c>
      <c r="Q65" s="8" t="s">
        <v>26</v>
      </c>
      <c r="R65" s="8" t="s">
        <v>27</v>
      </c>
      <c r="S65" s="8" t="s">
        <v>72</v>
      </c>
    </row>
    <row r="66" spans="1:19">
      <c r="A66" s="7"/>
      <c r="B66" s="3"/>
      <c r="C66" s="3"/>
      <c r="D66" s="3"/>
      <c r="E66" s="3"/>
      <c r="F66" s="3">
        <v>2040</v>
      </c>
      <c r="G66" s="17">
        <v>2050</v>
      </c>
      <c r="H66" s="3">
        <v>2040</v>
      </c>
      <c r="I66" s="17">
        <v>2050</v>
      </c>
      <c r="K66" s="29" t="s">
        <v>38</v>
      </c>
      <c r="M66" s="448">
        <f>C40</f>
        <v>311.11205800135662</v>
      </c>
      <c r="N66" s="448">
        <f>D40</f>
        <v>459.43986544117706</v>
      </c>
      <c r="O66" s="427">
        <f>M66*$F$72</f>
        <v>172.01778222614712</v>
      </c>
      <c r="P66" s="427">
        <f>N66*$H$72</f>
        <v>225.51218084579901</v>
      </c>
      <c r="Q66" s="427">
        <f>M66-O66</f>
        <v>139.0942757752095</v>
      </c>
      <c r="R66" s="427">
        <f>N66-P66</f>
        <v>233.92768459537805</v>
      </c>
      <c r="S66" s="428">
        <v>118.086</v>
      </c>
    </row>
    <row r="67" spans="1:19">
      <c r="A67" s="630" t="s">
        <v>71</v>
      </c>
      <c r="B67" s="387" t="s">
        <v>73</v>
      </c>
      <c r="C67" s="387"/>
      <c r="D67" s="387"/>
      <c r="E67" s="387"/>
      <c r="F67" s="449">
        <v>468.60405229702383</v>
      </c>
      <c r="G67" s="393">
        <v>223.45256481907882</v>
      </c>
      <c r="H67" s="449">
        <v>474.8694838274364</v>
      </c>
      <c r="I67" s="394">
        <v>457.10804500834865</v>
      </c>
      <c r="K67" s="29" t="s">
        <v>39</v>
      </c>
      <c r="M67" s="448">
        <f>F40</f>
        <v>46.335232901020952</v>
      </c>
      <c r="N67" s="448">
        <f>G40</f>
        <v>52.259539647193108</v>
      </c>
      <c r="O67" s="427">
        <f t="shared" ref="O67:O75" si="18">M67*$F$72</f>
        <v>25.619334891002115</v>
      </c>
      <c r="P67" s="427">
        <f t="shared" ref="P67:P79" si="19">N67*$H$72</f>
        <v>25.651154029742969</v>
      </c>
      <c r="Q67" s="427"/>
      <c r="R67" s="427"/>
      <c r="S67" s="428"/>
    </row>
    <row r="68" spans="1:19">
      <c r="A68" s="631"/>
      <c r="B68" s="390" t="s">
        <v>74</v>
      </c>
      <c r="C68" s="390"/>
      <c r="D68" s="390"/>
      <c r="E68" s="390"/>
      <c r="F68" s="450">
        <v>340</v>
      </c>
      <c r="G68" s="395">
        <v>684</v>
      </c>
      <c r="H68" s="450">
        <v>550</v>
      </c>
      <c r="I68" s="396">
        <v>1000</v>
      </c>
      <c r="K68" s="29" t="s">
        <v>75</v>
      </c>
      <c r="M68" s="448">
        <f>I40</f>
        <v>130.72223683333578</v>
      </c>
      <c r="N68" s="448">
        <f>J40</f>
        <v>132.56068832706404</v>
      </c>
      <c r="O68" s="427">
        <f t="shared" si="18"/>
        <v>72.277974091295192</v>
      </c>
      <c r="P68" s="427">
        <f t="shared" si="19"/>
        <v>65.066295216569216</v>
      </c>
      <c r="Q68" s="427"/>
      <c r="R68" s="427"/>
      <c r="S68" s="428"/>
    </row>
    <row r="69" spans="1:19">
      <c r="A69" s="630" t="s">
        <v>76</v>
      </c>
      <c r="B69" s="387" t="s">
        <v>77</v>
      </c>
      <c r="C69" s="387"/>
      <c r="D69" s="387"/>
      <c r="E69" s="387"/>
      <c r="F69" s="449">
        <v>0</v>
      </c>
      <c r="G69" s="393">
        <v>0</v>
      </c>
      <c r="H69" s="449">
        <v>0</v>
      </c>
      <c r="I69" s="394">
        <v>0</v>
      </c>
      <c r="K69" s="29" t="s">
        <v>41</v>
      </c>
      <c r="M69" s="448">
        <f>L40</f>
        <v>74.088729504784894</v>
      </c>
      <c r="N69" s="448">
        <f>M40</f>
        <v>120.7218845989386</v>
      </c>
      <c r="O69" s="427">
        <f t="shared" si="18"/>
        <v>40.964593334117687</v>
      </c>
      <c r="P69" s="427">
        <f t="shared" si="19"/>
        <v>59.255318311525784</v>
      </c>
      <c r="Q69" s="427">
        <f t="shared" ref="Q69:R72" si="20">M69-O69</f>
        <v>33.124136170667207</v>
      </c>
      <c r="R69" s="427">
        <f t="shared" si="20"/>
        <v>61.466566287412817</v>
      </c>
      <c r="S69" s="428">
        <v>46.62</v>
      </c>
    </row>
    <row r="70" spans="1:19">
      <c r="A70" s="632"/>
      <c r="B70" s="24" t="s">
        <v>78</v>
      </c>
      <c r="F70" s="451">
        <v>87</v>
      </c>
      <c r="G70" s="397">
        <v>0</v>
      </c>
      <c r="H70" s="451">
        <v>184</v>
      </c>
      <c r="I70" s="398">
        <v>138</v>
      </c>
      <c r="K70" s="29" t="s">
        <v>42</v>
      </c>
      <c r="M70" s="448">
        <f>O40</f>
        <v>54.821574645440514</v>
      </c>
      <c r="N70" s="448">
        <f>P40</f>
        <v>89.312002815147437</v>
      </c>
      <c r="O70" s="427">
        <f t="shared" si="18"/>
        <v>30.311540315202869</v>
      </c>
      <c r="P70" s="427">
        <f t="shared" si="19"/>
        <v>43.838042898627663</v>
      </c>
      <c r="Q70" s="427"/>
      <c r="R70" s="427"/>
      <c r="S70" s="428"/>
    </row>
    <row r="71" spans="1:19">
      <c r="A71" s="631"/>
      <c r="B71" s="390" t="s">
        <v>79</v>
      </c>
      <c r="C71" s="390"/>
      <c r="D71" s="390"/>
      <c r="E71" s="390"/>
      <c r="F71" s="450">
        <v>913</v>
      </c>
      <c r="G71" s="395">
        <v>1385</v>
      </c>
      <c r="H71" s="450">
        <v>804</v>
      </c>
      <c r="I71" s="396">
        <v>1388</v>
      </c>
      <c r="K71" s="29" t="s">
        <v>43</v>
      </c>
      <c r="M71" s="448">
        <f>R40</f>
        <v>54.721491568284463</v>
      </c>
      <c r="N71" s="448">
        <f>S40</f>
        <v>111.41957375845183</v>
      </c>
      <c r="O71" s="427">
        <f t="shared" si="18"/>
        <v>30.256203119076975</v>
      </c>
      <c r="P71" s="427">
        <f t="shared" si="19"/>
        <v>54.689357535507156</v>
      </c>
      <c r="Q71" s="427"/>
      <c r="R71" s="427"/>
      <c r="S71" s="428"/>
    </row>
    <row r="72" spans="1:19">
      <c r="A72" s="399" t="s">
        <v>80</v>
      </c>
      <c r="B72" s="400"/>
      <c r="C72" s="400"/>
      <c r="D72" s="400"/>
      <c r="E72" s="400"/>
      <c r="F72" s="452">
        <f>SUM(F69:F71)/SUM(F67:F71)</f>
        <v>0.55291261718116058</v>
      </c>
      <c r="G72" s="401">
        <f t="shared" ref="G72:I72" si="21">SUM(G69:G71)/SUM(G67:G71)</f>
        <v>0.60415644853672457</v>
      </c>
      <c r="H72" s="452">
        <f t="shared" si="21"/>
        <v>0.49084156123293954</v>
      </c>
      <c r="I72" s="402">
        <f t="shared" si="21"/>
        <v>0.51154700968792077</v>
      </c>
      <c r="K72" s="29" t="s">
        <v>44</v>
      </c>
      <c r="M72" s="448">
        <f>U40</f>
        <v>39.690943360222448</v>
      </c>
      <c r="N72" s="448">
        <f>V40</f>
        <v>72.042696364184295</v>
      </c>
      <c r="O72" s="427">
        <f t="shared" si="18"/>
        <v>21.945623371689802</v>
      </c>
      <c r="P72" s="427">
        <f t="shared" si="19"/>
        <v>35.361549558826837</v>
      </c>
      <c r="Q72" s="427">
        <f t="shared" si="20"/>
        <v>17.745319988532646</v>
      </c>
      <c r="R72" s="427">
        <f t="shared" si="20"/>
        <v>36.681146805357457</v>
      </c>
      <c r="S72" s="428">
        <v>20</v>
      </c>
    </row>
    <row r="73" spans="1:19">
      <c r="A73" s="29"/>
      <c r="B73" s="28"/>
      <c r="K73" s="29" t="s">
        <v>45</v>
      </c>
      <c r="M73" s="448">
        <f>X40</f>
        <v>36.960263907034189</v>
      </c>
      <c r="N73" s="448">
        <f>Y40</f>
        <v>56.067785207810431</v>
      </c>
      <c r="O73" s="427">
        <f t="shared" si="18"/>
        <v>20.435796248544662</v>
      </c>
      <c r="P73" s="427">
        <f t="shared" si="19"/>
        <v>27.520399226274787</v>
      </c>
      <c r="Q73" s="428"/>
      <c r="R73" s="428"/>
      <c r="S73" s="428"/>
    </row>
    <row r="74" spans="1:19">
      <c r="A74" s="30"/>
      <c r="B74" s="31"/>
      <c r="K74" s="29" t="s">
        <v>46</v>
      </c>
      <c r="M74" s="448">
        <f>AA40</f>
        <v>7.3503727615762235</v>
      </c>
      <c r="N74" s="448">
        <f>AB40</f>
        <v>8.3683482891023822</v>
      </c>
      <c r="O74" s="427">
        <f t="shared" si="18"/>
        <v>4.0641138408602249</v>
      </c>
      <c r="P74" s="427">
        <f t="shared" si="19"/>
        <v>4.107533139164012</v>
      </c>
      <c r="Q74" s="428"/>
      <c r="R74" s="428"/>
      <c r="S74" s="428"/>
    </row>
    <row r="75" spans="1:19">
      <c r="A75" s="29"/>
      <c r="B75" s="28"/>
      <c r="K75" s="29" t="s">
        <v>47</v>
      </c>
      <c r="M75" s="448">
        <f>AD40</f>
        <v>25.879323426057109</v>
      </c>
      <c r="N75" s="448">
        <f>AE40</f>
        <v>33.968225953407867</v>
      </c>
      <c r="O75" s="427">
        <f t="shared" si="18"/>
        <v>14.309004446378955</v>
      </c>
      <c r="P75" s="427">
        <f t="shared" si="19"/>
        <v>16.673017059283975</v>
      </c>
      <c r="Q75" s="428"/>
      <c r="R75" s="428"/>
      <c r="S75" s="428"/>
    </row>
    <row r="76" spans="1:19">
      <c r="A76" s="29"/>
      <c r="B76" s="32"/>
      <c r="K76" s="29" t="s">
        <v>48</v>
      </c>
      <c r="M76" s="448"/>
      <c r="N76" s="448"/>
      <c r="O76" s="427"/>
      <c r="P76" s="427"/>
      <c r="Q76" s="428"/>
      <c r="R76" s="428"/>
      <c r="S76" s="428"/>
    </row>
    <row r="77" spans="1:19">
      <c r="A77" s="29"/>
      <c r="B77" s="32"/>
      <c r="K77" s="29" t="s">
        <v>49</v>
      </c>
      <c r="M77" s="448">
        <f>AJ40</f>
        <v>10.859895060473843</v>
      </c>
      <c r="N77" s="448">
        <f>AK40</f>
        <v>12.318739056970907</v>
      </c>
      <c r="O77" s="427">
        <f>M77*$F$72</f>
        <v>6.0045730001993505</v>
      </c>
      <c r="P77" s="427">
        <f t="shared" si="19"/>
        <v>6.0465491111447891</v>
      </c>
      <c r="Q77" s="428"/>
      <c r="R77" s="428"/>
      <c r="S77" s="428"/>
    </row>
    <row r="78" spans="1:19">
      <c r="A78" s="29"/>
      <c r="B78" s="32"/>
      <c r="K78" s="29" t="s">
        <v>50</v>
      </c>
      <c r="M78" s="448">
        <f>AM40</f>
        <v>1.1363240447190652</v>
      </c>
      <c r="N78" s="448">
        <f>AN40</f>
        <v>3.0216700064004947</v>
      </c>
      <c r="O78" s="427">
        <f t="shared" ref="O78:O79" si="22">M78*$F$72</f>
        <v>0.62828790153150049</v>
      </c>
      <c r="P78" s="427">
        <f t="shared" si="19"/>
        <v>1.4831612234723652</v>
      </c>
      <c r="Q78" s="428"/>
      <c r="R78" s="428"/>
      <c r="S78" s="428"/>
    </row>
    <row r="79" spans="1:19">
      <c r="A79" s="33"/>
      <c r="K79" s="29" t="s">
        <v>51</v>
      </c>
      <c r="M79" s="448">
        <f>AP40</f>
        <v>0.88299880190449964</v>
      </c>
      <c r="N79" s="448">
        <f>AQ40</f>
        <v>0.90487307825286611</v>
      </c>
      <c r="O79" s="427">
        <f t="shared" si="22"/>
        <v>0.48822117852884606</v>
      </c>
      <c r="P79" s="427">
        <f t="shared" si="19"/>
        <v>0.44414931444729266</v>
      </c>
      <c r="Q79" s="428"/>
      <c r="R79" s="428"/>
      <c r="S79" s="428"/>
    </row>
    <row r="80" spans="1:19">
      <c r="A80" s="29"/>
      <c r="B80" s="28"/>
    </row>
    <row r="81" spans="1:43">
      <c r="A81" s="13" t="s">
        <v>81</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row>
    <row r="82" spans="1:43">
      <c r="A82" s="24" t="s">
        <v>82</v>
      </c>
    </row>
    <row r="84" spans="1:43">
      <c r="A84" s="5" t="s">
        <v>83</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row>
    <row r="85" spans="1:43">
      <c r="A85" s="24" t="s">
        <v>10</v>
      </c>
    </row>
    <row r="87" spans="1:43">
      <c r="B87" s="627" t="s">
        <v>11</v>
      </c>
      <c r="C87" s="627"/>
      <c r="D87" s="627"/>
      <c r="E87" s="627" t="s">
        <v>12</v>
      </c>
      <c r="F87" s="627"/>
      <c r="G87" s="627"/>
      <c r="H87" s="627" t="s">
        <v>84</v>
      </c>
      <c r="I87" s="627"/>
      <c r="J87" s="627"/>
      <c r="K87" s="627" t="s">
        <v>14</v>
      </c>
      <c r="L87" s="627"/>
      <c r="M87" s="627"/>
      <c r="N87" s="627" t="s">
        <v>15</v>
      </c>
      <c r="O87" s="627"/>
      <c r="P87" s="627"/>
      <c r="Q87" s="627" t="s">
        <v>16</v>
      </c>
      <c r="R87" s="627"/>
      <c r="S87" s="627"/>
      <c r="T87" s="627" t="s">
        <v>17</v>
      </c>
      <c r="U87" s="627"/>
      <c r="V87" s="627"/>
      <c r="W87" s="627" t="s">
        <v>18</v>
      </c>
      <c r="X87" s="627"/>
      <c r="Y87" s="627"/>
      <c r="Z87" s="627" t="s">
        <v>19</v>
      </c>
      <c r="AA87" s="627"/>
      <c r="AB87" s="627"/>
      <c r="AC87" s="627" t="s">
        <v>20</v>
      </c>
      <c r="AD87" s="627"/>
      <c r="AE87" s="627"/>
      <c r="AF87" s="627" t="s">
        <v>85</v>
      </c>
      <c r="AG87" s="627"/>
      <c r="AH87" s="627"/>
      <c r="AI87" s="627" t="s">
        <v>22</v>
      </c>
      <c r="AJ87" s="627"/>
      <c r="AK87" s="627"/>
      <c r="AL87" s="627" t="s">
        <v>23</v>
      </c>
      <c r="AM87" s="627"/>
      <c r="AN87" s="627"/>
      <c r="AO87" s="627" t="s">
        <v>24</v>
      </c>
      <c r="AP87" s="627"/>
      <c r="AQ87" s="627"/>
    </row>
    <row r="88" spans="1:43">
      <c r="A88" s="27"/>
      <c r="B88" s="386" t="s">
        <v>25</v>
      </c>
      <c r="C88" s="386" t="s">
        <v>26</v>
      </c>
      <c r="D88" s="386" t="s">
        <v>27</v>
      </c>
      <c r="E88" s="386" t="s">
        <v>25</v>
      </c>
      <c r="F88" s="386" t="s">
        <v>26</v>
      </c>
      <c r="G88" s="386" t="s">
        <v>27</v>
      </c>
      <c r="H88" s="386" t="s">
        <v>25</v>
      </c>
      <c r="I88" s="386" t="s">
        <v>26</v>
      </c>
      <c r="J88" s="386" t="s">
        <v>27</v>
      </c>
      <c r="K88" s="386" t="s">
        <v>25</v>
      </c>
      <c r="L88" s="386" t="s">
        <v>26</v>
      </c>
      <c r="M88" s="386" t="s">
        <v>27</v>
      </c>
      <c r="N88" s="386" t="s">
        <v>25</v>
      </c>
      <c r="O88" s="386" t="s">
        <v>26</v>
      </c>
      <c r="P88" s="386" t="s">
        <v>27</v>
      </c>
      <c r="Q88" s="386" t="s">
        <v>25</v>
      </c>
      <c r="R88" s="386" t="s">
        <v>26</v>
      </c>
      <c r="S88" s="386" t="s">
        <v>27</v>
      </c>
      <c r="T88" s="386" t="s">
        <v>25</v>
      </c>
      <c r="U88" s="386" t="s">
        <v>26</v>
      </c>
      <c r="V88" s="386" t="s">
        <v>27</v>
      </c>
      <c r="W88" s="386" t="s">
        <v>25</v>
      </c>
      <c r="X88" s="386" t="s">
        <v>26</v>
      </c>
      <c r="Y88" s="386" t="s">
        <v>27</v>
      </c>
      <c r="Z88" s="386" t="s">
        <v>25</v>
      </c>
      <c r="AA88" s="386" t="s">
        <v>26</v>
      </c>
      <c r="AB88" s="386" t="s">
        <v>27</v>
      </c>
      <c r="AC88" s="386" t="s">
        <v>25</v>
      </c>
      <c r="AD88" s="386" t="s">
        <v>26</v>
      </c>
      <c r="AE88" s="386" t="s">
        <v>27</v>
      </c>
      <c r="AF88" s="386" t="s">
        <v>25</v>
      </c>
      <c r="AG88" s="386" t="s">
        <v>26</v>
      </c>
      <c r="AH88" s="386" t="s">
        <v>27</v>
      </c>
      <c r="AI88" s="386" t="s">
        <v>25</v>
      </c>
      <c r="AJ88" s="386" t="s">
        <v>26</v>
      </c>
      <c r="AK88" s="386" t="s">
        <v>27</v>
      </c>
      <c r="AL88" s="386" t="s">
        <v>25</v>
      </c>
      <c r="AM88" s="386" t="s">
        <v>26</v>
      </c>
      <c r="AN88" s="386" t="s">
        <v>27</v>
      </c>
      <c r="AO88" s="386" t="s">
        <v>25</v>
      </c>
      <c r="AP88" s="386" t="s">
        <v>26</v>
      </c>
      <c r="AQ88" s="386" t="s">
        <v>27</v>
      </c>
    </row>
    <row r="89" spans="1:43">
      <c r="A89" s="29" t="s">
        <v>28</v>
      </c>
      <c r="B89" s="406">
        <v>125.26950242051855</v>
      </c>
      <c r="C89" s="413">
        <f t="shared" ref="C89:C95" si="23">B18+(C18-B18)*16/21</f>
        <v>153.66758177112899</v>
      </c>
      <c r="D89" s="414">
        <f t="shared" ref="D89:D95" si="24">B18+(D18-B18)*16/21</f>
        <v>176.07309495123462</v>
      </c>
      <c r="E89" s="406">
        <v>147.54933996614554</v>
      </c>
      <c r="F89" s="413">
        <f t="shared" ref="F89:F95" si="25">E18+(F18-E18)*16/21</f>
        <v>143.99635544196605</v>
      </c>
      <c r="G89" s="414">
        <f t="shared" ref="G89:G95" si="26">E18+(G18-E18)*16/21</f>
        <v>143.81467752220593</v>
      </c>
      <c r="H89" s="407">
        <v>105.41376793036197</v>
      </c>
      <c r="I89" s="413">
        <f t="shared" ref="I89:I95" si="27">H18+(I18-H18)*16/21</f>
        <v>121.41605975253874</v>
      </c>
      <c r="J89" s="414">
        <f t="shared" ref="J89:J95" si="28">H18+(J18-H18)*16/21</f>
        <v>121.79852657048987</v>
      </c>
      <c r="K89" s="406">
        <v>72.986245663576753</v>
      </c>
      <c r="L89" s="413">
        <f t="shared" ref="L89:L95" si="29">K18+(L18-K18)*16/21</f>
        <v>78.215123032494148</v>
      </c>
      <c r="M89" s="414">
        <f t="shared" ref="M89:M95" si="30">K18+(M18-K18)*16/21</f>
        <v>84.317743267810741</v>
      </c>
      <c r="N89" s="406">
        <v>27.808623684300141</v>
      </c>
      <c r="O89" s="413">
        <f t="shared" ref="O89:O95" si="31">N18+(O18-N18)*16/21</f>
        <v>36.011125659036281</v>
      </c>
      <c r="P89" s="414">
        <f t="shared" ref="P89:P95" si="32">N18+(P18-N18)*16/21</f>
        <v>31.43780859917582</v>
      </c>
      <c r="Q89" s="406">
        <v>23.020608525803496</v>
      </c>
      <c r="R89" s="413">
        <f t="shared" ref="R89:R95" si="33">Q18+(R18-Q18)*16/21</f>
        <v>29.7909978577392</v>
      </c>
      <c r="S89" s="414">
        <f t="shared" ref="S89:S95" si="34">Q18+(S18-Q18)*16/21</f>
        <v>30.402566154165022</v>
      </c>
      <c r="T89" s="406">
        <v>16.848878942666087</v>
      </c>
      <c r="U89" s="413">
        <f t="shared" ref="U89:U95" si="35">T18+(U18-T18)*16/21</f>
        <v>21.497694411829968</v>
      </c>
      <c r="V89" s="414">
        <f t="shared" ref="V89:V95" si="36">T18+(V18-T18)*16/21</f>
        <v>20.804104187278824</v>
      </c>
      <c r="W89" s="406">
        <v>45.961397149719552</v>
      </c>
      <c r="X89" s="413">
        <f t="shared" ref="X89:X95" si="37">W18+(X18-W18)*16/21</f>
        <v>41.906182068955047</v>
      </c>
      <c r="Y89" s="414">
        <f t="shared" ref="Y89:Y95" si="38">W18+(Y18-W18)*16/21</f>
        <v>40.146627118559557</v>
      </c>
      <c r="Z89" s="406">
        <v>9.758237114062764</v>
      </c>
      <c r="AA89" s="413">
        <f t="shared" ref="AA89:AA95" si="39">Z18+(AA18-Z18)*16/21</f>
        <v>9.7006107218584283</v>
      </c>
      <c r="AB89" s="414">
        <f t="shared" ref="AB89:AB95" si="40">Z18+(AB18-Z18)*16/21</f>
        <v>9.7792240616378034</v>
      </c>
      <c r="AC89" s="406">
        <v>24.142483306732149</v>
      </c>
      <c r="AD89" s="413">
        <f t="shared" ref="AD89:AD95" si="41">AC18+(AD18-AC18)*16/21</f>
        <v>28.469495522034578</v>
      </c>
      <c r="AE89" s="414">
        <f t="shared" ref="AE89:AE95" si="42">AC18+(AE18-AC18)*16/21</f>
        <v>30.000488178130617</v>
      </c>
      <c r="AF89" s="403"/>
      <c r="AG89" s="387"/>
      <c r="AH89" s="388"/>
      <c r="AI89" s="406">
        <v>2.9127387221315666</v>
      </c>
      <c r="AJ89" s="413">
        <f t="shared" ref="AJ89:AJ95" si="43">AI18+(AJ18-AI18)*16/21</f>
        <v>2.8098723762644182</v>
      </c>
      <c r="AK89" s="414">
        <f t="shared" ref="AK89:AK95" si="44">AI18+(AK18-AI18)*16/21</f>
        <v>2.4378428248185458</v>
      </c>
      <c r="AL89" s="406">
        <v>1.6523386281414354</v>
      </c>
      <c r="AM89" s="413">
        <f t="shared" ref="AM89:AM95" si="45">AL18+(AM18-AL18)*16/21</f>
        <v>1.9358977129058608</v>
      </c>
      <c r="AN89" s="414">
        <f t="shared" ref="AN89:AN95" si="46">AL18+(AN18-AL18)*16/21</f>
        <v>1.5983181514344491</v>
      </c>
      <c r="AO89" s="406">
        <v>2.111576813110585</v>
      </c>
      <c r="AP89" s="413">
        <f t="shared" ref="AP89:AP95" si="47">AO18+(AP18-AO18)*16/21</f>
        <v>2.6827496882992818</v>
      </c>
      <c r="AQ89" s="414">
        <f t="shared" ref="AQ89:AQ95" si="48">AO18+(AQ18-AO18)*16/21</f>
        <v>2.6188318003285431</v>
      </c>
    </row>
    <row r="90" spans="1:43">
      <c r="A90" s="29" t="s">
        <v>29</v>
      </c>
      <c r="B90" s="408">
        <v>112.18381084093178</v>
      </c>
      <c r="C90" s="418">
        <f t="shared" si="23"/>
        <v>105.14895832788002</v>
      </c>
      <c r="D90" s="419">
        <f t="shared" si="24"/>
        <v>106.23954547971701</v>
      </c>
      <c r="E90" s="408">
        <v>127.44248196798941</v>
      </c>
      <c r="F90" s="418">
        <f t="shared" si="25"/>
        <v>93.880768058074182</v>
      </c>
      <c r="G90" s="419">
        <f t="shared" si="26"/>
        <v>93.881146805198682</v>
      </c>
      <c r="H90" s="409">
        <v>89.178913906190502</v>
      </c>
      <c r="I90" s="418">
        <f t="shared" si="27"/>
        <v>103.48243159346795</v>
      </c>
      <c r="J90" s="419">
        <f t="shared" si="28"/>
        <v>82.968115051684762</v>
      </c>
      <c r="K90" s="408">
        <v>68.405060171341333</v>
      </c>
      <c r="L90" s="418">
        <f t="shared" si="29"/>
        <v>57.051533750861694</v>
      </c>
      <c r="M90" s="419">
        <f t="shared" si="30"/>
        <v>57.107080128706642</v>
      </c>
      <c r="N90" s="408">
        <v>44.395861473465111</v>
      </c>
      <c r="O90" s="418">
        <f t="shared" si="31"/>
        <v>37.582164295274382</v>
      </c>
      <c r="P90" s="419">
        <f t="shared" si="32"/>
        <v>38.199255145958823</v>
      </c>
      <c r="Q90" s="408">
        <v>32.629185559677026</v>
      </c>
      <c r="R90" s="418">
        <f t="shared" si="33"/>
        <v>28.311441247641774</v>
      </c>
      <c r="S90" s="419">
        <f t="shared" si="34"/>
        <v>31.67865400647764</v>
      </c>
      <c r="T90" s="408">
        <v>19.90063035145856</v>
      </c>
      <c r="U90" s="418">
        <f t="shared" si="35"/>
        <v>19.093401415301642</v>
      </c>
      <c r="V90" s="419">
        <f t="shared" si="36"/>
        <v>18.593163704408006</v>
      </c>
      <c r="W90" s="408">
        <v>25.860808652649304</v>
      </c>
      <c r="X90" s="418">
        <f t="shared" si="37"/>
        <v>21.775450134982655</v>
      </c>
      <c r="Y90" s="419">
        <f t="shared" si="38"/>
        <v>21.152054174879538</v>
      </c>
      <c r="Z90" s="408">
        <v>8.5369914127732667</v>
      </c>
      <c r="AA90" s="418">
        <f t="shared" si="39"/>
        <v>8.3422871720744052</v>
      </c>
      <c r="AB90" s="419">
        <f t="shared" si="40"/>
        <v>8.137300857866407</v>
      </c>
      <c r="AC90" s="408">
        <v>18.496723118567548</v>
      </c>
      <c r="AD90" s="418">
        <f t="shared" si="41"/>
        <v>16.799815154664365</v>
      </c>
      <c r="AE90" s="419">
        <f t="shared" si="42"/>
        <v>17.913485428676417</v>
      </c>
      <c r="AF90" s="404"/>
      <c r="AH90" s="389"/>
      <c r="AI90" s="408">
        <v>3.0953999568750752</v>
      </c>
      <c r="AJ90" s="418">
        <f t="shared" si="43"/>
        <v>2.8988923282763537</v>
      </c>
      <c r="AK90" s="419">
        <f t="shared" si="44"/>
        <v>2.91807564740331</v>
      </c>
      <c r="AL90" s="408">
        <v>2.4259820996468116</v>
      </c>
      <c r="AM90" s="418">
        <f t="shared" si="45"/>
        <v>2.1452329862932045</v>
      </c>
      <c r="AN90" s="419">
        <f t="shared" si="46"/>
        <v>2.1629604972400815</v>
      </c>
      <c r="AO90" s="408">
        <v>2.6073906524463841</v>
      </c>
      <c r="AP90" s="418">
        <f t="shared" si="47"/>
        <v>2.503677606404938</v>
      </c>
      <c r="AQ90" s="419">
        <f t="shared" si="48"/>
        <v>2.4616749384394776</v>
      </c>
    </row>
    <row r="91" spans="1:43">
      <c r="A91" s="29" t="s">
        <v>30</v>
      </c>
      <c r="B91" s="408">
        <v>252.63388888901002</v>
      </c>
      <c r="C91" s="418">
        <f t="shared" si="23"/>
        <v>368.57120781406013</v>
      </c>
      <c r="D91" s="419">
        <f t="shared" si="24"/>
        <v>247.41076741074411</v>
      </c>
      <c r="E91" s="408">
        <v>135.61282805559642</v>
      </c>
      <c r="F91" s="418">
        <f t="shared" si="25"/>
        <v>154.15362384365207</v>
      </c>
      <c r="G91" s="419">
        <f t="shared" si="26"/>
        <v>146.34564392105131</v>
      </c>
      <c r="H91" s="409">
        <v>99.852868611171687</v>
      </c>
      <c r="I91" s="418">
        <f t="shared" si="27"/>
        <v>101.4489567490502</v>
      </c>
      <c r="J91" s="419">
        <f t="shared" si="28"/>
        <v>99.213307672515313</v>
      </c>
      <c r="K91" s="408">
        <v>89.951833333411074</v>
      </c>
      <c r="L91" s="418">
        <f t="shared" si="29"/>
        <v>88.032615671732771</v>
      </c>
      <c r="M91" s="419">
        <f t="shared" si="30"/>
        <v>71.658619228718706</v>
      </c>
      <c r="N91" s="408">
        <v>73.352501666753241</v>
      </c>
      <c r="O91" s="418">
        <f t="shared" si="31"/>
        <v>84.969825301527095</v>
      </c>
      <c r="P91" s="419">
        <f t="shared" si="32"/>
        <v>76.028781357993708</v>
      </c>
      <c r="Q91" s="408">
        <v>45.331309203355609</v>
      </c>
      <c r="R91" s="418">
        <f t="shared" si="33"/>
        <v>90.665983769990845</v>
      </c>
      <c r="S91" s="419">
        <f t="shared" si="34"/>
        <v>70.04149139775582</v>
      </c>
      <c r="T91" s="408">
        <v>41.908422222246053</v>
      </c>
      <c r="U91" s="418">
        <f t="shared" si="35"/>
        <v>71.490567500696272</v>
      </c>
      <c r="V91" s="419">
        <f t="shared" si="36"/>
        <v>66.969203311349759</v>
      </c>
      <c r="W91" s="408">
        <v>55.423944444485777</v>
      </c>
      <c r="X91" s="418">
        <f t="shared" si="37"/>
        <v>106.76237665245722</v>
      </c>
      <c r="Y91" s="419">
        <f t="shared" si="38"/>
        <v>93.995079635535774</v>
      </c>
      <c r="Z91" s="408">
        <v>10.935953333337894</v>
      </c>
      <c r="AA91" s="418">
        <f t="shared" si="39"/>
        <v>13.535981127230176</v>
      </c>
      <c r="AB91" s="419">
        <f t="shared" si="40"/>
        <v>7.9496197993009226</v>
      </c>
      <c r="AC91" s="408">
        <v>41.166333333363887</v>
      </c>
      <c r="AD91" s="418">
        <f t="shared" si="41"/>
        <v>75.177526568692485</v>
      </c>
      <c r="AE91" s="419">
        <f t="shared" si="42"/>
        <v>62.180384954316203</v>
      </c>
      <c r="AF91" s="404"/>
      <c r="AH91" s="389"/>
      <c r="AI91" s="408">
        <v>5.1172666666694697</v>
      </c>
      <c r="AJ91" s="418">
        <f t="shared" si="43"/>
        <v>5.4181491630501402</v>
      </c>
      <c r="AK91" s="419">
        <f t="shared" si="44"/>
        <v>4.6013043496110084</v>
      </c>
      <c r="AL91" s="408">
        <v>2.2929183333391974</v>
      </c>
      <c r="AM91" s="418">
        <f t="shared" si="45"/>
        <v>2.3728970707775408</v>
      </c>
      <c r="AN91" s="419">
        <f t="shared" si="46"/>
        <v>2.1848315366412994</v>
      </c>
      <c r="AO91" s="408">
        <v>2.9439000000015945</v>
      </c>
      <c r="AP91" s="418">
        <f t="shared" si="47"/>
        <v>2.3726625009298559</v>
      </c>
      <c r="AQ91" s="419">
        <f t="shared" si="48"/>
        <v>2.2531446659782519</v>
      </c>
    </row>
    <row r="92" spans="1:43">
      <c r="A92" s="29" t="s">
        <v>31</v>
      </c>
      <c r="B92" s="408">
        <v>11.676000000195845</v>
      </c>
      <c r="C92" s="418">
        <f t="shared" si="23"/>
        <v>122.67516084422653</v>
      </c>
      <c r="D92" s="419">
        <f t="shared" si="24"/>
        <v>95.431700691523872</v>
      </c>
      <c r="E92" s="408">
        <v>9.0084611112165938</v>
      </c>
      <c r="F92" s="418">
        <f t="shared" si="25"/>
        <v>69.68915154549444</v>
      </c>
      <c r="G92" s="419">
        <f t="shared" si="26"/>
        <v>66.536495725220462</v>
      </c>
      <c r="H92" s="409">
        <v>6.5071830557322414</v>
      </c>
      <c r="I92" s="418">
        <f t="shared" si="27"/>
        <v>63.381438532765628</v>
      </c>
      <c r="J92" s="419">
        <f t="shared" si="28"/>
        <v>48.757195625433617</v>
      </c>
      <c r="K92" s="408">
        <v>3.7390000001372554</v>
      </c>
      <c r="L92" s="418">
        <f t="shared" si="29"/>
        <v>61.552446151668654</v>
      </c>
      <c r="M92" s="419">
        <f t="shared" si="30"/>
        <v>46.618853281271512</v>
      </c>
      <c r="N92" s="408">
        <v>3.1881597223481135</v>
      </c>
      <c r="O92" s="418">
        <f t="shared" si="31"/>
        <v>27.004214594996089</v>
      </c>
      <c r="P92" s="419">
        <f t="shared" si="32"/>
        <v>18.839632558436939</v>
      </c>
      <c r="Q92" s="408">
        <v>2.3635881600947357</v>
      </c>
      <c r="R92" s="418">
        <f t="shared" si="33"/>
        <v>35.985031270837979</v>
      </c>
      <c r="S92" s="419">
        <f t="shared" si="34"/>
        <v>20.727706811527799</v>
      </c>
      <c r="T92" s="408">
        <v>1.7066000000879824</v>
      </c>
      <c r="U92" s="418">
        <f t="shared" si="35"/>
        <v>17.12879709452125</v>
      </c>
      <c r="V92" s="419">
        <f t="shared" si="36"/>
        <v>15.635812654756833</v>
      </c>
      <c r="W92" s="408">
        <v>2.7380000000200972</v>
      </c>
      <c r="X92" s="418">
        <f t="shared" si="37"/>
        <v>13.232145079221347</v>
      </c>
      <c r="Y92" s="419">
        <f t="shared" si="38"/>
        <v>12.002891604187193</v>
      </c>
      <c r="Z92" s="408">
        <v>0.46218805557782139</v>
      </c>
      <c r="AA92" s="418">
        <f t="shared" si="39"/>
        <v>8.7046159930069251</v>
      </c>
      <c r="AB92" s="419">
        <f t="shared" si="40"/>
        <v>2.8190032586322942</v>
      </c>
      <c r="AC92" s="408">
        <v>0.85900000001979415</v>
      </c>
      <c r="AD92" s="418">
        <f t="shared" si="41"/>
        <v>7.7758676893914167</v>
      </c>
      <c r="AE92" s="419">
        <f t="shared" si="42"/>
        <v>6.2643370817640145</v>
      </c>
      <c r="AF92" s="404"/>
      <c r="AH92" s="389"/>
      <c r="AI92" s="408">
        <v>5.5000000002317466E-2</v>
      </c>
      <c r="AJ92" s="418">
        <f t="shared" si="43"/>
        <v>2.3954488242710514</v>
      </c>
      <c r="AK92" s="419">
        <f t="shared" si="44"/>
        <v>1.3984300533628855</v>
      </c>
      <c r="AL92" s="408">
        <v>0.10679694445020754</v>
      </c>
      <c r="AM92" s="418">
        <f t="shared" si="45"/>
        <v>1.4227817817336086</v>
      </c>
      <c r="AN92" s="419">
        <f t="shared" si="46"/>
        <v>0.76774090393518479</v>
      </c>
      <c r="AO92" s="408">
        <v>3.3000000003937026E-2</v>
      </c>
      <c r="AP92" s="418">
        <f t="shared" si="47"/>
        <v>0.76258459493018427</v>
      </c>
      <c r="AQ92" s="419">
        <f t="shared" si="48"/>
        <v>0.7846881442259277</v>
      </c>
    </row>
    <row r="93" spans="1:43">
      <c r="A93" s="29" t="s">
        <v>32</v>
      </c>
      <c r="B93" s="408">
        <v>5.0589999999999993</v>
      </c>
      <c r="C93" s="418">
        <f t="shared" si="23"/>
        <v>6.3324502693700442</v>
      </c>
      <c r="D93" s="419">
        <f t="shared" si="24"/>
        <v>5.5665878101920292</v>
      </c>
      <c r="E93" s="408">
        <v>8.2687249999999999</v>
      </c>
      <c r="F93" s="418">
        <f t="shared" si="25"/>
        <v>9.1450231271489688</v>
      </c>
      <c r="G93" s="419">
        <f t="shared" si="26"/>
        <v>9.1450038884360083</v>
      </c>
      <c r="H93" s="409">
        <v>3.1539988888888888</v>
      </c>
      <c r="I93" s="418">
        <f t="shared" si="27"/>
        <v>3.729414634527672</v>
      </c>
      <c r="J93" s="419">
        <f t="shared" si="28"/>
        <v>3.2504797682560822</v>
      </c>
      <c r="K93" s="408">
        <v>5.3769999999999998</v>
      </c>
      <c r="L93" s="418">
        <f t="shared" si="29"/>
        <v>6.5897757494325537</v>
      </c>
      <c r="M93" s="419">
        <f t="shared" si="30"/>
        <v>5.4414091515476715</v>
      </c>
      <c r="N93" s="408">
        <v>1.8322511111111113</v>
      </c>
      <c r="O93" s="418">
        <f t="shared" si="31"/>
        <v>2.2677814992331258</v>
      </c>
      <c r="P93" s="419">
        <f t="shared" si="32"/>
        <v>1.8738452958753662</v>
      </c>
      <c r="Q93" s="408">
        <v>11.446234369445026</v>
      </c>
      <c r="R93" s="418">
        <f t="shared" si="33"/>
        <v>13.170561878250766</v>
      </c>
      <c r="S93" s="419">
        <f t="shared" si="34"/>
        <v>13.213690181103457</v>
      </c>
      <c r="T93" s="408">
        <v>1.7981</v>
      </c>
      <c r="U93" s="418">
        <f t="shared" si="35"/>
        <v>2.1091637552682134</v>
      </c>
      <c r="V93" s="419">
        <f t="shared" si="36"/>
        <v>1.8417570582782985</v>
      </c>
      <c r="W93" s="408">
        <v>1.024</v>
      </c>
      <c r="X93" s="418">
        <f t="shared" si="37"/>
        <v>1.2401885130547945</v>
      </c>
      <c r="Y93" s="419">
        <f t="shared" si="38"/>
        <v>1.0719299850511996</v>
      </c>
      <c r="Z93" s="408">
        <v>1.8264880555555556</v>
      </c>
      <c r="AA93" s="418">
        <f t="shared" si="39"/>
        <v>2.2297911838977913</v>
      </c>
      <c r="AB93" s="419">
        <f t="shared" si="40"/>
        <v>1.8530061830243494</v>
      </c>
      <c r="AC93" s="408">
        <v>1.4749999999999999</v>
      </c>
      <c r="AD93" s="418">
        <f t="shared" si="41"/>
        <v>1.8600021776186844</v>
      </c>
      <c r="AE93" s="419">
        <f t="shared" si="42"/>
        <v>1.5940335046026346</v>
      </c>
      <c r="AF93" s="404"/>
      <c r="AH93" s="389"/>
      <c r="AI93" s="408">
        <v>0.21109999999999998</v>
      </c>
      <c r="AJ93" s="418">
        <f t="shared" si="43"/>
        <v>0.2480447359943396</v>
      </c>
      <c r="AK93" s="419">
        <f t="shared" si="44"/>
        <v>0.2155720804561973</v>
      </c>
      <c r="AL93" s="408">
        <v>0.17919805555555557</v>
      </c>
      <c r="AM93" s="418">
        <f t="shared" si="45"/>
        <v>0.2160983113689838</v>
      </c>
      <c r="AN93" s="419">
        <f t="shared" si="46"/>
        <v>0.18455971659540923</v>
      </c>
      <c r="AO93" s="408">
        <v>0.13400000000000001</v>
      </c>
      <c r="AP93" s="418">
        <f t="shared" si="47"/>
        <v>0.16055712756668522</v>
      </c>
      <c r="AQ93" s="419">
        <f t="shared" si="48"/>
        <v>0.13795862373574266</v>
      </c>
    </row>
    <row r="94" spans="1:43">
      <c r="A94" s="29" t="s">
        <v>33</v>
      </c>
      <c r="B94" s="408">
        <v>0</v>
      </c>
      <c r="C94" s="418">
        <f t="shared" si="23"/>
        <v>0</v>
      </c>
      <c r="D94" s="419">
        <f t="shared" si="24"/>
        <v>0</v>
      </c>
      <c r="E94" s="408">
        <v>1.1570119444444444</v>
      </c>
      <c r="F94" s="418">
        <f t="shared" si="25"/>
        <v>2.284288081376566</v>
      </c>
      <c r="G94" s="419">
        <f t="shared" si="26"/>
        <v>2.284288081376566</v>
      </c>
      <c r="H94" s="409">
        <v>0</v>
      </c>
      <c r="I94" s="418">
        <f t="shared" si="27"/>
        <v>0</v>
      </c>
      <c r="J94" s="419">
        <f t="shared" si="28"/>
        <v>0</v>
      </c>
      <c r="K94" s="408">
        <v>1.5760000000000001</v>
      </c>
      <c r="L94" s="418">
        <f t="shared" si="29"/>
        <v>1.5760000000000001</v>
      </c>
      <c r="M94" s="419">
        <f t="shared" si="30"/>
        <v>1.5760000000000001</v>
      </c>
      <c r="N94" s="408">
        <v>0</v>
      </c>
      <c r="O94" s="418">
        <f t="shared" si="31"/>
        <v>0</v>
      </c>
      <c r="P94" s="419">
        <f t="shared" si="32"/>
        <v>0</v>
      </c>
      <c r="Q94" s="408">
        <v>0</v>
      </c>
      <c r="R94" s="418">
        <f t="shared" si="33"/>
        <v>0</v>
      </c>
      <c r="S94" s="419">
        <f t="shared" si="34"/>
        <v>0</v>
      </c>
      <c r="T94" s="408">
        <v>5.0199999999999995E-2</v>
      </c>
      <c r="U94" s="418">
        <f t="shared" si="35"/>
        <v>5.0199999999999995E-2</v>
      </c>
      <c r="V94" s="419">
        <f t="shared" si="36"/>
        <v>5.0199999999999995E-2</v>
      </c>
      <c r="W94" s="408">
        <v>0</v>
      </c>
      <c r="X94" s="418">
        <f t="shared" si="37"/>
        <v>0</v>
      </c>
      <c r="Y94" s="419">
        <f t="shared" si="38"/>
        <v>0</v>
      </c>
      <c r="Z94" s="408">
        <v>0</v>
      </c>
      <c r="AA94" s="418">
        <f t="shared" si="39"/>
        <v>0</v>
      </c>
      <c r="AB94" s="419">
        <f t="shared" si="40"/>
        <v>0</v>
      </c>
      <c r="AC94" s="408">
        <v>0</v>
      </c>
      <c r="AD94" s="418">
        <f t="shared" si="41"/>
        <v>0</v>
      </c>
      <c r="AE94" s="419">
        <f t="shared" si="42"/>
        <v>0</v>
      </c>
      <c r="AF94" s="404"/>
      <c r="AH94" s="389"/>
      <c r="AI94" s="408">
        <v>0</v>
      </c>
      <c r="AJ94" s="418">
        <f t="shared" si="43"/>
        <v>0</v>
      </c>
      <c r="AK94" s="419">
        <f t="shared" si="44"/>
        <v>0</v>
      </c>
      <c r="AL94" s="408">
        <v>2.3388888888888887E-4</v>
      </c>
      <c r="AM94" s="418">
        <f t="shared" si="45"/>
        <v>2.3388888888888887E-4</v>
      </c>
      <c r="AN94" s="419">
        <f t="shared" si="46"/>
        <v>2.3388888888888887E-4</v>
      </c>
      <c r="AO94" s="408">
        <v>0</v>
      </c>
      <c r="AP94" s="418">
        <f t="shared" si="47"/>
        <v>0</v>
      </c>
      <c r="AQ94" s="419">
        <f t="shared" si="48"/>
        <v>0</v>
      </c>
    </row>
    <row r="95" spans="1:43">
      <c r="A95" s="29" t="s">
        <v>34</v>
      </c>
      <c r="B95" s="410">
        <v>31.053000000000001</v>
      </c>
      <c r="C95" s="423">
        <f t="shared" si="23"/>
        <v>31.053000000000001</v>
      </c>
      <c r="D95" s="424">
        <f t="shared" si="24"/>
        <v>31.053000000000001</v>
      </c>
      <c r="E95" s="410">
        <v>23.869743055555556</v>
      </c>
      <c r="F95" s="423">
        <f t="shared" si="25"/>
        <v>23.869743055555556</v>
      </c>
      <c r="G95" s="424">
        <f t="shared" si="26"/>
        <v>23.869743055555556</v>
      </c>
      <c r="H95" s="411">
        <v>12.505419999999999</v>
      </c>
      <c r="I95" s="423">
        <f t="shared" si="27"/>
        <v>12.505419999999999</v>
      </c>
      <c r="J95" s="424">
        <f t="shared" si="28"/>
        <v>12.505419999999999</v>
      </c>
      <c r="K95" s="410">
        <v>9.4610000000000003</v>
      </c>
      <c r="L95" s="423">
        <f t="shared" si="29"/>
        <v>9.4610000000000003</v>
      </c>
      <c r="M95" s="424">
        <f t="shared" si="30"/>
        <v>9.4610000000000003</v>
      </c>
      <c r="N95" s="410">
        <v>12.625531944444443</v>
      </c>
      <c r="O95" s="423">
        <f t="shared" si="31"/>
        <v>12.625531944444443</v>
      </c>
      <c r="P95" s="424">
        <f t="shared" si="32"/>
        <v>12.625531944444443</v>
      </c>
      <c r="Q95" s="410">
        <v>3.4897908388888887</v>
      </c>
      <c r="R95" s="423">
        <f t="shared" si="33"/>
        <v>3.4897908388888887</v>
      </c>
      <c r="S95" s="424">
        <f t="shared" si="34"/>
        <v>3.4897908388888887</v>
      </c>
      <c r="T95" s="410">
        <v>3.7263999999999999</v>
      </c>
      <c r="U95" s="423">
        <f t="shared" si="35"/>
        <v>3.7263999999999999</v>
      </c>
      <c r="V95" s="424">
        <f t="shared" si="36"/>
        <v>3.7263999999999999</v>
      </c>
      <c r="W95" s="410">
        <v>2.794</v>
      </c>
      <c r="X95" s="423">
        <f t="shared" si="37"/>
        <v>2.794</v>
      </c>
      <c r="Y95" s="424">
        <f t="shared" si="38"/>
        <v>2.794</v>
      </c>
      <c r="Z95" s="410">
        <v>0.83323888888888886</v>
      </c>
      <c r="AA95" s="423">
        <f t="shared" si="39"/>
        <v>0.83323888888888886</v>
      </c>
      <c r="AB95" s="424">
        <f t="shared" si="40"/>
        <v>0.83323888888888886</v>
      </c>
      <c r="AC95" s="410">
        <v>2.597</v>
      </c>
      <c r="AD95" s="423">
        <f t="shared" si="41"/>
        <v>2.597</v>
      </c>
      <c r="AE95" s="424">
        <f t="shared" si="42"/>
        <v>2.597</v>
      </c>
      <c r="AF95" s="405"/>
      <c r="AG95" s="390"/>
      <c r="AH95" s="391"/>
      <c r="AI95" s="410">
        <v>0.20699999999999999</v>
      </c>
      <c r="AJ95" s="423">
        <f t="shared" si="43"/>
        <v>0.20699999999999999</v>
      </c>
      <c r="AK95" s="424">
        <f t="shared" si="44"/>
        <v>0.20699999999999999</v>
      </c>
      <c r="AL95" s="410">
        <v>0.4910788888888889</v>
      </c>
      <c r="AM95" s="423">
        <f t="shared" si="45"/>
        <v>0.4910788888888889</v>
      </c>
      <c r="AN95" s="424">
        <f t="shared" si="46"/>
        <v>0.4910788888888889</v>
      </c>
      <c r="AO95" s="410">
        <v>1.015485</v>
      </c>
      <c r="AP95" s="423">
        <f t="shared" si="47"/>
        <v>1.015485</v>
      </c>
      <c r="AQ95" s="424">
        <f t="shared" si="48"/>
        <v>1.015485</v>
      </c>
    </row>
    <row r="96" spans="1:43">
      <c r="A96" s="29" t="s">
        <v>35</v>
      </c>
      <c r="B96" s="453">
        <f t="shared" ref="B96:AQ96" si="49">SUM(B88:B95)</f>
        <v>537.87520215065626</v>
      </c>
      <c r="C96" s="448">
        <f t="shared" si="49"/>
        <v>787.44835902666568</v>
      </c>
      <c r="D96" s="448">
        <f t="shared" si="49"/>
        <v>661.77469634341162</v>
      </c>
      <c r="E96" s="453">
        <f t="shared" si="49"/>
        <v>452.90859110094794</v>
      </c>
      <c r="F96" s="448">
        <f t="shared" si="49"/>
        <v>497.01895315326783</v>
      </c>
      <c r="G96" s="448">
        <f t="shared" si="49"/>
        <v>485.87699899904447</v>
      </c>
      <c r="H96" s="453">
        <f t="shared" si="49"/>
        <v>316.61215239234531</v>
      </c>
      <c r="I96" s="448">
        <f t="shared" si="49"/>
        <v>405.96372126235025</v>
      </c>
      <c r="J96" s="448">
        <f t="shared" si="49"/>
        <v>368.49304468837965</v>
      </c>
      <c r="K96" s="453">
        <f t="shared" si="49"/>
        <v>251.49613916846644</v>
      </c>
      <c r="L96" s="448">
        <f t="shared" si="49"/>
        <v>302.47849435618986</v>
      </c>
      <c r="M96" s="448">
        <f t="shared" si="49"/>
        <v>276.18070505805531</v>
      </c>
      <c r="N96" s="453">
        <f t="shared" si="49"/>
        <v>163.20292960242216</v>
      </c>
      <c r="O96" s="448">
        <f t="shared" si="49"/>
        <v>200.46064329451144</v>
      </c>
      <c r="P96" s="448">
        <f t="shared" si="49"/>
        <v>179.00485490188507</v>
      </c>
      <c r="Q96" s="453">
        <f t="shared" si="49"/>
        <v>118.28071665726478</v>
      </c>
      <c r="R96" s="448">
        <f t="shared" si="49"/>
        <v>201.41380686334944</v>
      </c>
      <c r="S96" s="448">
        <f t="shared" si="49"/>
        <v>169.55389938991863</v>
      </c>
      <c r="T96" s="453">
        <f t="shared" si="49"/>
        <v>85.93923151645869</v>
      </c>
      <c r="U96" s="448">
        <f t="shared" si="49"/>
        <v>135.09622417761736</v>
      </c>
      <c r="V96" s="448">
        <f t="shared" si="49"/>
        <v>127.62064091607172</v>
      </c>
      <c r="W96" s="453">
        <f t="shared" si="49"/>
        <v>133.80215024687473</v>
      </c>
      <c r="X96" s="448">
        <f t="shared" si="49"/>
        <v>187.71034244867107</v>
      </c>
      <c r="Y96" s="448">
        <f t="shared" si="49"/>
        <v>171.1625825182133</v>
      </c>
      <c r="Z96" s="453">
        <f t="shared" si="49"/>
        <v>32.353096860196189</v>
      </c>
      <c r="AA96" s="448">
        <f t="shared" si="49"/>
        <v>43.346525086956603</v>
      </c>
      <c r="AB96" s="448">
        <f t="shared" si="49"/>
        <v>31.371393049350665</v>
      </c>
      <c r="AC96" s="453">
        <f t="shared" si="49"/>
        <v>88.736539758683364</v>
      </c>
      <c r="AD96" s="448">
        <f t="shared" si="49"/>
        <v>132.67970711240156</v>
      </c>
      <c r="AE96" s="448">
        <f t="shared" si="49"/>
        <v>120.54972914748988</v>
      </c>
      <c r="AF96" s="35"/>
      <c r="AG96" s="35"/>
      <c r="AH96" s="35"/>
      <c r="AI96" s="453">
        <f t="shared" si="49"/>
        <v>11.598505345678429</v>
      </c>
      <c r="AJ96" s="448">
        <f t="shared" si="49"/>
        <v>13.977407427856303</v>
      </c>
      <c r="AK96" s="448">
        <f t="shared" si="49"/>
        <v>11.778224955651948</v>
      </c>
      <c r="AL96" s="453">
        <f t="shared" si="49"/>
        <v>7.1485468389109856</v>
      </c>
      <c r="AM96" s="448">
        <f t="shared" si="49"/>
        <v>8.5842206408569766</v>
      </c>
      <c r="AN96" s="448">
        <f t="shared" si="49"/>
        <v>7.3897235836242023</v>
      </c>
      <c r="AO96" s="453">
        <f t="shared" si="49"/>
        <v>8.8453524655625007</v>
      </c>
      <c r="AP96" s="448">
        <f t="shared" si="49"/>
        <v>9.4977165181309449</v>
      </c>
      <c r="AQ96" s="448">
        <f t="shared" si="49"/>
        <v>9.2717831727079432</v>
      </c>
    </row>
    <row r="97" spans="1:43">
      <c r="A97" s="27"/>
      <c r="B97" s="32"/>
      <c r="C97" s="32"/>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I97" s="34"/>
      <c r="AJ97" s="34"/>
      <c r="AK97" s="34"/>
      <c r="AL97" s="34"/>
      <c r="AM97" s="34"/>
      <c r="AN97" s="34"/>
      <c r="AO97" s="34"/>
      <c r="AP97" s="34"/>
      <c r="AQ97" s="34"/>
    </row>
    <row r="98" spans="1:43">
      <c r="A98" s="2" t="s">
        <v>86</v>
      </c>
      <c r="B98" s="3"/>
      <c r="C98" s="3"/>
      <c r="D98" s="3"/>
      <c r="E98" s="3"/>
      <c r="F98" s="3"/>
      <c r="G98" s="3"/>
      <c r="H98" s="3"/>
      <c r="I98" s="3"/>
      <c r="J98" s="3"/>
      <c r="K98" s="3"/>
      <c r="L98" s="3"/>
      <c r="M98" s="3"/>
      <c r="N98" s="3"/>
      <c r="O98" s="3"/>
      <c r="P98" s="3"/>
      <c r="Q98" s="3"/>
      <c r="R98" s="3"/>
      <c r="S98" s="3"/>
      <c r="T98" s="3"/>
      <c r="U98" s="3"/>
      <c r="V98" s="3"/>
      <c r="W98" s="4"/>
      <c r="X98" s="3"/>
      <c r="Y98" s="3"/>
      <c r="Z98" s="3"/>
      <c r="AA98" s="3"/>
      <c r="AB98" s="3"/>
      <c r="AC98" s="3"/>
      <c r="AD98" s="3"/>
      <c r="AE98" s="3"/>
      <c r="AF98" s="3"/>
      <c r="AG98" s="3"/>
      <c r="AH98" s="3"/>
      <c r="AI98" s="3"/>
      <c r="AJ98" s="3"/>
      <c r="AK98" s="3"/>
      <c r="AL98" s="3"/>
      <c r="AM98" s="3"/>
      <c r="AN98" s="3"/>
      <c r="AO98" s="3"/>
      <c r="AP98" s="3"/>
      <c r="AQ98" s="3"/>
    </row>
    <row r="99" spans="1:43">
      <c r="A99" s="24" t="s">
        <v>37</v>
      </c>
    </row>
    <row r="101" spans="1:43">
      <c r="B101" s="627" t="s">
        <v>38</v>
      </c>
      <c r="C101" s="627"/>
      <c r="D101" s="627"/>
      <c r="E101" s="627" t="s">
        <v>39</v>
      </c>
      <c r="F101" s="627"/>
      <c r="G101" s="627"/>
      <c r="H101" s="627" t="s">
        <v>87</v>
      </c>
      <c r="I101" s="627"/>
      <c r="J101" s="627"/>
      <c r="K101" s="627" t="s">
        <v>41</v>
      </c>
      <c r="L101" s="627"/>
      <c r="M101" s="627"/>
      <c r="N101" s="627" t="s">
        <v>42</v>
      </c>
      <c r="O101" s="627"/>
      <c r="P101" s="627"/>
      <c r="Q101" s="627" t="s">
        <v>43</v>
      </c>
      <c r="R101" s="627"/>
      <c r="S101" s="627"/>
      <c r="T101" s="627" t="s">
        <v>44</v>
      </c>
      <c r="U101" s="627"/>
      <c r="V101" s="627"/>
      <c r="W101" s="627" t="s">
        <v>45</v>
      </c>
      <c r="X101" s="627"/>
      <c r="Y101" s="627"/>
      <c r="Z101" s="627" t="s">
        <v>46</v>
      </c>
      <c r="AA101" s="627"/>
      <c r="AB101" s="627"/>
      <c r="AC101" s="627" t="s">
        <v>47</v>
      </c>
      <c r="AD101" s="627"/>
      <c r="AE101" s="627"/>
      <c r="AF101" s="627" t="s">
        <v>48</v>
      </c>
      <c r="AG101" s="627"/>
      <c r="AH101" s="627"/>
      <c r="AI101" s="627" t="s">
        <v>49</v>
      </c>
      <c r="AJ101" s="627"/>
      <c r="AK101" s="627"/>
      <c r="AL101" s="627" t="s">
        <v>50</v>
      </c>
      <c r="AM101" s="627"/>
      <c r="AN101" s="627"/>
      <c r="AO101" s="627" t="s">
        <v>51</v>
      </c>
      <c r="AP101" s="627"/>
      <c r="AQ101" s="627"/>
    </row>
    <row r="102" spans="1:43">
      <c r="A102" s="27"/>
      <c r="B102" s="392" t="s">
        <v>25</v>
      </c>
      <c r="C102" s="392" t="s">
        <v>26</v>
      </c>
      <c r="D102" s="392" t="s">
        <v>27</v>
      </c>
      <c r="E102" s="392" t="s">
        <v>25</v>
      </c>
      <c r="F102" s="392" t="s">
        <v>26</v>
      </c>
      <c r="G102" s="392" t="s">
        <v>27</v>
      </c>
      <c r="H102" s="386" t="s">
        <v>25</v>
      </c>
      <c r="I102" s="386" t="s">
        <v>26</v>
      </c>
      <c r="J102" s="386" t="s">
        <v>27</v>
      </c>
      <c r="K102" s="392" t="s">
        <v>25</v>
      </c>
      <c r="L102" s="392" t="s">
        <v>26</v>
      </c>
      <c r="M102" s="392" t="s">
        <v>27</v>
      </c>
      <c r="N102" s="392" t="s">
        <v>25</v>
      </c>
      <c r="O102" s="392" t="s">
        <v>26</v>
      </c>
      <c r="P102" s="392" t="s">
        <v>27</v>
      </c>
      <c r="Q102" s="392" t="s">
        <v>25</v>
      </c>
      <c r="R102" s="392" t="s">
        <v>26</v>
      </c>
      <c r="S102" s="392" t="s">
        <v>27</v>
      </c>
      <c r="T102" s="392" t="s">
        <v>25</v>
      </c>
      <c r="U102" s="392" t="s">
        <v>26</v>
      </c>
      <c r="V102" s="392" t="s">
        <v>27</v>
      </c>
      <c r="W102" s="392" t="s">
        <v>25</v>
      </c>
      <c r="X102" s="392" t="s">
        <v>26</v>
      </c>
      <c r="Y102" s="392" t="s">
        <v>27</v>
      </c>
      <c r="Z102" s="392" t="s">
        <v>25</v>
      </c>
      <c r="AA102" s="392" t="s">
        <v>26</v>
      </c>
      <c r="AB102" s="392" t="s">
        <v>27</v>
      </c>
      <c r="AC102" s="392" t="s">
        <v>25</v>
      </c>
      <c r="AD102" s="392" t="s">
        <v>26</v>
      </c>
      <c r="AE102" s="392" t="s">
        <v>27</v>
      </c>
      <c r="AF102" s="386" t="s">
        <v>25</v>
      </c>
      <c r="AG102" s="386" t="s">
        <v>26</v>
      </c>
      <c r="AH102" s="386" t="s">
        <v>27</v>
      </c>
      <c r="AI102" s="392" t="s">
        <v>25</v>
      </c>
      <c r="AJ102" s="392" t="s">
        <v>26</v>
      </c>
      <c r="AK102" s="392" t="s">
        <v>27</v>
      </c>
      <c r="AL102" s="392" t="s">
        <v>25</v>
      </c>
      <c r="AM102" s="392" t="s">
        <v>26</v>
      </c>
      <c r="AN102" s="392" t="s">
        <v>27</v>
      </c>
      <c r="AO102" s="392" t="s">
        <v>25</v>
      </c>
      <c r="AP102" s="392" t="s">
        <v>26</v>
      </c>
      <c r="AQ102" s="392" t="s">
        <v>27</v>
      </c>
    </row>
    <row r="103" spans="1:43">
      <c r="A103" s="29" t="s">
        <v>28</v>
      </c>
      <c r="B103" s="429">
        <v>0</v>
      </c>
      <c r="C103" s="430">
        <f>B32+(C32-B32)*16/21*$F$72</f>
        <v>12.47881586618303</v>
      </c>
      <c r="D103" s="431">
        <f t="shared" ref="D103:D110" si="50">B32+(D32-B32)*16/21*$H$72</f>
        <v>28.126944939865226</v>
      </c>
      <c r="E103" s="430">
        <v>0</v>
      </c>
      <c r="F103" s="430">
        <f t="shared" ref="F103:F110" si="51">E32+(F32-E32)*16/21*$F$72</f>
        <v>0</v>
      </c>
      <c r="G103" s="431">
        <f t="shared" ref="G103:G110" si="52">E32+(G32-E32)*16/21*$H$72</f>
        <v>0.93343478363925503</v>
      </c>
      <c r="H103" s="430">
        <v>0</v>
      </c>
      <c r="I103" s="430">
        <f t="shared" ref="I103:I110" si="53">H32+(I32-H32)*16/21*$F$72</f>
        <v>22.761892463084823</v>
      </c>
      <c r="J103" s="431">
        <f t="shared" ref="J103:J110" si="54">H32+(J32-H32)*16/21*$H$72</f>
        <v>22.04322645439963</v>
      </c>
      <c r="K103" s="429">
        <v>0</v>
      </c>
      <c r="L103" s="430">
        <f t="shared" ref="L103:L110" si="55">K32+(L32-K32)*16/21*$F$72</f>
        <v>0</v>
      </c>
      <c r="M103" s="431">
        <f t="shared" ref="M103:M110" si="56">K32+(M32-K32)*16/21*$H$72</f>
        <v>0</v>
      </c>
      <c r="N103" s="430">
        <v>0</v>
      </c>
      <c r="O103" s="430">
        <f t="shared" ref="O103:O110" si="57">N32+(O32-N32)*16/21*$F$72</f>
        <v>1.9879763416513476</v>
      </c>
      <c r="P103" s="431">
        <f t="shared" ref="P103:P110" si="58">N32+(P32-N32)*16/21*$H$72</f>
        <v>6.6092059494162898</v>
      </c>
      <c r="Q103" s="429">
        <v>0</v>
      </c>
      <c r="R103" s="430">
        <f t="shared" ref="R103:R110" si="59">Q32+(R32-Q32)*16/21*$F$72</f>
        <v>0</v>
      </c>
      <c r="S103" s="431">
        <f t="shared" ref="S103:S110" si="60">Q32+(S32-Q32)*16/21*$H$72</f>
        <v>3.5209655554021979</v>
      </c>
      <c r="T103" s="430">
        <v>0</v>
      </c>
      <c r="U103" s="430">
        <f t="shared" ref="U103:U110" si="61">T32+(U32-T32)*16/21*$F$72</f>
        <v>0</v>
      </c>
      <c r="V103" s="431">
        <f t="shared" ref="V103:V110" si="62">T32+(V32-T32)*16/21*$H$72</f>
        <v>2.1955212074275745</v>
      </c>
      <c r="W103" s="429">
        <v>0</v>
      </c>
      <c r="X103" s="430">
        <f t="shared" ref="X103:X110" si="63">W32+(X32-W32)*16/21*$F$72</f>
        <v>0.58109748641696013</v>
      </c>
      <c r="Y103" s="431">
        <f t="shared" ref="Y103:Y110" si="64">W32+(Y32-W32)*16/21*$H$72</f>
        <v>2.1662774827097797</v>
      </c>
      <c r="Z103" s="430">
        <v>0</v>
      </c>
      <c r="AA103" s="430">
        <f t="shared" ref="AA103:AA110" si="65">Z32+(AA32-Z32)*16/21*$F$72</f>
        <v>0</v>
      </c>
      <c r="AB103" s="431">
        <f t="shared" ref="AB103:AB110" si="66">Z32+(AB32-Z32)*16/21*$H$72</f>
        <v>0</v>
      </c>
      <c r="AC103" s="429">
        <v>0</v>
      </c>
      <c r="AD103" s="430">
        <f t="shared" ref="AD103:AD110" si="67">AC32+(AD32-AC32)*16/21*$F$72</f>
        <v>8.0814091996037219E-3</v>
      </c>
      <c r="AE103" s="431">
        <f t="shared" ref="AE103:AE110" si="68">AC32+(AE32-AC32)*16/21*$H$72</f>
        <v>0</v>
      </c>
      <c r="AF103" s="415"/>
      <c r="AG103" s="415"/>
      <c r="AH103" s="416"/>
      <c r="AI103" s="429">
        <v>0</v>
      </c>
      <c r="AJ103" s="430">
        <f t="shared" ref="AJ103:AJ110" si="69">AI32+(AJ32-AI32)*16/21*$F$72</f>
        <v>9.9437324112604614E-2</v>
      </c>
      <c r="AK103" s="431">
        <f t="shared" ref="AK103:AK110" si="70">AI32+(AK32-AI32)*16/21*$H$72</f>
        <v>0.32217819608541076</v>
      </c>
      <c r="AL103" s="430">
        <v>0</v>
      </c>
      <c r="AM103" s="430">
        <f t="shared" ref="AM103:AM110" si="71">AL32+(AM32-AL32)*16/21*$F$72</f>
        <v>8.2341673403451845E-2</v>
      </c>
      <c r="AN103" s="431">
        <f t="shared" ref="AN103:AN110" si="72">AL32+(AN32-AL32)*16/21*$H$72</f>
        <v>0.3346962894708988</v>
      </c>
      <c r="AO103" s="429">
        <v>0</v>
      </c>
      <c r="AP103" s="430">
        <f t="shared" ref="AP103:AP110" si="73">AO32+(AP32-AO32)*16/21*$F$72</f>
        <v>0</v>
      </c>
      <c r="AQ103" s="431">
        <f t="shared" ref="AQ103:AQ110" si="74">AO32+(AQ32-AO32)*16/21*$H$72</f>
        <v>0</v>
      </c>
    </row>
    <row r="104" spans="1:43">
      <c r="A104" s="29" t="s">
        <v>29</v>
      </c>
      <c r="B104" s="432">
        <v>0</v>
      </c>
      <c r="C104" s="433">
        <f>B33+(C33-B33)*16/21*$F$72</f>
        <v>2.9465354255876388</v>
      </c>
      <c r="D104" s="434">
        <f t="shared" si="50"/>
        <v>5.7243476954201542</v>
      </c>
      <c r="E104" s="433">
        <v>0</v>
      </c>
      <c r="F104" s="433">
        <f t="shared" si="51"/>
        <v>0</v>
      </c>
      <c r="G104" s="434">
        <f t="shared" si="52"/>
        <v>0</v>
      </c>
      <c r="H104" s="433">
        <v>0</v>
      </c>
      <c r="I104" s="433">
        <f t="shared" si="53"/>
        <v>3.749521218642196</v>
      </c>
      <c r="J104" s="434">
        <f t="shared" si="54"/>
        <v>3.5949762351668779</v>
      </c>
      <c r="K104" s="432">
        <v>0</v>
      </c>
      <c r="L104" s="433">
        <f t="shared" si="55"/>
        <v>0</v>
      </c>
      <c r="M104" s="434">
        <f t="shared" si="56"/>
        <v>0</v>
      </c>
      <c r="N104" s="433">
        <v>0</v>
      </c>
      <c r="O104" s="433">
        <f t="shared" si="57"/>
        <v>0.49599664202031446</v>
      </c>
      <c r="P104" s="434">
        <f t="shared" si="58"/>
        <v>1.4683554878004854</v>
      </c>
      <c r="Q104" s="432">
        <v>0</v>
      </c>
      <c r="R104" s="433">
        <f t="shared" si="59"/>
        <v>0</v>
      </c>
      <c r="S104" s="434">
        <f t="shared" si="60"/>
        <v>1.0368926150158726</v>
      </c>
      <c r="T104" s="433">
        <v>0</v>
      </c>
      <c r="U104" s="433">
        <f t="shared" si="61"/>
        <v>0</v>
      </c>
      <c r="V104" s="434">
        <f t="shared" si="62"/>
        <v>0.41526416053265786</v>
      </c>
      <c r="W104" s="432">
        <v>0</v>
      </c>
      <c r="X104" s="433">
        <f t="shared" si="63"/>
        <v>0.18612976467188172</v>
      </c>
      <c r="Y104" s="434">
        <f t="shared" si="64"/>
        <v>0.40426231752020375</v>
      </c>
      <c r="Z104" s="433">
        <v>0</v>
      </c>
      <c r="AA104" s="433">
        <f t="shared" si="65"/>
        <v>0</v>
      </c>
      <c r="AB104" s="434">
        <f t="shared" si="66"/>
        <v>0</v>
      </c>
      <c r="AC104" s="432">
        <v>0</v>
      </c>
      <c r="AD104" s="433">
        <f t="shared" si="67"/>
        <v>0</v>
      </c>
      <c r="AE104" s="434">
        <f t="shared" si="68"/>
        <v>0.20563303664780766</v>
      </c>
      <c r="AF104" s="420"/>
      <c r="AG104" s="420"/>
      <c r="AH104" s="421"/>
      <c r="AI104" s="432">
        <v>0</v>
      </c>
      <c r="AJ104" s="433">
        <f t="shared" si="69"/>
        <v>2.5720040415196547E-2</v>
      </c>
      <c r="AK104" s="434">
        <f t="shared" si="70"/>
        <v>7.0553012974103629E-2</v>
      </c>
      <c r="AL104" s="433">
        <v>0</v>
      </c>
      <c r="AM104" s="433">
        <f t="shared" si="71"/>
        <v>3.465103799200412E-2</v>
      </c>
      <c r="AN104" s="434">
        <f t="shared" si="72"/>
        <v>9.8651595601875156E-2</v>
      </c>
      <c r="AO104" s="432">
        <v>0</v>
      </c>
      <c r="AP104" s="433">
        <f t="shared" si="73"/>
        <v>0</v>
      </c>
      <c r="AQ104" s="434">
        <f t="shared" si="74"/>
        <v>1.7991377171561181E-2</v>
      </c>
    </row>
    <row r="105" spans="1:43">
      <c r="A105" s="29" t="s">
        <v>30</v>
      </c>
      <c r="B105" s="432">
        <v>0</v>
      </c>
      <c r="C105" s="433">
        <f t="shared" ref="C105:C110" si="75">B34+(C34-B34)*16/21*$F$72</f>
        <v>48.551060505526976</v>
      </c>
      <c r="D105" s="434">
        <f t="shared" si="50"/>
        <v>74.602440247340553</v>
      </c>
      <c r="E105" s="433">
        <v>0</v>
      </c>
      <c r="F105" s="433">
        <f t="shared" si="51"/>
        <v>4.9375007879213682</v>
      </c>
      <c r="G105" s="434">
        <f t="shared" si="52"/>
        <v>4.2512760888334737</v>
      </c>
      <c r="H105" s="433">
        <v>0</v>
      </c>
      <c r="I105" s="433">
        <f t="shared" si="53"/>
        <v>13.929971363000822</v>
      </c>
      <c r="J105" s="434">
        <f t="shared" si="54"/>
        <v>11.901514197527097</v>
      </c>
      <c r="K105" s="432">
        <v>0</v>
      </c>
      <c r="L105" s="433">
        <f t="shared" si="55"/>
        <v>23.840911934022124</v>
      </c>
      <c r="M105" s="434">
        <f t="shared" si="56"/>
        <v>35.011410778772088</v>
      </c>
      <c r="N105" s="433">
        <v>0</v>
      </c>
      <c r="O105" s="433">
        <f t="shared" si="57"/>
        <v>6.7925940873661963</v>
      </c>
      <c r="P105" s="434">
        <f t="shared" si="58"/>
        <v>8.2172978419995726</v>
      </c>
      <c r="Q105" s="432">
        <v>0</v>
      </c>
      <c r="R105" s="433">
        <f t="shared" si="59"/>
        <v>16.705860073777952</v>
      </c>
      <c r="S105" s="434">
        <f t="shared" si="60"/>
        <v>20.962646509756368</v>
      </c>
      <c r="T105" s="433">
        <v>0</v>
      </c>
      <c r="U105" s="433">
        <f t="shared" si="61"/>
        <v>8.0625863689088213</v>
      </c>
      <c r="V105" s="434">
        <f t="shared" si="62"/>
        <v>10.375941696882444</v>
      </c>
      <c r="W105" s="432">
        <v>0</v>
      </c>
      <c r="X105" s="433">
        <f t="shared" si="63"/>
        <v>6.8130543600610123</v>
      </c>
      <c r="Y105" s="434">
        <f t="shared" si="64"/>
        <v>6.5601173000326911</v>
      </c>
      <c r="Z105" s="433">
        <v>0</v>
      </c>
      <c r="AA105" s="433">
        <f t="shared" si="65"/>
        <v>0.64572026851749598</v>
      </c>
      <c r="AB105" s="434">
        <f t="shared" si="66"/>
        <v>1.9041011626484923</v>
      </c>
      <c r="AC105" s="432">
        <v>0</v>
      </c>
      <c r="AD105" s="433">
        <f t="shared" si="67"/>
        <v>4.067825168995471</v>
      </c>
      <c r="AE105" s="434">
        <f t="shared" si="68"/>
        <v>5.8579631950192912</v>
      </c>
      <c r="AF105" s="420"/>
      <c r="AG105" s="420"/>
      <c r="AH105" s="421"/>
      <c r="AI105" s="432">
        <v>0</v>
      </c>
      <c r="AJ105" s="433">
        <f t="shared" si="69"/>
        <v>0.8146207317629035</v>
      </c>
      <c r="AK105" s="434">
        <f t="shared" si="70"/>
        <v>0.84867009320271669</v>
      </c>
      <c r="AL105" s="433">
        <v>0</v>
      </c>
      <c r="AM105" s="433">
        <f t="shared" si="71"/>
        <v>9.3721241532097009E-3</v>
      </c>
      <c r="AN105" s="434">
        <f t="shared" si="72"/>
        <v>0.26816248373798679</v>
      </c>
      <c r="AO105" s="432">
        <v>0</v>
      </c>
      <c r="AP105" s="433">
        <f t="shared" si="73"/>
        <v>0.26768037842245485</v>
      </c>
      <c r="AQ105" s="434">
        <f t="shared" si="74"/>
        <v>0.21516489875957073</v>
      </c>
    </row>
    <row r="106" spans="1:43">
      <c r="A106" s="29" t="s">
        <v>52</v>
      </c>
      <c r="B106" s="432">
        <v>0</v>
      </c>
      <c r="C106" s="433">
        <f t="shared" si="75"/>
        <v>47.938231643061442</v>
      </c>
      <c r="D106" s="434">
        <f t="shared" si="50"/>
        <v>32.959021065816835</v>
      </c>
      <c r="E106" s="433">
        <v>0</v>
      </c>
      <c r="F106" s="433">
        <f t="shared" si="51"/>
        <v>12.199789895588655</v>
      </c>
      <c r="G106" s="434">
        <f t="shared" si="52"/>
        <v>10.830217529839018</v>
      </c>
      <c r="H106" s="433">
        <v>0</v>
      </c>
      <c r="I106" s="433">
        <f t="shared" si="53"/>
        <v>9.4494612981676163</v>
      </c>
      <c r="J106" s="434">
        <f t="shared" si="54"/>
        <v>6.3882783446458742</v>
      </c>
      <c r="K106" s="432">
        <v>0</v>
      </c>
      <c r="L106" s="433">
        <f t="shared" si="55"/>
        <v>2.4577087372439999</v>
      </c>
      <c r="M106" s="434">
        <f t="shared" si="56"/>
        <v>2.9785132792082147</v>
      </c>
      <c r="N106" s="433">
        <v>0</v>
      </c>
      <c r="O106" s="433">
        <f t="shared" si="57"/>
        <v>9.9686723992684936</v>
      </c>
      <c r="P106" s="434">
        <f t="shared" si="58"/>
        <v>8.2604629289471152</v>
      </c>
      <c r="Q106" s="432">
        <v>0</v>
      </c>
      <c r="R106" s="433">
        <f t="shared" si="59"/>
        <v>4.6350193300150613</v>
      </c>
      <c r="S106" s="434">
        <f t="shared" si="60"/>
        <v>6.3288085800353278</v>
      </c>
      <c r="T106" s="433">
        <v>0</v>
      </c>
      <c r="U106" s="433">
        <f t="shared" si="61"/>
        <v>8.3229788717938984</v>
      </c>
      <c r="V106" s="434">
        <f t="shared" si="62"/>
        <v>11.323963605990599</v>
      </c>
      <c r="W106" s="432">
        <v>0</v>
      </c>
      <c r="X106" s="433">
        <f t="shared" si="63"/>
        <v>7.7899331536327185</v>
      </c>
      <c r="Y106" s="434">
        <f t="shared" si="64"/>
        <v>6.9154199636875315</v>
      </c>
      <c r="Z106" s="433">
        <v>0</v>
      </c>
      <c r="AA106" s="433">
        <f t="shared" si="65"/>
        <v>1.0296461626618019E-3</v>
      </c>
      <c r="AB106" s="434">
        <f t="shared" si="66"/>
        <v>1.5234267715303765E-3</v>
      </c>
      <c r="AC106" s="432">
        <v>0</v>
      </c>
      <c r="AD106" s="433">
        <f t="shared" si="67"/>
        <v>6.2346782936516494</v>
      </c>
      <c r="AE106" s="434">
        <f t="shared" si="68"/>
        <v>4.6123008897902311</v>
      </c>
      <c r="AF106" s="420"/>
      <c r="AG106" s="420"/>
      <c r="AH106" s="421"/>
      <c r="AI106" s="432">
        <v>0</v>
      </c>
      <c r="AJ106" s="433">
        <f t="shared" si="69"/>
        <v>2.9947125950604434</v>
      </c>
      <c r="AK106" s="434">
        <f t="shared" si="70"/>
        <v>2.4712404727672417</v>
      </c>
      <c r="AL106" s="433">
        <v>0</v>
      </c>
      <c r="AM106" s="433">
        <f t="shared" si="71"/>
        <v>2.0289355795983081E-3</v>
      </c>
      <c r="AN106" s="434">
        <f t="shared" si="72"/>
        <v>1.7031056877806793E-3</v>
      </c>
      <c r="AO106" s="432">
        <v>0</v>
      </c>
      <c r="AP106" s="433">
        <f t="shared" si="73"/>
        <v>0</v>
      </c>
      <c r="AQ106" s="434">
        <f t="shared" si="74"/>
        <v>0</v>
      </c>
    </row>
    <row r="107" spans="1:43">
      <c r="A107" s="29" t="s">
        <v>31</v>
      </c>
      <c r="B107" s="432">
        <v>0</v>
      </c>
      <c r="C107" s="433">
        <f t="shared" si="75"/>
        <v>17.827282386827992</v>
      </c>
      <c r="D107" s="434">
        <f t="shared" si="50"/>
        <v>27.310142780769539</v>
      </c>
      <c r="E107" s="433">
        <v>0</v>
      </c>
      <c r="F107" s="433">
        <f t="shared" si="51"/>
        <v>2.347466803516125</v>
      </c>
      <c r="G107" s="434">
        <f t="shared" si="52"/>
        <v>3.4982648932278626</v>
      </c>
      <c r="H107" s="433">
        <v>0</v>
      </c>
      <c r="I107" s="433">
        <f t="shared" si="53"/>
        <v>5.1780862980913662</v>
      </c>
      <c r="J107" s="434">
        <f t="shared" si="54"/>
        <v>5.6463249332656433</v>
      </c>
      <c r="K107" s="432">
        <v>0</v>
      </c>
      <c r="L107" s="433">
        <f t="shared" si="55"/>
        <v>4.9124980594902077</v>
      </c>
      <c r="M107" s="434">
        <f t="shared" si="56"/>
        <v>7.1569851317536344</v>
      </c>
      <c r="N107" s="433">
        <v>0</v>
      </c>
      <c r="O107" s="433">
        <f t="shared" si="57"/>
        <v>3.8492674365148827</v>
      </c>
      <c r="P107" s="434">
        <f t="shared" si="58"/>
        <v>8.8450914288861817</v>
      </c>
      <c r="Q107" s="432">
        <v>0</v>
      </c>
      <c r="R107" s="433">
        <f t="shared" si="59"/>
        <v>1.7114658297894405</v>
      </c>
      <c r="S107" s="434">
        <f t="shared" si="60"/>
        <v>8.5746665329718823</v>
      </c>
      <c r="T107" s="433">
        <v>0</v>
      </c>
      <c r="U107" s="433">
        <f t="shared" si="61"/>
        <v>0.33490970915617563</v>
      </c>
      <c r="V107" s="434">
        <f t="shared" si="62"/>
        <v>2.6314423263681261</v>
      </c>
      <c r="W107" s="432">
        <v>0</v>
      </c>
      <c r="X107" s="433">
        <f t="shared" si="63"/>
        <v>0.19991571029907212</v>
      </c>
      <c r="Y107" s="434">
        <f t="shared" si="64"/>
        <v>4.9218461560686757</v>
      </c>
      <c r="Z107" s="433">
        <v>0</v>
      </c>
      <c r="AA107" s="433">
        <f t="shared" si="65"/>
        <v>2.4497177735942994</v>
      </c>
      <c r="AB107" s="434">
        <f t="shared" si="66"/>
        <v>1.2239244689906532</v>
      </c>
      <c r="AC107" s="432">
        <v>0</v>
      </c>
      <c r="AD107" s="433">
        <f t="shared" si="67"/>
        <v>0.59151375396581329</v>
      </c>
      <c r="AE107" s="434">
        <f t="shared" si="68"/>
        <v>2.027353971330458</v>
      </c>
      <c r="AF107" s="420"/>
      <c r="AG107" s="420"/>
      <c r="AH107" s="421"/>
      <c r="AI107" s="432">
        <v>0</v>
      </c>
      <c r="AJ107" s="433">
        <f t="shared" si="69"/>
        <v>0.6404220707054995</v>
      </c>
      <c r="AK107" s="434">
        <f t="shared" si="70"/>
        <v>0.89425278584274759</v>
      </c>
      <c r="AL107" s="433">
        <v>0</v>
      </c>
      <c r="AM107" s="433">
        <f t="shared" si="71"/>
        <v>0.35030177289573633</v>
      </c>
      <c r="AN107" s="434">
        <f t="shared" si="72"/>
        <v>0.42681412433754634</v>
      </c>
      <c r="AO107" s="432">
        <v>0</v>
      </c>
      <c r="AP107" s="433">
        <f t="shared" si="73"/>
        <v>0.10429766236142786</v>
      </c>
      <c r="AQ107" s="434">
        <f t="shared" si="74"/>
        <v>0.10524320174299588</v>
      </c>
    </row>
    <row r="108" spans="1:43">
      <c r="A108" s="29" t="s">
        <v>32</v>
      </c>
      <c r="B108" s="432">
        <v>0</v>
      </c>
      <c r="C108" s="433">
        <f t="shared" si="75"/>
        <v>1.3192415832107254</v>
      </c>
      <c r="D108" s="434">
        <f t="shared" si="50"/>
        <v>3.0959077247298032</v>
      </c>
      <c r="E108" s="433">
        <v>0</v>
      </c>
      <c r="F108" s="433">
        <f t="shared" si="51"/>
        <v>3.4735763261173613E-2</v>
      </c>
      <c r="G108" s="434">
        <f t="shared" si="52"/>
        <v>3.0543108074078316E-2</v>
      </c>
      <c r="H108" s="433">
        <v>0</v>
      </c>
      <c r="I108" s="433">
        <f t="shared" si="53"/>
        <v>0</v>
      </c>
      <c r="J108" s="434">
        <f t="shared" si="54"/>
        <v>0</v>
      </c>
      <c r="K108" s="432">
        <v>0</v>
      </c>
      <c r="L108" s="433">
        <f t="shared" si="55"/>
        <v>0</v>
      </c>
      <c r="M108" s="434">
        <f t="shared" si="56"/>
        <v>0</v>
      </c>
      <c r="N108" s="433">
        <v>0</v>
      </c>
      <c r="O108" s="433">
        <f t="shared" si="57"/>
        <v>0</v>
      </c>
      <c r="P108" s="434">
        <f t="shared" si="58"/>
        <v>0</v>
      </c>
      <c r="Q108" s="432">
        <v>0</v>
      </c>
      <c r="R108" s="433">
        <f t="shared" si="59"/>
        <v>0</v>
      </c>
      <c r="S108" s="434">
        <f t="shared" si="60"/>
        <v>1.2441021386333315</v>
      </c>
      <c r="T108" s="433">
        <v>0</v>
      </c>
      <c r="U108" s="433">
        <f t="shared" si="61"/>
        <v>0</v>
      </c>
      <c r="V108" s="434">
        <f t="shared" si="62"/>
        <v>0</v>
      </c>
      <c r="W108" s="432">
        <v>0</v>
      </c>
      <c r="X108" s="433">
        <f t="shared" si="63"/>
        <v>0</v>
      </c>
      <c r="Y108" s="434">
        <f t="shared" si="64"/>
        <v>0</v>
      </c>
      <c r="Z108" s="433">
        <v>0</v>
      </c>
      <c r="AA108" s="433">
        <f t="shared" si="65"/>
        <v>0</v>
      </c>
      <c r="AB108" s="434">
        <f t="shared" si="66"/>
        <v>0</v>
      </c>
      <c r="AC108" s="432">
        <v>0</v>
      </c>
      <c r="AD108" s="433">
        <f t="shared" si="67"/>
        <v>0</v>
      </c>
      <c r="AE108" s="434">
        <f t="shared" si="68"/>
        <v>0</v>
      </c>
      <c r="AF108" s="420"/>
      <c r="AG108" s="420"/>
      <c r="AH108" s="421"/>
      <c r="AI108" s="432">
        <v>0</v>
      </c>
      <c r="AJ108" s="433">
        <f t="shared" si="69"/>
        <v>0</v>
      </c>
      <c r="AK108" s="434">
        <f t="shared" si="70"/>
        <v>0</v>
      </c>
      <c r="AL108" s="433">
        <v>0</v>
      </c>
      <c r="AM108" s="433">
        <f t="shared" si="71"/>
        <v>0</v>
      </c>
      <c r="AN108" s="434">
        <f t="shared" si="72"/>
        <v>0</v>
      </c>
      <c r="AO108" s="432">
        <v>0</v>
      </c>
      <c r="AP108" s="433">
        <f t="shared" si="73"/>
        <v>0</v>
      </c>
      <c r="AQ108" s="434">
        <f t="shared" si="74"/>
        <v>0</v>
      </c>
    </row>
    <row r="109" spans="1:43">
      <c r="A109" s="29" t="s">
        <v>33</v>
      </c>
      <c r="B109" s="432">
        <v>0</v>
      </c>
      <c r="C109" s="433">
        <f t="shared" si="75"/>
        <v>0</v>
      </c>
      <c r="D109" s="434">
        <f t="shared" si="50"/>
        <v>0</v>
      </c>
      <c r="E109" s="433">
        <v>0</v>
      </c>
      <c r="F109" s="433">
        <f t="shared" si="51"/>
        <v>0</v>
      </c>
      <c r="G109" s="434">
        <f t="shared" si="52"/>
        <v>0</v>
      </c>
      <c r="H109" s="433">
        <v>0</v>
      </c>
      <c r="I109" s="433">
        <f t="shared" si="53"/>
        <v>0</v>
      </c>
      <c r="J109" s="434">
        <f t="shared" si="54"/>
        <v>0</v>
      </c>
      <c r="K109" s="432">
        <v>0</v>
      </c>
      <c r="L109" s="433">
        <f t="shared" si="55"/>
        <v>0</v>
      </c>
      <c r="M109" s="434">
        <f t="shared" si="56"/>
        <v>0</v>
      </c>
      <c r="N109" s="433">
        <v>0</v>
      </c>
      <c r="O109" s="433">
        <f t="shared" si="57"/>
        <v>0</v>
      </c>
      <c r="P109" s="434">
        <f t="shared" si="58"/>
        <v>0</v>
      </c>
      <c r="Q109" s="432">
        <v>0</v>
      </c>
      <c r="R109" s="433">
        <f t="shared" si="59"/>
        <v>0</v>
      </c>
      <c r="S109" s="434">
        <f t="shared" si="60"/>
        <v>0</v>
      </c>
      <c r="T109" s="433">
        <v>0</v>
      </c>
      <c r="U109" s="433">
        <f t="shared" si="61"/>
        <v>0</v>
      </c>
      <c r="V109" s="434">
        <f t="shared" si="62"/>
        <v>0</v>
      </c>
      <c r="W109" s="432">
        <v>0</v>
      </c>
      <c r="X109" s="433">
        <f t="shared" si="63"/>
        <v>0</v>
      </c>
      <c r="Y109" s="434">
        <f t="shared" si="64"/>
        <v>0</v>
      </c>
      <c r="Z109" s="433">
        <v>0</v>
      </c>
      <c r="AA109" s="433">
        <f t="shared" si="65"/>
        <v>0</v>
      </c>
      <c r="AB109" s="434">
        <f t="shared" si="66"/>
        <v>0</v>
      </c>
      <c r="AC109" s="432">
        <v>0</v>
      </c>
      <c r="AD109" s="433">
        <f t="shared" si="67"/>
        <v>0</v>
      </c>
      <c r="AE109" s="434">
        <f t="shared" si="68"/>
        <v>0</v>
      </c>
      <c r="AF109" s="420"/>
      <c r="AG109" s="420"/>
      <c r="AH109" s="421"/>
      <c r="AI109" s="432">
        <v>0</v>
      </c>
      <c r="AJ109" s="433">
        <f t="shared" si="69"/>
        <v>0</v>
      </c>
      <c r="AK109" s="434">
        <f t="shared" si="70"/>
        <v>0</v>
      </c>
      <c r="AL109" s="433">
        <v>0</v>
      </c>
      <c r="AM109" s="433">
        <f t="shared" si="71"/>
        <v>0</v>
      </c>
      <c r="AN109" s="434">
        <f t="shared" si="72"/>
        <v>0</v>
      </c>
      <c r="AO109" s="432">
        <v>0</v>
      </c>
      <c r="AP109" s="433">
        <f t="shared" si="73"/>
        <v>0</v>
      </c>
      <c r="AQ109" s="434">
        <f t="shared" si="74"/>
        <v>0</v>
      </c>
    </row>
    <row r="110" spans="1:43">
      <c r="A110" s="29" t="s">
        <v>34</v>
      </c>
      <c r="B110" s="435">
        <v>0</v>
      </c>
      <c r="C110" s="436">
        <f t="shared" si="75"/>
        <v>0</v>
      </c>
      <c r="D110" s="437">
        <f t="shared" si="50"/>
        <v>0</v>
      </c>
      <c r="E110" s="436">
        <v>0</v>
      </c>
      <c r="F110" s="436">
        <f t="shared" si="51"/>
        <v>0</v>
      </c>
      <c r="G110" s="437">
        <f t="shared" si="52"/>
        <v>0</v>
      </c>
      <c r="H110" s="436">
        <v>0</v>
      </c>
      <c r="I110" s="436">
        <f t="shared" si="53"/>
        <v>0</v>
      </c>
      <c r="J110" s="437">
        <f t="shared" si="54"/>
        <v>0</v>
      </c>
      <c r="K110" s="435">
        <v>0</v>
      </c>
      <c r="L110" s="436">
        <f t="shared" si="55"/>
        <v>0</v>
      </c>
      <c r="M110" s="437">
        <f t="shared" si="56"/>
        <v>0</v>
      </c>
      <c r="N110" s="436">
        <v>0</v>
      </c>
      <c r="O110" s="436">
        <f t="shared" si="57"/>
        <v>0</v>
      </c>
      <c r="P110" s="437">
        <f t="shared" si="58"/>
        <v>0</v>
      </c>
      <c r="Q110" s="435">
        <v>0</v>
      </c>
      <c r="R110" s="436">
        <f t="shared" si="59"/>
        <v>0</v>
      </c>
      <c r="S110" s="437">
        <f t="shared" si="60"/>
        <v>0</v>
      </c>
      <c r="T110" s="436">
        <v>0</v>
      </c>
      <c r="U110" s="436">
        <f t="shared" si="61"/>
        <v>0</v>
      </c>
      <c r="V110" s="437">
        <f t="shared" si="62"/>
        <v>0</v>
      </c>
      <c r="W110" s="435">
        <v>0</v>
      </c>
      <c r="X110" s="436">
        <f t="shared" si="63"/>
        <v>0</v>
      </c>
      <c r="Y110" s="437">
        <f t="shared" si="64"/>
        <v>0</v>
      </c>
      <c r="Z110" s="436">
        <v>0</v>
      </c>
      <c r="AA110" s="436">
        <f t="shared" si="65"/>
        <v>0</v>
      </c>
      <c r="AB110" s="437">
        <f t="shared" si="66"/>
        <v>0</v>
      </c>
      <c r="AC110" s="435">
        <v>0</v>
      </c>
      <c r="AD110" s="436">
        <f t="shared" si="67"/>
        <v>0</v>
      </c>
      <c r="AE110" s="437">
        <f t="shared" si="68"/>
        <v>0</v>
      </c>
      <c r="AF110" s="425"/>
      <c r="AG110" s="425"/>
      <c r="AH110" s="426"/>
      <c r="AI110" s="435">
        <v>0</v>
      </c>
      <c r="AJ110" s="436">
        <f t="shared" si="69"/>
        <v>0</v>
      </c>
      <c r="AK110" s="437">
        <f t="shared" si="70"/>
        <v>0</v>
      </c>
      <c r="AL110" s="436">
        <v>0</v>
      </c>
      <c r="AM110" s="436">
        <f t="shared" si="71"/>
        <v>0</v>
      </c>
      <c r="AN110" s="437">
        <f t="shared" si="72"/>
        <v>0</v>
      </c>
      <c r="AO110" s="435">
        <v>0</v>
      </c>
      <c r="AP110" s="436">
        <f t="shared" si="73"/>
        <v>0</v>
      </c>
      <c r="AQ110" s="437">
        <f t="shared" si="74"/>
        <v>0</v>
      </c>
    </row>
    <row r="111" spans="1:43">
      <c r="A111" s="29" t="s">
        <v>35</v>
      </c>
      <c r="B111" s="454">
        <f>SUM(B103:B110)</f>
        <v>0</v>
      </c>
      <c r="C111" s="427">
        <f t="shared" ref="C111:AE111" si="76">SUM(C103:C110)</f>
        <v>131.06116741039781</v>
      </c>
      <c r="D111" s="427">
        <f t="shared" si="76"/>
        <v>171.81880445394214</v>
      </c>
      <c r="E111" s="454">
        <f t="shared" si="76"/>
        <v>0</v>
      </c>
      <c r="F111" s="427">
        <f t="shared" si="76"/>
        <v>19.519493250287322</v>
      </c>
      <c r="G111" s="427">
        <f t="shared" si="76"/>
        <v>19.543736403613686</v>
      </c>
      <c r="H111" s="454">
        <f t="shared" si="76"/>
        <v>0</v>
      </c>
      <c r="I111" s="427">
        <f t="shared" si="76"/>
        <v>55.068932640986823</v>
      </c>
      <c r="J111" s="427">
        <f t="shared" si="76"/>
        <v>49.574320165005126</v>
      </c>
      <c r="K111" s="454">
        <f t="shared" si="76"/>
        <v>0</v>
      </c>
      <c r="L111" s="427">
        <f t="shared" si="76"/>
        <v>31.211118730756333</v>
      </c>
      <c r="M111" s="427">
        <f t="shared" si="76"/>
        <v>45.14690918973394</v>
      </c>
      <c r="N111" s="454">
        <f t="shared" si="76"/>
        <v>0</v>
      </c>
      <c r="O111" s="427">
        <f t="shared" si="76"/>
        <v>23.094506906821234</v>
      </c>
      <c r="P111" s="427">
        <f t="shared" si="76"/>
        <v>33.400413637049638</v>
      </c>
      <c r="Q111" s="454">
        <f t="shared" si="76"/>
        <v>0</v>
      </c>
      <c r="R111" s="427">
        <f t="shared" si="76"/>
        <v>23.052345233582454</v>
      </c>
      <c r="S111" s="427">
        <f t="shared" si="76"/>
        <v>41.668081931814982</v>
      </c>
      <c r="T111" s="454">
        <f t="shared" si="76"/>
        <v>0</v>
      </c>
      <c r="U111" s="427">
        <f t="shared" si="76"/>
        <v>16.720474949858893</v>
      </c>
      <c r="V111" s="427">
        <f t="shared" si="76"/>
        <v>26.942132997201401</v>
      </c>
      <c r="W111" s="454">
        <f t="shared" si="76"/>
        <v>0</v>
      </c>
      <c r="X111" s="427">
        <f t="shared" si="76"/>
        <v>15.570130475081644</v>
      </c>
      <c r="Y111" s="427">
        <f t="shared" si="76"/>
        <v>20.967923220018882</v>
      </c>
      <c r="Z111" s="454">
        <f t="shared" si="76"/>
        <v>0</v>
      </c>
      <c r="AA111" s="427">
        <f t="shared" si="76"/>
        <v>3.0964676882744571</v>
      </c>
      <c r="AB111" s="427">
        <f t="shared" si="76"/>
        <v>3.1295490584106758</v>
      </c>
      <c r="AC111" s="454">
        <f t="shared" si="76"/>
        <v>0</v>
      </c>
      <c r="AD111" s="427">
        <f t="shared" si="76"/>
        <v>10.902098625812538</v>
      </c>
      <c r="AE111" s="427">
        <f t="shared" si="76"/>
        <v>12.703251092787788</v>
      </c>
      <c r="AF111" s="34"/>
      <c r="AG111" s="34"/>
      <c r="AH111" s="34"/>
      <c r="AI111" s="454">
        <f t="shared" ref="AI111:AQ111" si="77">SUM(AI103:AI110)</f>
        <v>0</v>
      </c>
      <c r="AJ111" s="427">
        <f t="shared" si="77"/>
        <v>4.5749127620566474</v>
      </c>
      <c r="AK111" s="427">
        <f t="shared" si="77"/>
        <v>4.6068945608722203</v>
      </c>
      <c r="AL111" s="454">
        <f t="shared" si="77"/>
        <v>0</v>
      </c>
      <c r="AM111" s="427">
        <f t="shared" si="77"/>
        <v>0.47869554402400027</v>
      </c>
      <c r="AN111" s="427">
        <f t="shared" si="77"/>
        <v>1.1300275988360877</v>
      </c>
      <c r="AO111" s="454">
        <f t="shared" si="77"/>
        <v>0</v>
      </c>
      <c r="AP111" s="427">
        <f t="shared" si="77"/>
        <v>0.37197804078388269</v>
      </c>
      <c r="AQ111" s="427">
        <f t="shared" si="77"/>
        <v>0.33839947767412781</v>
      </c>
    </row>
    <row r="112" spans="1:43">
      <c r="C112" s="427">
        <f>SUM(C111,F111,I111,L111,O111,R111,U111,X111,AA111,AD111,AJ111,AM111,AP111)</f>
        <v>334.72232225872403</v>
      </c>
      <c r="D112" s="428"/>
    </row>
    <row r="113" spans="1:43">
      <c r="A113" s="635" t="s">
        <v>88</v>
      </c>
      <c r="B113" s="635"/>
      <c r="C113" s="635"/>
      <c r="D113" s="635"/>
      <c r="E113" s="635"/>
      <c r="F113" s="635"/>
      <c r="G113" s="635"/>
      <c r="H113" s="635"/>
      <c r="I113" s="635"/>
      <c r="J113" s="635"/>
      <c r="K113" s="635"/>
      <c r="L113" s="635"/>
      <c r="M113" s="635"/>
      <c r="N113" s="635"/>
      <c r="O113" s="635"/>
      <c r="P113" s="635"/>
      <c r="Q113" s="635"/>
      <c r="R113" s="635"/>
      <c r="S113" s="635"/>
      <c r="T113" s="635"/>
      <c r="U113" s="635"/>
      <c r="V113" s="635"/>
      <c r="W113" s="635"/>
      <c r="X113" s="635"/>
      <c r="Y113" s="635"/>
      <c r="Z113" s="635"/>
      <c r="AA113" s="635"/>
      <c r="AB113" s="635"/>
      <c r="AC113" s="635"/>
      <c r="AD113" s="635"/>
      <c r="AE113" s="635"/>
      <c r="AF113" s="635"/>
      <c r="AG113" s="635"/>
      <c r="AH113" s="635"/>
      <c r="AI113" s="635"/>
      <c r="AJ113" s="635"/>
      <c r="AK113" s="635"/>
      <c r="AL113" s="635"/>
      <c r="AM113" s="635"/>
      <c r="AN113" s="635"/>
      <c r="AO113" s="635"/>
      <c r="AP113" s="635"/>
      <c r="AQ113" s="635"/>
    </row>
    <row r="115" spans="1:43">
      <c r="A115" s="3" t="s">
        <v>89</v>
      </c>
      <c r="B115" s="3"/>
      <c r="C115" s="3"/>
      <c r="D115" s="3"/>
      <c r="E115" s="3"/>
      <c r="F115" s="3"/>
      <c r="G115" s="3"/>
      <c r="H115" s="3"/>
      <c r="I115" s="3"/>
      <c r="J115" s="3"/>
      <c r="K115" s="3"/>
      <c r="L115" s="3"/>
      <c r="M115" s="3"/>
      <c r="N115" s="3"/>
      <c r="O115" s="3"/>
      <c r="P115" s="3"/>
      <c r="Q115" s="3"/>
      <c r="R115" s="3"/>
      <c r="S115" s="3"/>
      <c r="T115" s="3"/>
      <c r="U115" s="3"/>
      <c r="V115" s="3"/>
    </row>
    <row r="117" spans="1:43">
      <c r="B117" s="627">
        <v>2019</v>
      </c>
      <c r="C117" s="627"/>
      <c r="D117" s="627"/>
      <c r="E117" s="627"/>
      <c r="F117" s="627"/>
      <c r="G117" s="627"/>
      <c r="H117" s="627"/>
      <c r="I117" s="627">
        <v>2035</v>
      </c>
      <c r="J117" s="627"/>
      <c r="K117" s="627"/>
      <c r="L117" s="627"/>
      <c r="M117" s="627"/>
      <c r="N117" s="627"/>
      <c r="O117" s="627"/>
      <c r="P117" s="627" t="s">
        <v>90</v>
      </c>
      <c r="Q117" s="627"/>
      <c r="R117" s="627"/>
      <c r="S117" s="627"/>
      <c r="T117" s="627"/>
      <c r="U117" s="627"/>
      <c r="V117" s="627"/>
      <c r="W117" s="35"/>
      <c r="AE117" s="35"/>
      <c r="AF117" s="35"/>
      <c r="AG117" s="35"/>
      <c r="AH117" s="35"/>
      <c r="AI117" s="35"/>
      <c r="AJ117" s="35"/>
      <c r="AK117" s="35"/>
      <c r="AL117" s="35"/>
      <c r="AM117" s="35"/>
      <c r="AN117" s="35"/>
      <c r="AO117" s="35"/>
      <c r="AP117" s="35"/>
      <c r="AQ117" s="35"/>
    </row>
    <row r="118" spans="1:43">
      <c r="B118" s="29" t="s">
        <v>28</v>
      </c>
      <c r="C118" s="29" t="s">
        <v>29</v>
      </c>
      <c r="D118" s="29" t="s">
        <v>30</v>
      </c>
      <c r="E118" s="29" t="s">
        <v>31</v>
      </c>
      <c r="F118" s="29" t="s">
        <v>32</v>
      </c>
      <c r="G118" s="29" t="s">
        <v>33</v>
      </c>
      <c r="H118" s="29" t="s">
        <v>34</v>
      </c>
      <c r="I118" s="29" t="s">
        <v>28</v>
      </c>
      <c r="J118" s="29" t="s">
        <v>29</v>
      </c>
      <c r="K118" s="29" t="s">
        <v>30</v>
      </c>
      <c r="L118" s="29" t="s">
        <v>31</v>
      </c>
      <c r="M118" s="29" t="s">
        <v>32</v>
      </c>
      <c r="N118" s="29" t="s">
        <v>33</v>
      </c>
      <c r="O118" s="29" t="s">
        <v>34</v>
      </c>
      <c r="P118" s="29" t="s">
        <v>28</v>
      </c>
      <c r="Q118" s="29" t="s">
        <v>29</v>
      </c>
      <c r="R118" s="29" t="s">
        <v>30</v>
      </c>
      <c r="S118" s="29" t="s">
        <v>31</v>
      </c>
      <c r="T118" s="29" t="s">
        <v>32</v>
      </c>
      <c r="U118" s="29" t="s">
        <v>33</v>
      </c>
      <c r="V118" s="29" t="s">
        <v>34</v>
      </c>
      <c r="W118" s="35"/>
      <c r="AL118" s="35"/>
      <c r="AM118" s="35"/>
      <c r="AN118" s="35"/>
      <c r="AO118" s="35"/>
      <c r="AP118" s="35"/>
      <c r="AQ118" s="35"/>
    </row>
    <row r="119" spans="1:43">
      <c r="A119" s="39" t="s">
        <v>51</v>
      </c>
      <c r="B119" s="456">
        <v>2.111576813110585</v>
      </c>
      <c r="C119" s="457">
        <v>2.6073906524463841</v>
      </c>
      <c r="D119" s="457">
        <v>2.9439000000015945</v>
      </c>
      <c r="E119" s="457">
        <v>3.3000000003937026E-2</v>
      </c>
      <c r="F119" s="457">
        <v>0.13400000000000001</v>
      </c>
      <c r="G119" s="457">
        <v>0</v>
      </c>
      <c r="H119" s="458">
        <v>1.015485</v>
      </c>
      <c r="I119" s="456">
        <v>2.6827496882992818</v>
      </c>
      <c r="J119" s="457">
        <v>2.503677606404938</v>
      </c>
      <c r="K119" s="457">
        <v>2.3726625009298559</v>
      </c>
      <c r="L119" s="457">
        <v>0.76258459493018427</v>
      </c>
      <c r="M119" s="457">
        <v>0.16055712756668522</v>
      </c>
      <c r="N119" s="457">
        <v>0</v>
      </c>
      <c r="O119" s="458">
        <v>1.015485</v>
      </c>
      <c r="P119" s="456">
        <v>0</v>
      </c>
      <c r="Q119" s="457">
        <v>0</v>
      </c>
      <c r="R119" s="459">
        <v>0.26768037842245485</v>
      </c>
      <c r="S119" s="457">
        <v>0.10429766236142786</v>
      </c>
      <c r="T119" s="457">
        <v>0</v>
      </c>
      <c r="U119" s="457">
        <v>0</v>
      </c>
      <c r="V119" s="458">
        <v>0</v>
      </c>
      <c r="W119" s="35"/>
    </row>
    <row r="120" spans="1:43">
      <c r="A120" s="39" t="s">
        <v>50</v>
      </c>
      <c r="B120" s="460">
        <v>1.6523386281414354</v>
      </c>
      <c r="C120" s="461">
        <v>2.4259820996468116</v>
      </c>
      <c r="D120" s="461">
        <v>2.2929183333391974</v>
      </c>
      <c r="E120" s="461">
        <v>0.10679694445020754</v>
      </c>
      <c r="F120" s="461">
        <v>0.17919805555555557</v>
      </c>
      <c r="G120" s="461">
        <v>2.3388888888888887E-4</v>
      </c>
      <c r="H120" s="462">
        <v>0.4910788888888889</v>
      </c>
      <c r="I120" s="460">
        <v>1.9358977129058608</v>
      </c>
      <c r="J120" s="461">
        <v>2.1452329862932045</v>
      </c>
      <c r="K120" s="461">
        <v>2.3728970707775408</v>
      </c>
      <c r="L120" s="461">
        <v>1.4227817817336086</v>
      </c>
      <c r="M120" s="461">
        <v>0.2160983113689838</v>
      </c>
      <c r="N120" s="461">
        <v>2.3388888888888887E-4</v>
      </c>
      <c r="O120" s="462">
        <v>0.4910788888888889</v>
      </c>
      <c r="P120" s="460">
        <v>8.2341673403451845E-2</v>
      </c>
      <c r="Q120" s="461">
        <v>3.465103799200412E-2</v>
      </c>
      <c r="R120" s="420">
        <v>1.1401059732808009E-2</v>
      </c>
      <c r="S120" s="461">
        <v>0.35030177289573633</v>
      </c>
      <c r="T120" s="461">
        <v>0</v>
      </c>
      <c r="U120" s="461">
        <v>0</v>
      </c>
      <c r="V120" s="462">
        <v>0</v>
      </c>
      <c r="W120" s="35"/>
    </row>
    <row r="121" spans="1:43">
      <c r="A121" s="39" t="s">
        <v>49</v>
      </c>
      <c r="B121" s="460">
        <v>2.9127387221315666</v>
      </c>
      <c r="C121" s="461">
        <v>3.0953999568750752</v>
      </c>
      <c r="D121" s="461">
        <v>5.1172666666694697</v>
      </c>
      <c r="E121" s="461">
        <v>5.5000000002317466E-2</v>
      </c>
      <c r="F121" s="461">
        <v>0.21109999999999998</v>
      </c>
      <c r="G121" s="461">
        <v>0</v>
      </c>
      <c r="H121" s="462">
        <v>0.20699999999999999</v>
      </c>
      <c r="I121" s="460">
        <v>2.8098723762644182</v>
      </c>
      <c r="J121" s="461">
        <v>2.8988923282763537</v>
      </c>
      <c r="K121" s="461">
        <v>5.4181491630501402</v>
      </c>
      <c r="L121" s="461">
        <v>2.3954488242710514</v>
      </c>
      <c r="M121" s="461">
        <v>0.2480447359943396</v>
      </c>
      <c r="N121" s="461">
        <v>0</v>
      </c>
      <c r="O121" s="462">
        <v>0.20699999999999999</v>
      </c>
      <c r="P121" s="460">
        <v>9.9437324112604614E-2</v>
      </c>
      <c r="Q121" s="461">
        <v>2.5720040415196547E-2</v>
      </c>
      <c r="R121" s="420">
        <v>3.8093333268233467</v>
      </c>
      <c r="S121" s="461">
        <v>0.6404220707054995</v>
      </c>
      <c r="T121" s="461">
        <v>0</v>
      </c>
      <c r="U121" s="461">
        <v>0</v>
      </c>
      <c r="V121" s="462">
        <v>0</v>
      </c>
      <c r="W121" s="35"/>
    </row>
    <row r="122" spans="1:43">
      <c r="A122" s="39" t="s">
        <v>48</v>
      </c>
      <c r="B122" s="460"/>
      <c r="C122" s="461"/>
      <c r="D122" s="461"/>
      <c r="E122" s="461"/>
      <c r="F122" s="461"/>
      <c r="G122" s="461"/>
      <c r="H122" s="462"/>
      <c r="I122" s="460"/>
      <c r="J122" s="461"/>
      <c r="K122" s="461"/>
      <c r="L122" s="461"/>
      <c r="M122" s="461"/>
      <c r="N122" s="461"/>
      <c r="O122" s="462"/>
      <c r="P122" s="460"/>
      <c r="Q122" s="461"/>
      <c r="R122" s="461"/>
      <c r="S122" s="461"/>
      <c r="T122" s="461"/>
      <c r="U122" s="461"/>
      <c r="V122" s="462"/>
      <c r="W122" s="35"/>
    </row>
    <row r="123" spans="1:43">
      <c r="A123" s="39" t="s">
        <v>47</v>
      </c>
      <c r="B123" s="460">
        <v>24.142483306732149</v>
      </c>
      <c r="C123" s="461">
        <v>18.496723118567548</v>
      </c>
      <c r="D123" s="461">
        <v>41.166333333363887</v>
      </c>
      <c r="E123" s="461">
        <v>0.85900000001979415</v>
      </c>
      <c r="F123" s="461">
        <v>1.4749999999999999</v>
      </c>
      <c r="G123" s="461">
        <v>0</v>
      </c>
      <c r="H123" s="462">
        <v>2.597</v>
      </c>
      <c r="I123" s="460">
        <v>28.469495522034578</v>
      </c>
      <c r="J123" s="461">
        <v>16.799815154664365</v>
      </c>
      <c r="K123" s="461">
        <v>75.177526568692485</v>
      </c>
      <c r="L123" s="461">
        <v>7.7758676893914167</v>
      </c>
      <c r="M123" s="461">
        <v>1.8600021776186844</v>
      </c>
      <c r="N123" s="461">
        <v>0</v>
      </c>
      <c r="O123" s="462">
        <v>2.597</v>
      </c>
      <c r="P123" s="460">
        <v>8.0814091996037219E-3</v>
      </c>
      <c r="Q123" s="461">
        <v>0</v>
      </c>
      <c r="R123" s="420">
        <v>10.30250346264712</v>
      </c>
      <c r="S123" s="461">
        <v>0.59151375396581329</v>
      </c>
      <c r="T123" s="461">
        <v>0</v>
      </c>
      <c r="U123" s="461">
        <v>0</v>
      </c>
      <c r="V123" s="462">
        <v>0</v>
      </c>
      <c r="W123" s="35"/>
    </row>
    <row r="124" spans="1:43">
      <c r="A124" s="39" t="s">
        <v>46</v>
      </c>
      <c r="B124" s="460">
        <v>9.758237114062764</v>
      </c>
      <c r="C124" s="461">
        <v>8.5369914127732667</v>
      </c>
      <c r="D124" s="461">
        <v>10.935953333337894</v>
      </c>
      <c r="E124" s="461">
        <v>0.46218805557782139</v>
      </c>
      <c r="F124" s="461">
        <v>1.8264880555555556</v>
      </c>
      <c r="G124" s="461">
        <v>0</v>
      </c>
      <c r="H124" s="462">
        <v>0.83323888888888886</v>
      </c>
      <c r="I124" s="460">
        <v>9.7006107218584283</v>
      </c>
      <c r="J124" s="461">
        <v>8.3422871720744052</v>
      </c>
      <c r="K124" s="461">
        <v>13.535981127230176</v>
      </c>
      <c r="L124" s="461">
        <v>8.7046159930069251</v>
      </c>
      <c r="M124" s="461">
        <v>2.2297911838977913</v>
      </c>
      <c r="N124" s="461">
        <v>0</v>
      </c>
      <c r="O124" s="462">
        <v>0.83323888888888886</v>
      </c>
      <c r="P124" s="460">
        <v>0</v>
      </c>
      <c r="Q124" s="461">
        <v>0</v>
      </c>
      <c r="R124" s="420">
        <v>0.64674991468015774</v>
      </c>
      <c r="S124" s="461">
        <v>2.4497177735942994</v>
      </c>
      <c r="T124" s="461">
        <v>0</v>
      </c>
      <c r="U124" s="461">
        <v>0</v>
      </c>
      <c r="V124" s="462">
        <v>0</v>
      </c>
      <c r="W124" s="35"/>
    </row>
    <row r="125" spans="1:43">
      <c r="A125" s="39" t="s">
        <v>45</v>
      </c>
      <c r="B125" s="460">
        <v>45.961397149719552</v>
      </c>
      <c r="C125" s="461">
        <v>25.860808652649304</v>
      </c>
      <c r="D125" s="461">
        <v>55.423944444485777</v>
      </c>
      <c r="E125" s="461">
        <v>2.7380000000200972</v>
      </c>
      <c r="F125" s="461">
        <v>1.024</v>
      </c>
      <c r="G125" s="461">
        <v>0</v>
      </c>
      <c r="H125" s="462">
        <v>2.794</v>
      </c>
      <c r="I125" s="460">
        <v>41.906182068955047</v>
      </c>
      <c r="J125" s="461">
        <v>21.775450134982655</v>
      </c>
      <c r="K125" s="461">
        <v>106.76237665245722</v>
      </c>
      <c r="L125" s="461">
        <v>13.232145079221347</v>
      </c>
      <c r="M125" s="461">
        <v>1.2401885130547945</v>
      </c>
      <c r="N125" s="461">
        <v>0</v>
      </c>
      <c r="O125" s="462">
        <v>2.794</v>
      </c>
      <c r="P125" s="460">
        <v>0.58109748641696013</v>
      </c>
      <c r="Q125" s="461">
        <v>0.18612976467188172</v>
      </c>
      <c r="R125" s="420">
        <v>14.60298751369373</v>
      </c>
      <c r="S125" s="461">
        <v>0.19991571029907212</v>
      </c>
      <c r="T125" s="461">
        <v>0</v>
      </c>
      <c r="U125" s="461">
        <v>0</v>
      </c>
      <c r="V125" s="462">
        <v>0</v>
      </c>
      <c r="W125" s="35"/>
    </row>
    <row r="126" spans="1:43">
      <c r="A126" s="39" t="s">
        <v>44</v>
      </c>
      <c r="B126" s="460">
        <v>16.848878942666087</v>
      </c>
      <c r="C126" s="461">
        <v>19.90063035145856</v>
      </c>
      <c r="D126" s="461">
        <v>41.908422222246053</v>
      </c>
      <c r="E126" s="461">
        <v>1.7066000000879824</v>
      </c>
      <c r="F126" s="461">
        <v>1.7981</v>
      </c>
      <c r="G126" s="461">
        <v>5.0199999999999995E-2</v>
      </c>
      <c r="H126" s="462">
        <v>3.7263999999999999</v>
      </c>
      <c r="I126" s="460">
        <v>21.497694411829968</v>
      </c>
      <c r="J126" s="461">
        <v>19.093401415301642</v>
      </c>
      <c r="K126" s="461">
        <v>71.490567500696272</v>
      </c>
      <c r="L126" s="461">
        <v>17.12879709452125</v>
      </c>
      <c r="M126" s="461">
        <v>2.1091637552682134</v>
      </c>
      <c r="N126" s="461">
        <v>5.0199999999999995E-2</v>
      </c>
      <c r="O126" s="462">
        <v>3.7263999999999999</v>
      </c>
      <c r="P126" s="460">
        <v>0</v>
      </c>
      <c r="Q126" s="461">
        <v>0</v>
      </c>
      <c r="R126" s="420">
        <v>16.385565240702718</v>
      </c>
      <c r="S126" s="461">
        <v>0.33490970915617563</v>
      </c>
      <c r="T126" s="461">
        <v>0</v>
      </c>
      <c r="U126" s="461">
        <v>0</v>
      </c>
      <c r="V126" s="462">
        <v>0</v>
      </c>
      <c r="W126" s="35"/>
    </row>
    <row r="127" spans="1:43">
      <c r="A127" s="39" t="s">
        <v>43</v>
      </c>
      <c r="B127" s="460">
        <v>23.020608525803496</v>
      </c>
      <c r="C127" s="461">
        <v>32.629185559677026</v>
      </c>
      <c r="D127" s="461">
        <v>45.331309203355609</v>
      </c>
      <c r="E127" s="461">
        <v>2.3635881600947357</v>
      </c>
      <c r="F127" s="461">
        <v>11.446234369445026</v>
      </c>
      <c r="G127" s="461">
        <v>0</v>
      </c>
      <c r="H127" s="462">
        <v>3.4897908388888887</v>
      </c>
      <c r="I127" s="460">
        <v>29.7909978577392</v>
      </c>
      <c r="J127" s="461">
        <v>28.311441247641774</v>
      </c>
      <c r="K127" s="461">
        <v>90.665983769990845</v>
      </c>
      <c r="L127" s="461">
        <v>35.985031270837979</v>
      </c>
      <c r="M127" s="461">
        <v>13.170561878250766</v>
      </c>
      <c r="N127" s="461">
        <v>0</v>
      </c>
      <c r="O127" s="462">
        <v>3.4897908388888887</v>
      </c>
      <c r="P127" s="460">
        <v>0</v>
      </c>
      <c r="Q127" s="461">
        <v>0</v>
      </c>
      <c r="R127" s="420">
        <v>21.340879403793014</v>
      </c>
      <c r="S127" s="461">
        <v>1.7114658297894405</v>
      </c>
      <c r="T127" s="461">
        <v>0</v>
      </c>
      <c r="U127" s="461">
        <v>0</v>
      </c>
      <c r="V127" s="462">
        <v>0</v>
      </c>
      <c r="W127" s="35"/>
    </row>
    <row r="128" spans="1:43">
      <c r="A128" s="39" t="s">
        <v>42</v>
      </c>
      <c r="B128" s="460">
        <v>27.808623684300141</v>
      </c>
      <c r="C128" s="461">
        <v>44.395861473465111</v>
      </c>
      <c r="D128" s="461">
        <v>73.352501666753241</v>
      </c>
      <c r="E128" s="461">
        <v>3.1881597223481135</v>
      </c>
      <c r="F128" s="461">
        <v>1.8322511111111113</v>
      </c>
      <c r="G128" s="461">
        <v>0</v>
      </c>
      <c r="H128" s="462">
        <v>12.625531944444443</v>
      </c>
      <c r="I128" s="460">
        <v>36.011125659036281</v>
      </c>
      <c r="J128" s="461">
        <v>37.582164295274382</v>
      </c>
      <c r="K128" s="461">
        <v>84.969825301527095</v>
      </c>
      <c r="L128" s="461">
        <v>27.004214594996089</v>
      </c>
      <c r="M128" s="461">
        <v>2.2677814992331258</v>
      </c>
      <c r="N128" s="461">
        <v>0</v>
      </c>
      <c r="O128" s="462">
        <v>12.625531944444443</v>
      </c>
      <c r="P128" s="460">
        <v>1.9879763416513476</v>
      </c>
      <c r="Q128" s="461">
        <v>0.49599664202031446</v>
      </c>
      <c r="R128" s="420">
        <v>16.761266486634689</v>
      </c>
      <c r="S128" s="461">
        <v>3.8492674365148827</v>
      </c>
      <c r="T128" s="461">
        <v>0</v>
      </c>
      <c r="U128" s="461">
        <v>0</v>
      </c>
      <c r="V128" s="462">
        <v>0</v>
      </c>
      <c r="W128" s="35"/>
    </row>
    <row r="129" spans="1:23">
      <c r="A129" s="39" t="s">
        <v>41</v>
      </c>
      <c r="B129" s="460">
        <v>72.986245663576753</v>
      </c>
      <c r="C129" s="461">
        <v>68.405060171341333</v>
      </c>
      <c r="D129" s="461">
        <v>89.951833333411074</v>
      </c>
      <c r="E129" s="461">
        <v>3.7390000001372554</v>
      </c>
      <c r="F129" s="461">
        <v>5.3769999999999998</v>
      </c>
      <c r="G129" s="461">
        <v>1.5760000000000001</v>
      </c>
      <c r="H129" s="462">
        <v>9.4610000000000003</v>
      </c>
      <c r="I129" s="460">
        <v>78.215123032494148</v>
      </c>
      <c r="J129" s="461">
        <v>57.051533750861694</v>
      </c>
      <c r="K129" s="461">
        <v>88.032615671732771</v>
      </c>
      <c r="L129" s="461">
        <v>61.552446151668654</v>
      </c>
      <c r="M129" s="461">
        <v>6.5897757494325537</v>
      </c>
      <c r="N129" s="461">
        <v>1.5760000000000001</v>
      </c>
      <c r="O129" s="462">
        <v>9.4610000000000003</v>
      </c>
      <c r="P129" s="460">
        <v>0</v>
      </c>
      <c r="Q129" s="461">
        <v>0</v>
      </c>
      <c r="R129" s="420">
        <v>26.298620671266125</v>
      </c>
      <c r="S129" s="461">
        <v>4.9124980594902077</v>
      </c>
      <c r="T129" s="461">
        <v>0</v>
      </c>
      <c r="U129" s="461">
        <v>0</v>
      </c>
      <c r="V129" s="462">
        <v>0</v>
      </c>
      <c r="W129" s="35"/>
    </row>
    <row r="130" spans="1:23">
      <c r="A130" s="39" t="s">
        <v>75</v>
      </c>
      <c r="B130" s="460">
        <v>105.41376793036197</v>
      </c>
      <c r="C130" s="461">
        <v>89.178913906190502</v>
      </c>
      <c r="D130" s="461">
        <v>99.852868611171687</v>
      </c>
      <c r="E130" s="461">
        <v>6.5071830557322414</v>
      </c>
      <c r="F130" s="461">
        <v>3.1539988888888888</v>
      </c>
      <c r="G130" s="461">
        <v>0</v>
      </c>
      <c r="H130" s="462">
        <v>12.505419999999999</v>
      </c>
      <c r="I130" s="460">
        <v>121.41605975253874</v>
      </c>
      <c r="J130" s="461">
        <v>103.48243159346795</v>
      </c>
      <c r="K130" s="461">
        <v>101.4489567490502</v>
      </c>
      <c r="L130" s="461">
        <v>63.381438532765628</v>
      </c>
      <c r="M130" s="461">
        <v>3.729414634527672</v>
      </c>
      <c r="N130" s="461">
        <v>0</v>
      </c>
      <c r="O130" s="462">
        <v>12.505419999999999</v>
      </c>
      <c r="P130" s="460">
        <v>22.761892463084823</v>
      </c>
      <c r="Q130" s="461">
        <v>3.749521218642196</v>
      </c>
      <c r="R130" s="420">
        <v>23.379432661168437</v>
      </c>
      <c r="S130" s="461">
        <v>5.1780862980913662</v>
      </c>
      <c r="T130" s="461">
        <v>0</v>
      </c>
      <c r="U130" s="461">
        <v>0</v>
      </c>
      <c r="V130" s="462">
        <v>0</v>
      </c>
      <c r="W130" s="35"/>
    </row>
    <row r="131" spans="1:23">
      <c r="A131" s="39" t="s">
        <v>39</v>
      </c>
      <c r="B131" s="460">
        <v>147.54933996614554</v>
      </c>
      <c r="C131" s="461">
        <v>127.44248196798941</v>
      </c>
      <c r="D131" s="461">
        <v>135.61282805559642</v>
      </c>
      <c r="E131" s="461">
        <v>9.0084611112165938</v>
      </c>
      <c r="F131" s="461">
        <v>8.2687249999999999</v>
      </c>
      <c r="G131" s="461">
        <v>1.1570119444444444</v>
      </c>
      <c r="H131" s="462">
        <v>23.869743055555556</v>
      </c>
      <c r="I131" s="460">
        <v>143.99635544196605</v>
      </c>
      <c r="J131" s="461">
        <v>93.880768058074182</v>
      </c>
      <c r="K131" s="461">
        <v>154.15362384365207</v>
      </c>
      <c r="L131" s="461">
        <v>69.68915154549444</v>
      </c>
      <c r="M131" s="461">
        <v>9.1450231271489688</v>
      </c>
      <c r="N131" s="461">
        <v>2.284288081376566</v>
      </c>
      <c r="O131" s="462">
        <v>23.869743055555556</v>
      </c>
      <c r="P131" s="460">
        <v>0</v>
      </c>
      <c r="Q131" s="461">
        <v>0</v>
      </c>
      <c r="R131" s="420">
        <v>17.137290683510024</v>
      </c>
      <c r="S131" s="461">
        <v>2.347466803516125</v>
      </c>
      <c r="T131" s="461">
        <v>3.4735763261173613E-2</v>
      </c>
      <c r="U131" s="461">
        <v>0</v>
      </c>
      <c r="V131" s="462">
        <v>0</v>
      </c>
      <c r="W131" s="35"/>
    </row>
    <row r="132" spans="1:23">
      <c r="A132" s="39" t="s">
        <v>38</v>
      </c>
      <c r="B132" s="463">
        <v>125.26950242051855</v>
      </c>
      <c r="C132" s="464">
        <v>112.18381084093178</v>
      </c>
      <c r="D132" s="464">
        <v>252.63388888901002</v>
      </c>
      <c r="E132" s="464">
        <v>11.676000000195845</v>
      </c>
      <c r="F132" s="464">
        <v>5.0589999999999993</v>
      </c>
      <c r="G132" s="464">
        <v>0</v>
      </c>
      <c r="H132" s="465">
        <v>31.053000000000001</v>
      </c>
      <c r="I132" s="463">
        <v>153.66758177112899</v>
      </c>
      <c r="J132" s="464">
        <v>105.14895832788002</v>
      </c>
      <c r="K132" s="464">
        <v>368.57120781406013</v>
      </c>
      <c r="L132" s="464">
        <v>122.67516084422653</v>
      </c>
      <c r="M132" s="464">
        <v>6.3324502693700442</v>
      </c>
      <c r="N132" s="464">
        <v>0</v>
      </c>
      <c r="O132" s="465">
        <v>31.053000000000001</v>
      </c>
      <c r="P132" s="463">
        <v>12.47881586618303</v>
      </c>
      <c r="Q132" s="464">
        <v>2.9465354255876388</v>
      </c>
      <c r="R132" s="466">
        <v>96.489292148588419</v>
      </c>
      <c r="S132" s="464">
        <v>17.827282386827992</v>
      </c>
      <c r="T132" s="464">
        <v>1.3192415832107254</v>
      </c>
      <c r="U132" s="464">
        <v>0</v>
      </c>
      <c r="V132" s="465">
        <v>0</v>
      </c>
      <c r="W132" s="448">
        <f>SUM(P132:V132)</f>
        <v>131.06116741039781</v>
      </c>
    </row>
    <row r="134" spans="1:23">
      <c r="A134" s="6" t="s">
        <v>91</v>
      </c>
      <c r="B134" s="3"/>
      <c r="C134" s="3"/>
      <c r="D134" s="3"/>
      <c r="E134" s="3"/>
      <c r="F134" s="3"/>
      <c r="G134" s="3"/>
      <c r="H134" s="3"/>
      <c r="I134" s="3"/>
      <c r="J134" s="3"/>
      <c r="K134" s="3"/>
      <c r="L134" s="3"/>
      <c r="M134" s="3"/>
      <c r="N134" s="3"/>
      <c r="O134" s="3"/>
      <c r="P134" s="3"/>
      <c r="Q134" s="3"/>
      <c r="R134" s="3"/>
      <c r="S134" s="3"/>
      <c r="T134" s="3"/>
      <c r="U134" s="3"/>
      <c r="V134" s="3"/>
    </row>
    <row r="136" spans="1:23">
      <c r="B136" s="627">
        <v>2019</v>
      </c>
      <c r="C136" s="627"/>
      <c r="D136" s="627"/>
      <c r="E136" s="627"/>
      <c r="F136" s="627"/>
      <c r="G136" s="627"/>
      <c r="H136" s="627"/>
      <c r="I136" s="627">
        <v>2035</v>
      </c>
      <c r="J136" s="627"/>
      <c r="K136" s="627"/>
      <c r="L136" s="627"/>
      <c r="M136" s="627"/>
      <c r="N136" s="627"/>
      <c r="O136" s="627"/>
      <c r="P136" s="627" t="s">
        <v>90</v>
      </c>
      <c r="Q136" s="627"/>
      <c r="R136" s="627"/>
      <c r="S136" s="627"/>
      <c r="T136" s="627"/>
      <c r="U136" s="627"/>
      <c r="V136" s="627"/>
    </row>
    <row r="137" spans="1:23">
      <c r="B137" s="29" t="s">
        <v>28</v>
      </c>
      <c r="C137" s="29" t="s">
        <v>29</v>
      </c>
      <c r="D137" s="29" t="s">
        <v>30</v>
      </c>
      <c r="E137" s="29" t="s">
        <v>31</v>
      </c>
      <c r="F137" s="29" t="s">
        <v>32</v>
      </c>
      <c r="G137" s="29" t="s">
        <v>33</v>
      </c>
      <c r="H137" s="29" t="s">
        <v>34</v>
      </c>
      <c r="I137" s="29" t="s">
        <v>28</v>
      </c>
      <c r="J137" s="29" t="s">
        <v>29</v>
      </c>
      <c r="K137" s="29" t="s">
        <v>30</v>
      </c>
      <c r="L137" s="29" t="s">
        <v>31</v>
      </c>
      <c r="M137" s="29" t="s">
        <v>32</v>
      </c>
      <c r="N137" s="29" t="s">
        <v>33</v>
      </c>
      <c r="O137" s="29" t="s">
        <v>34</v>
      </c>
      <c r="P137" s="29" t="s">
        <v>28</v>
      </c>
      <c r="Q137" s="29" t="s">
        <v>29</v>
      </c>
      <c r="R137" s="29" t="s">
        <v>30</v>
      </c>
      <c r="S137" s="29" t="s">
        <v>31</v>
      </c>
      <c r="T137" s="29" t="s">
        <v>32</v>
      </c>
      <c r="U137" s="29" t="s">
        <v>33</v>
      </c>
      <c r="V137" s="29" t="s">
        <v>34</v>
      </c>
    </row>
    <row r="138" spans="1:23">
      <c r="A138" s="39" t="s">
        <v>51</v>
      </c>
      <c r="B138" s="467">
        <f>B119</f>
        <v>2.111576813110585</v>
      </c>
      <c r="C138" s="468">
        <f t="shared" ref="C138:H138" si="78">C119</f>
        <v>2.6073906524463841</v>
      </c>
      <c r="D138" s="468">
        <f t="shared" si="78"/>
        <v>2.9439000000015945</v>
      </c>
      <c r="E138" s="468">
        <f t="shared" si="78"/>
        <v>3.3000000003937026E-2</v>
      </c>
      <c r="F138" s="468">
        <f t="shared" si="78"/>
        <v>0.13400000000000001</v>
      </c>
      <c r="G138" s="468">
        <f t="shared" si="78"/>
        <v>0</v>
      </c>
      <c r="H138" s="468">
        <f t="shared" si="78"/>
        <v>1.015485</v>
      </c>
      <c r="I138" s="467">
        <f>I119-B138</f>
        <v>0.57117287518869686</v>
      </c>
      <c r="J138" s="468">
        <f t="shared" ref="J138:O151" si="79">J119-C138</f>
        <v>-0.10371304604144616</v>
      </c>
      <c r="K138" s="468">
        <f t="shared" si="79"/>
        <v>-0.5712374990717386</v>
      </c>
      <c r="L138" s="468">
        <f t="shared" si="79"/>
        <v>0.72958459492624728</v>
      </c>
      <c r="M138" s="468">
        <f t="shared" si="79"/>
        <v>2.6557127566685212E-2</v>
      </c>
      <c r="N138" s="468">
        <f t="shared" si="79"/>
        <v>0</v>
      </c>
      <c r="O138" s="469">
        <f t="shared" si="79"/>
        <v>0</v>
      </c>
      <c r="P138" s="459">
        <f>P119/0.7</f>
        <v>0</v>
      </c>
      <c r="Q138" s="459">
        <f t="shared" ref="Q138:V138" si="80">Q119/0.7</f>
        <v>0</v>
      </c>
      <c r="R138" s="459">
        <f t="shared" si="80"/>
        <v>0.38240054060350692</v>
      </c>
      <c r="S138" s="459">
        <f t="shared" si="80"/>
        <v>0.14899666051632551</v>
      </c>
      <c r="T138" s="459">
        <f t="shared" si="80"/>
        <v>0</v>
      </c>
      <c r="U138" s="459">
        <f t="shared" si="80"/>
        <v>0</v>
      </c>
      <c r="V138" s="470">
        <f t="shared" si="80"/>
        <v>0</v>
      </c>
    </row>
    <row r="139" spans="1:23">
      <c r="A139" s="39" t="s">
        <v>50</v>
      </c>
      <c r="B139" s="471">
        <f t="shared" ref="B139:H139" si="81">B120</f>
        <v>1.6523386281414354</v>
      </c>
      <c r="C139" s="472">
        <f t="shared" si="81"/>
        <v>2.4259820996468116</v>
      </c>
      <c r="D139" s="472">
        <f t="shared" si="81"/>
        <v>2.2929183333391974</v>
      </c>
      <c r="E139" s="472">
        <f t="shared" si="81"/>
        <v>0.10679694445020754</v>
      </c>
      <c r="F139" s="472">
        <f t="shared" si="81"/>
        <v>0.17919805555555557</v>
      </c>
      <c r="G139" s="472">
        <f t="shared" si="81"/>
        <v>2.3388888888888887E-4</v>
      </c>
      <c r="H139" s="472">
        <f t="shared" si="81"/>
        <v>0.4910788888888889</v>
      </c>
      <c r="I139" s="471">
        <f t="shared" ref="I139:I151" si="82">I120-B139</f>
        <v>0.28355908476442537</v>
      </c>
      <c r="J139" s="472">
        <f t="shared" si="79"/>
        <v>-0.28074911335360708</v>
      </c>
      <c r="K139" s="472">
        <f t="shared" si="79"/>
        <v>7.9978737438343384E-2</v>
      </c>
      <c r="L139" s="472">
        <f t="shared" si="79"/>
        <v>1.3159848372834011</v>
      </c>
      <c r="M139" s="472">
        <f t="shared" si="79"/>
        <v>3.6900255813428234E-2</v>
      </c>
      <c r="N139" s="472">
        <f t="shared" si="79"/>
        <v>0</v>
      </c>
      <c r="O139" s="473">
        <f t="shared" si="79"/>
        <v>0</v>
      </c>
      <c r="P139" s="420">
        <f t="shared" ref="P139:V151" si="83">P120/0.7</f>
        <v>0.11763096200493121</v>
      </c>
      <c r="Q139" s="420">
        <f t="shared" si="83"/>
        <v>4.9501482845720174E-2</v>
      </c>
      <c r="R139" s="420">
        <f t="shared" si="83"/>
        <v>1.6287228189725729E-2</v>
      </c>
      <c r="S139" s="420">
        <f t="shared" si="83"/>
        <v>0.50043110413676617</v>
      </c>
      <c r="T139" s="420">
        <f t="shared" si="83"/>
        <v>0</v>
      </c>
      <c r="U139" s="420">
        <f t="shared" si="83"/>
        <v>0</v>
      </c>
      <c r="V139" s="474">
        <f t="shared" si="83"/>
        <v>0</v>
      </c>
    </row>
    <row r="140" spans="1:23">
      <c r="A140" s="39" t="s">
        <v>49</v>
      </c>
      <c r="B140" s="471">
        <f t="shared" ref="B140:H140" si="84">B121</f>
        <v>2.9127387221315666</v>
      </c>
      <c r="C140" s="472">
        <f t="shared" si="84"/>
        <v>3.0953999568750752</v>
      </c>
      <c r="D140" s="472">
        <f t="shared" si="84"/>
        <v>5.1172666666694697</v>
      </c>
      <c r="E140" s="472">
        <f t="shared" si="84"/>
        <v>5.5000000002317466E-2</v>
      </c>
      <c r="F140" s="472">
        <f t="shared" si="84"/>
        <v>0.21109999999999998</v>
      </c>
      <c r="G140" s="472">
        <f t="shared" si="84"/>
        <v>0</v>
      </c>
      <c r="H140" s="472">
        <f t="shared" si="84"/>
        <v>0.20699999999999999</v>
      </c>
      <c r="I140" s="471">
        <f t="shared" si="82"/>
        <v>-0.10286634586714838</v>
      </c>
      <c r="J140" s="472">
        <f t="shared" si="79"/>
        <v>-0.19650762859872151</v>
      </c>
      <c r="K140" s="472">
        <f t="shared" si="79"/>
        <v>0.30088249638067044</v>
      </c>
      <c r="L140" s="472">
        <f t="shared" si="79"/>
        <v>2.340448824268734</v>
      </c>
      <c r="M140" s="472">
        <f t="shared" si="79"/>
        <v>3.6944735994339617E-2</v>
      </c>
      <c r="N140" s="472">
        <f t="shared" si="79"/>
        <v>0</v>
      </c>
      <c r="O140" s="473">
        <f t="shared" si="79"/>
        <v>0</v>
      </c>
      <c r="P140" s="420">
        <f t="shared" si="83"/>
        <v>0.14205332016086375</v>
      </c>
      <c r="Q140" s="420">
        <f t="shared" si="83"/>
        <v>3.6742914878852215E-2</v>
      </c>
      <c r="R140" s="420">
        <f t="shared" si="83"/>
        <v>5.4419047526047812</v>
      </c>
      <c r="S140" s="420">
        <f t="shared" si="83"/>
        <v>0.91488867243642791</v>
      </c>
      <c r="T140" s="420">
        <f t="shared" si="83"/>
        <v>0</v>
      </c>
      <c r="U140" s="420">
        <f t="shared" si="83"/>
        <v>0</v>
      </c>
      <c r="V140" s="474">
        <f t="shared" si="83"/>
        <v>0</v>
      </c>
    </row>
    <row r="141" spans="1:23">
      <c r="A141" s="39" t="s">
        <v>48</v>
      </c>
      <c r="B141" s="471">
        <f t="shared" ref="B141:H141" si="85">B122</f>
        <v>0</v>
      </c>
      <c r="C141" s="472">
        <f t="shared" si="85"/>
        <v>0</v>
      </c>
      <c r="D141" s="472">
        <f t="shared" si="85"/>
        <v>0</v>
      </c>
      <c r="E141" s="472">
        <f t="shared" si="85"/>
        <v>0</v>
      </c>
      <c r="F141" s="472">
        <f t="shared" si="85"/>
        <v>0</v>
      </c>
      <c r="G141" s="472">
        <f t="shared" si="85"/>
        <v>0</v>
      </c>
      <c r="H141" s="472">
        <f t="shared" si="85"/>
        <v>0</v>
      </c>
      <c r="I141" s="471">
        <f t="shared" si="82"/>
        <v>0</v>
      </c>
      <c r="J141" s="472">
        <f t="shared" si="79"/>
        <v>0</v>
      </c>
      <c r="K141" s="472">
        <f t="shared" si="79"/>
        <v>0</v>
      </c>
      <c r="L141" s="472">
        <f t="shared" si="79"/>
        <v>0</v>
      </c>
      <c r="M141" s="472">
        <f t="shared" si="79"/>
        <v>0</v>
      </c>
      <c r="N141" s="472">
        <f t="shared" si="79"/>
        <v>0</v>
      </c>
      <c r="O141" s="473">
        <f t="shared" si="79"/>
        <v>0</v>
      </c>
      <c r="P141" s="420">
        <f t="shared" si="83"/>
        <v>0</v>
      </c>
      <c r="Q141" s="420">
        <f t="shared" si="83"/>
        <v>0</v>
      </c>
      <c r="R141" s="420">
        <f t="shared" si="83"/>
        <v>0</v>
      </c>
      <c r="S141" s="420">
        <f t="shared" si="83"/>
        <v>0</v>
      </c>
      <c r="T141" s="420">
        <f t="shared" si="83"/>
        <v>0</v>
      </c>
      <c r="U141" s="420">
        <f t="shared" si="83"/>
        <v>0</v>
      </c>
      <c r="V141" s="474">
        <f t="shared" si="83"/>
        <v>0</v>
      </c>
    </row>
    <row r="142" spans="1:23">
      <c r="A142" s="39" t="s">
        <v>47</v>
      </c>
      <c r="B142" s="471">
        <f t="shared" ref="B142:H142" si="86">B123</f>
        <v>24.142483306732149</v>
      </c>
      <c r="C142" s="472">
        <f t="shared" si="86"/>
        <v>18.496723118567548</v>
      </c>
      <c r="D142" s="472">
        <f t="shared" si="86"/>
        <v>41.166333333363887</v>
      </c>
      <c r="E142" s="472">
        <f t="shared" si="86"/>
        <v>0.85900000001979415</v>
      </c>
      <c r="F142" s="472">
        <f t="shared" si="86"/>
        <v>1.4749999999999999</v>
      </c>
      <c r="G142" s="472">
        <f t="shared" si="86"/>
        <v>0</v>
      </c>
      <c r="H142" s="472">
        <f t="shared" si="86"/>
        <v>2.597</v>
      </c>
      <c r="I142" s="471">
        <f t="shared" si="82"/>
        <v>4.3270122153024282</v>
      </c>
      <c r="J142" s="472">
        <f t="shared" si="79"/>
        <v>-1.6969079639031825</v>
      </c>
      <c r="K142" s="472">
        <f t="shared" si="79"/>
        <v>34.011193235328598</v>
      </c>
      <c r="L142" s="472">
        <f t="shared" si="79"/>
        <v>6.9168676893716228</v>
      </c>
      <c r="M142" s="472">
        <f t="shared" si="79"/>
        <v>0.38500217761868449</v>
      </c>
      <c r="N142" s="472">
        <f t="shared" si="79"/>
        <v>0</v>
      </c>
      <c r="O142" s="473">
        <f t="shared" si="79"/>
        <v>0</v>
      </c>
      <c r="P142" s="420">
        <f t="shared" si="83"/>
        <v>1.1544870285148175E-2</v>
      </c>
      <c r="Q142" s="420">
        <f t="shared" si="83"/>
        <v>0</v>
      </c>
      <c r="R142" s="420">
        <f t="shared" si="83"/>
        <v>14.717862089495886</v>
      </c>
      <c r="S142" s="420">
        <f t="shared" si="83"/>
        <v>0.84501964852259048</v>
      </c>
      <c r="T142" s="420">
        <f t="shared" si="83"/>
        <v>0</v>
      </c>
      <c r="U142" s="420">
        <f t="shared" si="83"/>
        <v>0</v>
      </c>
      <c r="V142" s="474">
        <f t="shared" si="83"/>
        <v>0</v>
      </c>
    </row>
    <row r="143" spans="1:23">
      <c r="A143" s="39" t="s">
        <v>46</v>
      </c>
      <c r="B143" s="471">
        <f t="shared" ref="B143:H143" si="87">B124</f>
        <v>9.758237114062764</v>
      </c>
      <c r="C143" s="472">
        <f t="shared" si="87"/>
        <v>8.5369914127732667</v>
      </c>
      <c r="D143" s="472">
        <f t="shared" si="87"/>
        <v>10.935953333337894</v>
      </c>
      <c r="E143" s="472">
        <f t="shared" si="87"/>
        <v>0.46218805557782139</v>
      </c>
      <c r="F143" s="472">
        <f t="shared" si="87"/>
        <v>1.8264880555555556</v>
      </c>
      <c r="G143" s="472">
        <f t="shared" si="87"/>
        <v>0</v>
      </c>
      <c r="H143" s="472">
        <f t="shared" si="87"/>
        <v>0.83323888888888886</v>
      </c>
      <c r="I143" s="471">
        <f t="shared" si="82"/>
        <v>-5.762639220433563E-2</v>
      </c>
      <c r="J143" s="472">
        <f t="shared" si="79"/>
        <v>-0.1947042406988615</v>
      </c>
      <c r="K143" s="472">
        <f t="shared" si="79"/>
        <v>2.6000277938922824</v>
      </c>
      <c r="L143" s="472">
        <f t="shared" si="79"/>
        <v>8.2424279374291043</v>
      </c>
      <c r="M143" s="472">
        <f t="shared" si="79"/>
        <v>0.40330312834223569</v>
      </c>
      <c r="N143" s="472">
        <f t="shared" si="79"/>
        <v>0</v>
      </c>
      <c r="O143" s="473">
        <f t="shared" si="79"/>
        <v>0</v>
      </c>
      <c r="P143" s="420">
        <f t="shared" si="83"/>
        <v>0</v>
      </c>
      <c r="Q143" s="420">
        <f t="shared" si="83"/>
        <v>0</v>
      </c>
      <c r="R143" s="420">
        <f t="shared" si="83"/>
        <v>0.92392844954308251</v>
      </c>
      <c r="S143" s="420">
        <f t="shared" si="83"/>
        <v>3.4995968194204279</v>
      </c>
      <c r="T143" s="420">
        <f t="shared" si="83"/>
        <v>0</v>
      </c>
      <c r="U143" s="420">
        <f t="shared" si="83"/>
        <v>0</v>
      </c>
      <c r="V143" s="474">
        <f t="shared" si="83"/>
        <v>0</v>
      </c>
    </row>
    <row r="144" spans="1:23">
      <c r="A144" s="39" t="s">
        <v>45</v>
      </c>
      <c r="B144" s="471">
        <f t="shared" ref="B144:H144" si="88">B125</f>
        <v>45.961397149719552</v>
      </c>
      <c r="C144" s="472">
        <f t="shared" si="88"/>
        <v>25.860808652649304</v>
      </c>
      <c r="D144" s="472">
        <f t="shared" si="88"/>
        <v>55.423944444485777</v>
      </c>
      <c r="E144" s="472">
        <f t="shared" si="88"/>
        <v>2.7380000000200972</v>
      </c>
      <c r="F144" s="472">
        <f t="shared" si="88"/>
        <v>1.024</v>
      </c>
      <c r="G144" s="472">
        <f t="shared" si="88"/>
        <v>0</v>
      </c>
      <c r="H144" s="472">
        <f t="shared" si="88"/>
        <v>2.794</v>
      </c>
      <c r="I144" s="471">
        <f t="shared" si="82"/>
        <v>-4.0552150807645049</v>
      </c>
      <c r="J144" s="472">
        <f t="shared" si="79"/>
        <v>-4.0853585176666485</v>
      </c>
      <c r="K144" s="472">
        <f t="shared" si="79"/>
        <v>51.338432207971444</v>
      </c>
      <c r="L144" s="472">
        <f t="shared" si="79"/>
        <v>10.49414507920125</v>
      </c>
      <c r="M144" s="472">
        <f t="shared" si="79"/>
        <v>0.21618851305479447</v>
      </c>
      <c r="N144" s="472">
        <f t="shared" si="79"/>
        <v>0</v>
      </c>
      <c r="O144" s="473">
        <f t="shared" si="79"/>
        <v>0</v>
      </c>
      <c r="P144" s="420">
        <f t="shared" si="83"/>
        <v>0.83013926630994306</v>
      </c>
      <c r="Q144" s="420">
        <f t="shared" si="83"/>
        <v>0.26589966381697389</v>
      </c>
      <c r="R144" s="420">
        <f t="shared" si="83"/>
        <v>20.861410733848189</v>
      </c>
      <c r="S144" s="420">
        <f t="shared" si="83"/>
        <v>0.28559387185581736</v>
      </c>
      <c r="T144" s="420">
        <f t="shared" si="83"/>
        <v>0</v>
      </c>
      <c r="U144" s="420">
        <f t="shared" si="83"/>
        <v>0</v>
      </c>
      <c r="V144" s="474">
        <f t="shared" si="83"/>
        <v>0</v>
      </c>
    </row>
    <row r="145" spans="1:43">
      <c r="A145" s="39" t="s">
        <v>44</v>
      </c>
      <c r="B145" s="471">
        <f t="shared" ref="B145:H145" si="89">B126</f>
        <v>16.848878942666087</v>
      </c>
      <c r="C145" s="472">
        <f t="shared" si="89"/>
        <v>19.90063035145856</v>
      </c>
      <c r="D145" s="472">
        <f t="shared" si="89"/>
        <v>41.908422222246053</v>
      </c>
      <c r="E145" s="472">
        <f t="shared" si="89"/>
        <v>1.7066000000879824</v>
      </c>
      <c r="F145" s="472">
        <f t="shared" si="89"/>
        <v>1.7981</v>
      </c>
      <c r="G145" s="472">
        <f t="shared" si="89"/>
        <v>5.0199999999999995E-2</v>
      </c>
      <c r="H145" s="472">
        <f t="shared" si="89"/>
        <v>3.7263999999999999</v>
      </c>
      <c r="I145" s="471">
        <f t="shared" si="82"/>
        <v>4.6488154691638819</v>
      </c>
      <c r="J145" s="472">
        <f t="shared" si="79"/>
        <v>-0.8072289361569176</v>
      </c>
      <c r="K145" s="472">
        <f t="shared" si="79"/>
        <v>29.58214527845022</v>
      </c>
      <c r="L145" s="472">
        <f t="shared" si="79"/>
        <v>15.422197094433267</v>
      </c>
      <c r="M145" s="472">
        <f t="shared" si="79"/>
        <v>0.31106375526821339</v>
      </c>
      <c r="N145" s="472">
        <f t="shared" si="79"/>
        <v>0</v>
      </c>
      <c r="O145" s="473">
        <f t="shared" si="79"/>
        <v>0</v>
      </c>
      <c r="P145" s="420">
        <f t="shared" si="83"/>
        <v>0</v>
      </c>
      <c r="Q145" s="420">
        <f t="shared" si="83"/>
        <v>0</v>
      </c>
      <c r="R145" s="420">
        <f t="shared" si="83"/>
        <v>23.407950343861028</v>
      </c>
      <c r="S145" s="420">
        <f t="shared" si="83"/>
        <v>0.47844244165167948</v>
      </c>
      <c r="T145" s="420">
        <f t="shared" si="83"/>
        <v>0</v>
      </c>
      <c r="U145" s="420">
        <f t="shared" si="83"/>
        <v>0</v>
      </c>
      <c r="V145" s="474">
        <f t="shared" si="83"/>
        <v>0</v>
      </c>
    </row>
    <row r="146" spans="1:43">
      <c r="A146" s="39" t="s">
        <v>43</v>
      </c>
      <c r="B146" s="471">
        <f t="shared" ref="B146:H146" si="90">B127</f>
        <v>23.020608525803496</v>
      </c>
      <c r="C146" s="472">
        <f t="shared" si="90"/>
        <v>32.629185559677026</v>
      </c>
      <c r="D146" s="472">
        <f t="shared" si="90"/>
        <v>45.331309203355609</v>
      </c>
      <c r="E146" s="472">
        <f t="shared" si="90"/>
        <v>2.3635881600947357</v>
      </c>
      <c r="F146" s="472">
        <f t="shared" si="90"/>
        <v>11.446234369445026</v>
      </c>
      <c r="G146" s="472">
        <f t="shared" si="90"/>
        <v>0</v>
      </c>
      <c r="H146" s="472">
        <f t="shared" si="90"/>
        <v>3.4897908388888887</v>
      </c>
      <c r="I146" s="471">
        <f t="shared" si="82"/>
        <v>6.7703893319357036</v>
      </c>
      <c r="J146" s="472">
        <f t="shared" si="79"/>
        <v>-4.3177443120352521</v>
      </c>
      <c r="K146" s="472">
        <f t="shared" si="79"/>
        <v>45.334674566635236</v>
      </c>
      <c r="L146" s="472">
        <f t="shared" si="79"/>
        <v>33.621443110743243</v>
      </c>
      <c r="M146" s="472">
        <f t="shared" si="79"/>
        <v>1.7243275088057395</v>
      </c>
      <c r="N146" s="472">
        <f t="shared" si="79"/>
        <v>0</v>
      </c>
      <c r="O146" s="473">
        <f t="shared" si="79"/>
        <v>0</v>
      </c>
      <c r="P146" s="420">
        <f t="shared" si="83"/>
        <v>0</v>
      </c>
      <c r="Q146" s="420">
        <f t="shared" si="83"/>
        <v>0</v>
      </c>
      <c r="R146" s="420">
        <f t="shared" si="83"/>
        <v>30.486970576847167</v>
      </c>
      <c r="S146" s="420">
        <f t="shared" si="83"/>
        <v>2.4449511854134864</v>
      </c>
      <c r="T146" s="420">
        <f t="shared" si="83"/>
        <v>0</v>
      </c>
      <c r="U146" s="420">
        <f t="shared" si="83"/>
        <v>0</v>
      </c>
      <c r="V146" s="474">
        <f t="shared" si="83"/>
        <v>0</v>
      </c>
    </row>
    <row r="147" spans="1:43">
      <c r="A147" s="39" t="s">
        <v>42</v>
      </c>
      <c r="B147" s="471">
        <f t="shared" ref="B147:H147" si="91">B128</f>
        <v>27.808623684300141</v>
      </c>
      <c r="C147" s="472">
        <f t="shared" si="91"/>
        <v>44.395861473465111</v>
      </c>
      <c r="D147" s="472">
        <f t="shared" si="91"/>
        <v>73.352501666753241</v>
      </c>
      <c r="E147" s="472">
        <f t="shared" si="91"/>
        <v>3.1881597223481135</v>
      </c>
      <c r="F147" s="472">
        <f t="shared" si="91"/>
        <v>1.8322511111111113</v>
      </c>
      <c r="G147" s="472">
        <f t="shared" si="91"/>
        <v>0</v>
      </c>
      <c r="H147" s="472">
        <f t="shared" si="91"/>
        <v>12.625531944444443</v>
      </c>
      <c r="I147" s="471">
        <f t="shared" si="82"/>
        <v>8.2025019747361405</v>
      </c>
      <c r="J147" s="472">
        <f t="shared" si="79"/>
        <v>-6.8136971781907292</v>
      </c>
      <c r="K147" s="472">
        <f t="shared" si="79"/>
        <v>11.617323634773854</v>
      </c>
      <c r="L147" s="472">
        <f t="shared" si="79"/>
        <v>23.816054872647975</v>
      </c>
      <c r="M147" s="472">
        <f t="shared" si="79"/>
        <v>0.4355303881220145</v>
      </c>
      <c r="N147" s="472">
        <f t="shared" si="79"/>
        <v>0</v>
      </c>
      <c r="O147" s="473">
        <f t="shared" si="79"/>
        <v>0</v>
      </c>
      <c r="P147" s="420">
        <f t="shared" si="83"/>
        <v>2.8399662023590682</v>
      </c>
      <c r="Q147" s="420">
        <f t="shared" si="83"/>
        <v>0.70856663145759213</v>
      </c>
      <c r="R147" s="420">
        <f t="shared" si="83"/>
        <v>23.944666409478128</v>
      </c>
      <c r="S147" s="420">
        <f t="shared" si="83"/>
        <v>5.4989534807355467</v>
      </c>
      <c r="T147" s="420">
        <f t="shared" si="83"/>
        <v>0</v>
      </c>
      <c r="U147" s="420">
        <f t="shared" si="83"/>
        <v>0</v>
      </c>
      <c r="V147" s="474">
        <f t="shared" si="83"/>
        <v>0</v>
      </c>
    </row>
    <row r="148" spans="1:43">
      <c r="A148" s="39" t="s">
        <v>41</v>
      </c>
      <c r="B148" s="471">
        <f t="shared" ref="B148:H148" si="92">B129</f>
        <v>72.986245663576753</v>
      </c>
      <c r="C148" s="472">
        <f t="shared" si="92"/>
        <v>68.405060171341333</v>
      </c>
      <c r="D148" s="472">
        <f t="shared" si="92"/>
        <v>89.951833333411074</v>
      </c>
      <c r="E148" s="472">
        <f t="shared" si="92"/>
        <v>3.7390000001372554</v>
      </c>
      <c r="F148" s="472">
        <f t="shared" si="92"/>
        <v>5.3769999999999998</v>
      </c>
      <c r="G148" s="472">
        <f t="shared" si="92"/>
        <v>1.5760000000000001</v>
      </c>
      <c r="H148" s="472">
        <f t="shared" si="92"/>
        <v>9.4610000000000003</v>
      </c>
      <c r="I148" s="471">
        <f t="shared" si="82"/>
        <v>5.2288773689173951</v>
      </c>
      <c r="J148" s="472">
        <f t="shared" si="79"/>
        <v>-11.353526420479639</v>
      </c>
      <c r="K148" s="472">
        <f t="shared" si="79"/>
        <v>-1.919217661678303</v>
      </c>
      <c r="L148" s="472">
        <f t="shared" si="79"/>
        <v>57.813446151531402</v>
      </c>
      <c r="M148" s="472">
        <f t="shared" si="79"/>
        <v>1.212775749432554</v>
      </c>
      <c r="N148" s="472">
        <f t="shared" si="79"/>
        <v>0</v>
      </c>
      <c r="O148" s="473">
        <f t="shared" si="79"/>
        <v>0</v>
      </c>
      <c r="P148" s="420">
        <f t="shared" si="83"/>
        <v>0</v>
      </c>
      <c r="Q148" s="420">
        <f t="shared" si="83"/>
        <v>0</v>
      </c>
      <c r="R148" s="420">
        <f t="shared" si="83"/>
        <v>37.569458101808749</v>
      </c>
      <c r="S148" s="420">
        <f t="shared" si="83"/>
        <v>7.0178543707002969</v>
      </c>
      <c r="T148" s="420">
        <f t="shared" si="83"/>
        <v>0</v>
      </c>
      <c r="U148" s="420">
        <f t="shared" si="83"/>
        <v>0</v>
      </c>
      <c r="V148" s="474">
        <f t="shared" si="83"/>
        <v>0</v>
      </c>
    </row>
    <row r="149" spans="1:43">
      <c r="A149" s="39" t="s">
        <v>75</v>
      </c>
      <c r="B149" s="471">
        <f t="shared" ref="B149:H149" si="93">B130</f>
        <v>105.41376793036197</v>
      </c>
      <c r="C149" s="472">
        <f t="shared" si="93"/>
        <v>89.178913906190502</v>
      </c>
      <c r="D149" s="472">
        <f t="shared" si="93"/>
        <v>99.852868611171687</v>
      </c>
      <c r="E149" s="472">
        <f t="shared" si="93"/>
        <v>6.5071830557322414</v>
      </c>
      <c r="F149" s="472">
        <f t="shared" si="93"/>
        <v>3.1539988888888888</v>
      </c>
      <c r="G149" s="472">
        <f t="shared" si="93"/>
        <v>0</v>
      </c>
      <c r="H149" s="472">
        <f t="shared" si="93"/>
        <v>12.505419999999999</v>
      </c>
      <c r="I149" s="471">
        <f t="shared" si="82"/>
        <v>16.002291822176772</v>
      </c>
      <c r="J149" s="472">
        <f t="shared" si="79"/>
        <v>14.303517687277449</v>
      </c>
      <c r="K149" s="472">
        <f t="shared" si="79"/>
        <v>1.5960881378785103</v>
      </c>
      <c r="L149" s="472">
        <f t="shared" si="79"/>
        <v>56.874255477033387</v>
      </c>
      <c r="M149" s="472">
        <f t="shared" si="79"/>
        <v>0.57541574563878317</v>
      </c>
      <c r="N149" s="472">
        <f t="shared" si="79"/>
        <v>0</v>
      </c>
      <c r="O149" s="473">
        <f t="shared" si="79"/>
        <v>0</v>
      </c>
      <c r="P149" s="420">
        <f t="shared" si="83"/>
        <v>32.516989232978318</v>
      </c>
      <c r="Q149" s="420">
        <f t="shared" si="83"/>
        <v>5.3564588837745664</v>
      </c>
      <c r="R149" s="420">
        <f t="shared" si="83"/>
        <v>33.399189515954909</v>
      </c>
      <c r="S149" s="420">
        <f t="shared" si="83"/>
        <v>7.3972661401305233</v>
      </c>
      <c r="T149" s="420">
        <f t="shared" si="83"/>
        <v>0</v>
      </c>
      <c r="U149" s="420">
        <f t="shared" si="83"/>
        <v>0</v>
      </c>
      <c r="V149" s="474">
        <f t="shared" si="83"/>
        <v>0</v>
      </c>
    </row>
    <row r="150" spans="1:43">
      <c r="A150" s="39" t="s">
        <v>39</v>
      </c>
      <c r="B150" s="471">
        <f t="shared" ref="B150:H150" si="94">B131</f>
        <v>147.54933996614554</v>
      </c>
      <c r="C150" s="472">
        <f t="shared" si="94"/>
        <v>127.44248196798941</v>
      </c>
      <c r="D150" s="472">
        <f t="shared" si="94"/>
        <v>135.61282805559642</v>
      </c>
      <c r="E150" s="472">
        <f t="shared" si="94"/>
        <v>9.0084611112165938</v>
      </c>
      <c r="F150" s="472">
        <f t="shared" si="94"/>
        <v>8.2687249999999999</v>
      </c>
      <c r="G150" s="472">
        <f t="shared" si="94"/>
        <v>1.1570119444444444</v>
      </c>
      <c r="H150" s="472">
        <f t="shared" si="94"/>
        <v>23.869743055555556</v>
      </c>
      <c r="I150" s="471">
        <f t="shared" si="82"/>
        <v>-3.5529845241794931</v>
      </c>
      <c r="J150" s="472">
        <f t="shared" si="79"/>
        <v>-33.561713909915227</v>
      </c>
      <c r="K150" s="472">
        <f t="shared" si="79"/>
        <v>18.540795788055647</v>
      </c>
      <c r="L150" s="472">
        <f t="shared" si="79"/>
        <v>60.680690434277849</v>
      </c>
      <c r="M150" s="472">
        <f t="shared" si="79"/>
        <v>0.87629812714896893</v>
      </c>
      <c r="N150" s="472">
        <f t="shared" si="79"/>
        <v>1.1272761369321216</v>
      </c>
      <c r="O150" s="473">
        <f t="shared" si="79"/>
        <v>0</v>
      </c>
      <c r="P150" s="420">
        <f t="shared" si="83"/>
        <v>0</v>
      </c>
      <c r="Q150" s="420">
        <f t="shared" si="83"/>
        <v>0</v>
      </c>
      <c r="R150" s="420">
        <f t="shared" si="83"/>
        <v>24.481843833585749</v>
      </c>
      <c r="S150" s="420">
        <f t="shared" si="83"/>
        <v>3.3535240050230359</v>
      </c>
      <c r="T150" s="420">
        <f t="shared" si="83"/>
        <v>4.9622518944533733E-2</v>
      </c>
      <c r="U150" s="420">
        <f t="shared" si="83"/>
        <v>0</v>
      </c>
      <c r="V150" s="474">
        <f t="shared" si="83"/>
        <v>0</v>
      </c>
    </row>
    <row r="151" spans="1:43">
      <c r="A151" s="39" t="s">
        <v>38</v>
      </c>
      <c r="B151" s="475">
        <f t="shared" ref="B151:H151" si="95">B132</f>
        <v>125.26950242051855</v>
      </c>
      <c r="C151" s="476">
        <f t="shared" si="95"/>
        <v>112.18381084093178</v>
      </c>
      <c r="D151" s="476">
        <f t="shared" si="95"/>
        <v>252.63388888901002</v>
      </c>
      <c r="E151" s="476">
        <f t="shared" si="95"/>
        <v>11.676000000195845</v>
      </c>
      <c r="F151" s="476">
        <f t="shared" si="95"/>
        <v>5.0589999999999993</v>
      </c>
      <c r="G151" s="476">
        <f t="shared" si="95"/>
        <v>0</v>
      </c>
      <c r="H151" s="476">
        <f t="shared" si="95"/>
        <v>31.053000000000001</v>
      </c>
      <c r="I151" s="475">
        <f t="shared" si="82"/>
        <v>28.398079350610445</v>
      </c>
      <c r="J151" s="476">
        <f t="shared" si="79"/>
        <v>-7.0348525130517601</v>
      </c>
      <c r="K151" s="476">
        <f t="shared" si="79"/>
        <v>115.93731892505011</v>
      </c>
      <c r="L151" s="476">
        <f t="shared" si="79"/>
        <v>110.99916084403068</v>
      </c>
      <c r="M151" s="476">
        <f t="shared" si="79"/>
        <v>1.2734502693700449</v>
      </c>
      <c r="N151" s="476">
        <f t="shared" si="79"/>
        <v>0</v>
      </c>
      <c r="O151" s="477">
        <f t="shared" si="79"/>
        <v>0</v>
      </c>
      <c r="P151" s="466">
        <f t="shared" si="83"/>
        <v>17.826879808832903</v>
      </c>
      <c r="Q151" s="466">
        <f t="shared" si="83"/>
        <v>4.2093363222680553</v>
      </c>
      <c r="R151" s="466">
        <f t="shared" si="83"/>
        <v>137.8418459265549</v>
      </c>
      <c r="S151" s="466">
        <f t="shared" si="83"/>
        <v>25.467546266897134</v>
      </c>
      <c r="T151" s="466">
        <f t="shared" si="83"/>
        <v>1.8846308331581791</v>
      </c>
      <c r="U151" s="466">
        <f t="shared" si="83"/>
        <v>0</v>
      </c>
      <c r="V151" s="478">
        <f t="shared" si="83"/>
        <v>0</v>
      </c>
      <c r="W151" s="428">
        <f>SUM(P151:V151)</f>
        <v>187.23023915771117</v>
      </c>
    </row>
    <row r="153" spans="1:43">
      <c r="A153" s="628" t="s">
        <v>614</v>
      </c>
      <c r="B153" s="628"/>
      <c r="C153" s="628"/>
      <c r="D153" s="628"/>
      <c r="E153" s="628"/>
      <c r="F153" s="628"/>
      <c r="G153" s="628"/>
      <c r="H153" s="628"/>
      <c r="I153" s="628"/>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row>
    <row r="155" spans="1:43">
      <c r="B155" s="629" t="s">
        <v>92</v>
      </c>
      <c r="C155" s="629"/>
      <c r="D155" s="629"/>
      <c r="E155" s="629"/>
      <c r="F155" s="88"/>
      <c r="G155" s="88" t="s">
        <v>93</v>
      </c>
    </row>
    <row r="156" spans="1:43">
      <c r="B156" s="88">
        <v>2019</v>
      </c>
      <c r="C156" s="492">
        <v>2035</v>
      </c>
      <c r="D156" s="493" t="s">
        <v>94</v>
      </c>
      <c r="E156" s="88" t="s">
        <v>95</v>
      </c>
      <c r="F156" s="494" t="s">
        <v>96</v>
      </c>
      <c r="G156" s="453"/>
      <c r="K156" s="88" t="s">
        <v>97</v>
      </c>
      <c r="O156" s="88" t="s">
        <v>98</v>
      </c>
      <c r="P156" s="88"/>
      <c r="Q156" s="88"/>
    </row>
    <row r="157" spans="1:43">
      <c r="A157" s="254" t="s">
        <v>51</v>
      </c>
      <c r="B157" s="479">
        <f>SUM(B119:H119)</f>
        <v>8.8453524655625007</v>
      </c>
      <c r="C157" s="482">
        <f>SUM(I119:O119)</f>
        <v>9.4977165181309449</v>
      </c>
      <c r="D157" s="483">
        <f t="shared" ref="D157:D171" si="96">(C157-B157)/B157</f>
        <v>7.3752182867588931E-2</v>
      </c>
      <c r="E157" s="482">
        <f>SUM(P119:V119)/0.7</f>
        <v>0.53139720111983246</v>
      </c>
      <c r="F157" s="329">
        <f>E157/(E157+C157)</f>
        <v>5.2985459732081928E-2</v>
      </c>
      <c r="G157" s="484">
        <f>E157/0.00876</f>
        <v>60.661780949752561</v>
      </c>
      <c r="K157" s="254" t="s">
        <v>99</v>
      </c>
      <c r="L157" s="329">
        <v>0.60239600170255581</v>
      </c>
      <c r="M157" s="72">
        <f>$G$162*L157</f>
        <v>304.19108852212804</v>
      </c>
      <c r="O157" s="88" t="s">
        <v>100</v>
      </c>
      <c r="P157" s="88"/>
      <c r="Q157" s="88"/>
    </row>
    <row r="158" spans="1:43">
      <c r="A158" s="254" t="s">
        <v>50</v>
      </c>
      <c r="B158" s="480">
        <f>SUM(B120:H120)</f>
        <v>7.1485468389109856</v>
      </c>
      <c r="C158" s="427">
        <f>SUM(I120:O120)</f>
        <v>8.5842206408569766</v>
      </c>
      <c r="D158" s="485">
        <f t="shared" si="96"/>
        <v>0.20083435617030979</v>
      </c>
      <c r="E158" s="427">
        <f>SUM(P120:V120)/0.7</f>
        <v>0.68385077717714327</v>
      </c>
      <c r="F158" s="329">
        <f t="shared" ref="F158:F169" si="97">E158/(E158+C158)</f>
        <v>7.3785661151303153E-2</v>
      </c>
      <c r="G158" s="486">
        <f t="shared" ref="G158:G169" si="98">E158/0.00876</f>
        <v>78.065157212002646</v>
      </c>
      <c r="K158" s="254" t="s">
        <v>101</v>
      </c>
      <c r="L158" s="329">
        <v>0.39760399829744425</v>
      </c>
      <c r="M158" s="72">
        <f>$G$162*L158</f>
        <v>200.77754948740517</v>
      </c>
      <c r="O158" s="88" t="s">
        <v>102</v>
      </c>
      <c r="P158" s="88"/>
      <c r="Q158" s="88"/>
    </row>
    <row r="159" spans="1:43">
      <c r="A159" s="254" t="s">
        <v>49</v>
      </c>
      <c r="B159" s="480">
        <f>SUM(B121:H121)</f>
        <v>11.598505345678429</v>
      </c>
      <c r="C159" s="427">
        <f>SUM(I121:O121)</f>
        <v>13.977407427856303</v>
      </c>
      <c r="D159" s="485">
        <f t="shared" si="96"/>
        <v>0.20510419327989066</v>
      </c>
      <c r="E159" s="427">
        <f t="shared" ref="E159:E169" si="99">SUM(P121:V121)/0.7</f>
        <v>6.5355896600809249</v>
      </c>
      <c r="F159" s="329">
        <f t="shared" si="97"/>
        <v>0.31860725334593898</v>
      </c>
      <c r="G159" s="486">
        <f t="shared" si="98"/>
        <v>746.0718790046717</v>
      </c>
      <c r="K159" s="254" t="s">
        <v>103</v>
      </c>
      <c r="L159" s="329">
        <v>7.1748315048637726E-2</v>
      </c>
      <c r="M159" s="72">
        <f>$G$163*L159</f>
        <v>182.18046749421939</v>
      </c>
    </row>
    <row r="160" spans="1:43">
      <c r="A160" s="254" t="s">
        <v>48</v>
      </c>
      <c r="B160" s="480">
        <f>AF25</f>
        <v>151.04149000000001</v>
      </c>
      <c r="C160" s="427">
        <f>AF25+(AG25-AF25)*16/21</f>
        <v>175.48504935920764</v>
      </c>
      <c r="D160" s="485">
        <f t="shared" si="96"/>
        <v>0.16183340987438369</v>
      </c>
      <c r="E160" s="427">
        <f t="shared" si="99"/>
        <v>0</v>
      </c>
      <c r="F160" s="329"/>
      <c r="G160" s="486">
        <f t="shared" si="98"/>
        <v>0</v>
      </c>
      <c r="K160" s="254" t="s">
        <v>104</v>
      </c>
      <c r="L160" s="329">
        <v>0.1202242320773565</v>
      </c>
      <c r="M160" s="72">
        <f>$G$163*L160</f>
        <v>305.26858768932431</v>
      </c>
    </row>
    <row r="161" spans="1:13">
      <c r="A161" s="254" t="s">
        <v>47</v>
      </c>
      <c r="B161" s="480">
        <f t="shared" ref="B161:B169" si="100">SUM(B123:H123)</f>
        <v>88.736539758683364</v>
      </c>
      <c r="C161" s="427">
        <f t="shared" ref="C161:C169" si="101">SUM(I123:O123)</f>
        <v>132.67970711240156</v>
      </c>
      <c r="D161" s="485">
        <f t="shared" si="96"/>
        <v>0.49520938582032226</v>
      </c>
      <c r="E161" s="427">
        <f t="shared" si="99"/>
        <v>15.574426608303625</v>
      </c>
      <c r="F161" s="329">
        <f t="shared" si="97"/>
        <v>0.10505222496961986</v>
      </c>
      <c r="G161" s="486">
        <f t="shared" si="98"/>
        <v>1777.9025808565782</v>
      </c>
      <c r="K161" s="254" t="s">
        <v>105</v>
      </c>
      <c r="L161" s="329">
        <v>0.63184699664533395</v>
      </c>
      <c r="M161" s="72">
        <f>$G$163*L161</f>
        <v>1604.360759630842</v>
      </c>
    </row>
    <row r="162" spans="1:13">
      <c r="A162" s="254" t="s">
        <v>46</v>
      </c>
      <c r="B162" s="480">
        <f t="shared" si="100"/>
        <v>32.353096860196189</v>
      </c>
      <c r="C162" s="427">
        <f t="shared" si="101"/>
        <v>43.346525086956603</v>
      </c>
      <c r="D162" s="485">
        <f t="shared" si="96"/>
        <v>0.33979523735440487</v>
      </c>
      <c r="E162" s="427">
        <f t="shared" si="99"/>
        <v>4.4235252689635107</v>
      </c>
      <c r="F162" s="329">
        <f t="shared" si="97"/>
        <v>9.2600389491013083E-2</v>
      </c>
      <c r="G162" s="486">
        <f t="shared" si="98"/>
        <v>504.96863800953315</v>
      </c>
      <c r="K162" s="39" t="s">
        <v>106</v>
      </c>
      <c r="L162" s="329">
        <v>0.17618045622867171</v>
      </c>
      <c r="M162" s="72">
        <f>$G$163*L162</f>
        <v>447.35040617087884</v>
      </c>
    </row>
    <row r="163" spans="1:13">
      <c r="A163" s="254" t="s">
        <v>45</v>
      </c>
      <c r="B163" s="480">
        <f t="shared" si="100"/>
        <v>133.80215024687473</v>
      </c>
      <c r="C163" s="427">
        <f t="shared" si="101"/>
        <v>187.71034244867107</v>
      </c>
      <c r="D163" s="485">
        <f t="shared" si="96"/>
        <v>0.40289481224578072</v>
      </c>
      <c r="E163" s="427">
        <f t="shared" si="99"/>
        <v>22.243043535830921</v>
      </c>
      <c r="F163" s="329">
        <f t="shared" si="97"/>
        <v>0.10594277120861877</v>
      </c>
      <c r="G163" s="486">
        <f t="shared" si="98"/>
        <v>2539.1602209852649</v>
      </c>
      <c r="H163" s="39"/>
    </row>
    <row r="164" spans="1:13">
      <c r="A164" s="254" t="s">
        <v>44</v>
      </c>
      <c r="B164" s="480">
        <f t="shared" si="100"/>
        <v>85.93923151645869</v>
      </c>
      <c r="C164" s="427">
        <f t="shared" si="101"/>
        <v>135.09622417761736</v>
      </c>
      <c r="D164" s="485">
        <f t="shared" si="96"/>
        <v>0.5719971169598409</v>
      </c>
      <c r="E164" s="427">
        <f t="shared" si="99"/>
        <v>23.886392785512705</v>
      </c>
      <c r="F164" s="329">
        <f t="shared" si="97"/>
        <v>0.15024531135408495</v>
      </c>
      <c r="G164" s="486">
        <f t="shared" si="98"/>
        <v>2726.7571672959707</v>
      </c>
      <c r="H164" s="39"/>
    </row>
    <row r="165" spans="1:13">
      <c r="A165" s="254" t="s">
        <v>43</v>
      </c>
      <c r="B165" s="480">
        <f t="shared" si="100"/>
        <v>118.28071665726478</v>
      </c>
      <c r="C165" s="427">
        <f t="shared" si="101"/>
        <v>201.41380686334944</v>
      </c>
      <c r="D165" s="485">
        <f t="shared" si="96"/>
        <v>0.7028456755717386</v>
      </c>
      <c r="E165" s="427">
        <f t="shared" si="99"/>
        <v>32.93192176226065</v>
      </c>
      <c r="F165" s="329">
        <f t="shared" si="97"/>
        <v>0.14052708344803064</v>
      </c>
      <c r="G165" s="486">
        <f t="shared" si="98"/>
        <v>3759.3517993448231</v>
      </c>
      <c r="H165" s="39"/>
    </row>
    <row r="166" spans="1:13">
      <c r="A166" s="254" t="s">
        <v>42</v>
      </c>
      <c r="B166" s="480">
        <f t="shared" si="100"/>
        <v>163.20292960242216</v>
      </c>
      <c r="C166" s="427">
        <f t="shared" si="101"/>
        <v>200.46064329451144</v>
      </c>
      <c r="D166" s="485">
        <f t="shared" si="96"/>
        <v>0.22829071624420352</v>
      </c>
      <c r="E166" s="427">
        <f t="shared" si="99"/>
        <v>32.992152724030333</v>
      </c>
      <c r="F166" s="329">
        <f t="shared" si="97"/>
        <v>0.14132258549351434</v>
      </c>
      <c r="G166" s="486">
        <f t="shared" si="98"/>
        <v>3766.2274799121383</v>
      </c>
      <c r="H166" s="39"/>
    </row>
    <row r="167" spans="1:13">
      <c r="A167" s="254" t="s">
        <v>41</v>
      </c>
      <c r="B167" s="480">
        <f t="shared" si="100"/>
        <v>251.49613916846644</v>
      </c>
      <c r="C167" s="427">
        <f t="shared" si="101"/>
        <v>302.47849435618986</v>
      </c>
      <c r="D167" s="485">
        <f t="shared" si="96"/>
        <v>0.20271625384106803</v>
      </c>
      <c r="E167" s="427">
        <f t="shared" si="99"/>
        <v>44.587312472509048</v>
      </c>
      <c r="F167" s="329">
        <f t="shared" si="97"/>
        <v>0.1284693323145947</v>
      </c>
      <c r="G167" s="486">
        <f t="shared" si="98"/>
        <v>5089.8758530261466</v>
      </c>
      <c r="H167" s="39"/>
    </row>
    <row r="168" spans="1:13">
      <c r="A168" s="254" t="s">
        <v>75</v>
      </c>
      <c r="B168" s="480">
        <f t="shared" si="100"/>
        <v>316.61215239234531</v>
      </c>
      <c r="C168" s="427">
        <f t="shared" si="101"/>
        <v>405.96372126235025</v>
      </c>
      <c r="D168" s="485">
        <f t="shared" si="96"/>
        <v>0.2822114318571089</v>
      </c>
      <c r="E168" s="427">
        <f t="shared" si="99"/>
        <v>78.669903772838325</v>
      </c>
      <c r="F168" s="329">
        <f t="shared" si="97"/>
        <v>0.16232861219055161</v>
      </c>
      <c r="G168" s="486">
        <f t="shared" si="98"/>
        <v>8980.5826224701286</v>
      </c>
      <c r="H168" s="39"/>
    </row>
    <row r="169" spans="1:13">
      <c r="A169" s="254" t="s">
        <v>39</v>
      </c>
      <c r="B169" s="480">
        <f t="shared" si="100"/>
        <v>452.90859110094794</v>
      </c>
      <c r="C169" s="427">
        <f t="shared" si="101"/>
        <v>497.01895315326783</v>
      </c>
      <c r="D169" s="485">
        <f t="shared" si="96"/>
        <v>9.7393520279875218E-2</v>
      </c>
      <c r="E169" s="427">
        <f t="shared" si="99"/>
        <v>27.88499035755332</v>
      </c>
      <c r="F169" s="329">
        <f t="shared" si="97"/>
        <v>5.312398716428858E-2</v>
      </c>
      <c r="G169" s="486">
        <f t="shared" si="98"/>
        <v>3183.2180773462692</v>
      </c>
      <c r="H169" s="39"/>
    </row>
    <row r="170" spans="1:13">
      <c r="A170" s="254" t="s">
        <v>38</v>
      </c>
      <c r="B170" s="481">
        <f>SUM(B132:H132)</f>
        <v>537.87520215065626</v>
      </c>
      <c r="C170" s="487">
        <f>SUM(I132:O132)</f>
        <v>787.44835902666568</v>
      </c>
      <c r="D170" s="488">
        <f t="shared" si="96"/>
        <v>0.46399825810542794</v>
      </c>
      <c r="E170" s="489">
        <f>SUM(P132:V132)/0.7</f>
        <v>187.23023915771117</v>
      </c>
      <c r="F170" s="488">
        <f>E170/(E170+C170)</f>
        <v>0.19209433705272907</v>
      </c>
      <c r="G170" s="490">
        <f>E170/0.00876</f>
        <v>21373.314972341457</v>
      </c>
      <c r="H170" s="39"/>
    </row>
    <row r="171" spans="1:13">
      <c r="A171" s="254" t="s">
        <v>35</v>
      </c>
      <c r="B171" s="397">
        <f>SUM(B157:B170)</f>
        <v>2359.8406441044676</v>
      </c>
      <c r="C171" s="491">
        <f>SUM(C157:C170)</f>
        <v>3101.1611707280326</v>
      </c>
      <c r="D171" s="329">
        <f t="shared" si="96"/>
        <v>0.31414007910898051</v>
      </c>
      <c r="E171" s="491">
        <f>SUM(E157:E170)</f>
        <v>478.17474608389148</v>
      </c>
      <c r="F171" s="329">
        <f>E171/(E171+C171)</f>
        <v>0.13359314610230733</v>
      </c>
      <c r="G171" s="491">
        <f>SUM(G157:G170)</f>
        <v>54586.158228754735</v>
      </c>
    </row>
    <row r="172" spans="1:13">
      <c r="A172" s="39"/>
    </row>
  </sheetData>
  <mergeCells count="87">
    <mergeCell ref="E30:G30"/>
    <mergeCell ref="B117:H117"/>
    <mergeCell ref="I117:O117"/>
    <mergeCell ref="P117:V117"/>
    <mergeCell ref="B136:H136"/>
    <mergeCell ref="I136:O136"/>
    <mergeCell ref="P136:V136"/>
    <mergeCell ref="Q64:S64"/>
    <mergeCell ref="F65:G65"/>
    <mergeCell ref="H65:I65"/>
    <mergeCell ref="H46:J46"/>
    <mergeCell ref="N30:P30"/>
    <mergeCell ref="K30:M30"/>
    <mergeCell ref="K46:M46"/>
    <mergeCell ref="T30:V30"/>
    <mergeCell ref="Q87:S87"/>
    <mergeCell ref="B16:D16"/>
    <mergeCell ref="Q16:S16"/>
    <mergeCell ref="T16:V16"/>
    <mergeCell ref="E16:G16"/>
    <mergeCell ref="A113:AQ113"/>
    <mergeCell ref="B30:D30"/>
    <mergeCell ref="Q30:S30"/>
    <mergeCell ref="AL30:AN30"/>
    <mergeCell ref="H30:J30"/>
    <mergeCell ref="AO46:AQ46"/>
    <mergeCell ref="AI46:AK46"/>
    <mergeCell ref="N46:P46"/>
    <mergeCell ref="B46:D46"/>
    <mergeCell ref="Q46:S46"/>
    <mergeCell ref="T46:V46"/>
    <mergeCell ref="E46:G46"/>
    <mergeCell ref="AC16:AE16"/>
    <mergeCell ref="W16:Y16"/>
    <mergeCell ref="Z16:AB16"/>
    <mergeCell ref="H16:J16"/>
    <mergeCell ref="K16:M16"/>
    <mergeCell ref="N16:P16"/>
    <mergeCell ref="AF16:AH16"/>
    <mergeCell ref="AF30:AH30"/>
    <mergeCell ref="AF46:AH46"/>
    <mergeCell ref="AO16:AQ16"/>
    <mergeCell ref="AI16:AK16"/>
    <mergeCell ref="AL16:AN16"/>
    <mergeCell ref="AL46:AN46"/>
    <mergeCell ref="AO30:AQ30"/>
    <mergeCell ref="AI30:AK30"/>
    <mergeCell ref="Z46:AB46"/>
    <mergeCell ref="W46:Y46"/>
    <mergeCell ref="AC46:AE46"/>
    <mergeCell ref="Z30:AB30"/>
    <mergeCell ref="W30:Y30"/>
    <mergeCell ref="AC30:AE30"/>
    <mergeCell ref="A67:A68"/>
    <mergeCell ref="A69:A71"/>
    <mergeCell ref="B87:D87"/>
    <mergeCell ref="E87:G87"/>
    <mergeCell ref="M64:N64"/>
    <mergeCell ref="H87:J87"/>
    <mergeCell ref="K87:M87"/>
    <mergeCell ref="N87:P87"/>
    <mergeCell ref="O64:P64"/>
    <mergeCell ref="T87:V87"/>
    <mergeCell ref="W87:Y87"/>
    <mergeCell ref="Z87:AB87"/>
    <mergeCell ref="AC87:AE87"/>
    <mergeCell ref="Q101:S101"/>
    <mergeCell ref="T101:V101"/>
    <mergeCell ref="W101:Y101"/>
    <mergeCell ref="Z101:AB101"/>
    <mergeCell ref="AC101:AE101"/>
    <mergeCell ref="AR30:AU30"/>
    <mergeCell ref="A153:AQ153"/>
    <mergeCell ref="B155:E155"/>
    <mergeCell ref="AL101:AN101"/>
    <mergeCell ref="AO101:AQ101"/>
    <mergeCell ref="AF87:AH87"/>
    <mergeCell ref="AI87:AK87"/>
    <mergeCell ref="AL87:AN87"/>
    <mergeCell ref="AO87:AQ87"/>
    <mergeCell ref="AF101:AH101"/>
    <mergeCell ref="AI101:AK101"/>
    <mergeCell ref="B101:D101"/>
    <mergeCell ref="E101:G101"/>
    <mergeCell ref="H101:J101"/>
    <mergeCell ref="K101:M101"/>
    <mergeCell ref="N101:P101"/>
  </mergeCells>
  <phoneticPr fontId="20" type="noConversion"/>
  <conditionalFormatting sqref="B138:V151">
    <cfRule type="cellIs" dxfId="14" priority="1" operator="lessThan">
      <formula>0</formula>
    </cfRule>
  </conditionalFormatting>
  <conditionalFormatting sqref="B18:AE24 AI18:AQ24">
    <cfRule type="cellIs" dxfId="13" priority="23" operator="lessThan">
      <formula>0.1</formula>
    </cfRule>
    <cfRule type="cellIs" dxfId="12" priority="26" operator="lessThan">
      <formula>1</formula>
    </cfRule>
  </conditionalFormatting>
  <conditionalFormatting sqref="B32:AE39 AI32:AQ39 B48:AE60 AI48:AQ60">
    <cfRule type="cellIs" dxfId="11" priority="24" operator="lessThan">
      <formula>0.1</formula>
    </cfRule>
    <cfRule type="cellIs" dxfId="10" priority="25" operator="lessThan">
      <formula>1</formula>
    </cfRule>
  </conditionalFormatting>
  <conditionalFormatting sqref="B89:AE95 AI89:AQ95">
    <cfRule type="cellIs" dxfId="9" priority="15" operator="lessThan">
      <formula>0.1</formula>
    </cfRule>
    <cfRule type="cellIs" dxfId="8" priority="16" operator="lessThan">
      <formula>1</formula>
    </cfRule>
  </conditionalFormatting>
  <conditionalFormatting sqref="B103:AE110 AI103:AQ110">
    <cfRule type="cellIs" dxfId="7" priority="13" operator="lessThan">
      <formula>0.1</formula>
    </cfRule>
    <cfRule type="cellIs" dxfId="6" priority="14" operator="lessThan">
      <formula>1</formula>
    </cfRule>
  </conditionalFormatting>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FBBC-F4DA-4621-A62E-DED74063417E}">
  <sheetPr>
    <tabColor theme="0" tint="-0.14999847407452621"/>
  </sheetPr>
  <dimension ref="A1:W78"/>
  <sheetViews>
    <sheetView showZeros="0" zoomScaleNormal="100" workbookViewId="0">
      <selection activeCell="L57" sqref="L57"/>
    </sheetView>
  </sheetViews>
  <sheetFormatPr defaultColWidth="9.140625" defaultRowHeight="15"/>
  <cols>
    <col min="1" max="1" width="12" style="22" bestFit="1" customWidth="1"/>
    <col min="2" max="7" width="8.5703125" style="22" customWidth="1"/>
    <col min="8" max="8" width="9" style="22" customWidth="1"/>
    <col min="9" max="11" width="8.5703125" style="22" customWidth="1"/>
    <col min="12" max="12" width="9.42578125" style="22" customWidth="1"/>
    <col min="13" max="22" width="8.5703125" style="22" customWidth="1"/>
    <col min="23" max="16384" width="9.140625" style="22"/>
  </cols>
  <sheetData>
    <row r="1" spans="1:22">
      <c r="A1" s="501" t="s">
        <v>615</v>
      </c>
      <c r="B1" s="501"/>
      <c r="C1" s="501"/>
      <c r="D1" s="501"/>
      <c r="E1" s="501"/>
      <c r="F1" s="501"/>
      <c r="G1" s="501"/>
      <c r="H1" s="501"/>
      <c r="I1" s="501"/>
      <c r="J1" s="501"/>
      <c r="K1" s="501"/>
      <c r="L1" s="501"/>
      <c r="M1" s="501"/>
      <c r="N1" s="501"/>
      <c r="O1" s="501"/>
      <c r="P1" s="501"/>
      <c r="Q1" s="501"/>
      <c r="R1" s="501"/>
      <c r="S1" s="501"/>
      <c r="T1" s="501"/>
      <c r="U1" s="501"/>
      <c r="V1" s="501"/>
    </row>
    <row r="3" spans="1:22">
      <c r="A3" s="636" t="s">
        <v>620</v>
      </c>
      <c r="B3" s="636"/>
      <c r="C3" s="636"/>
      <c r="D3" s="636"/>
      <c r="E3" s="636"/>
      <c r="F3" s="636"/>
      <c r="G3" s="636"/>
      <c r="H3" s="636"/>
      <c r="I3" s="636"/>
      <c r="J3" s="636"/>
      <c r="K3" s="636"/>
      <c r="L3" s="636"/>
      <c r="M3" s="636"/>
      <c r="N3" s="636"/>
      <c r="O3" s="636"/>
      <c r="P3" s="636"/>
      <c r="Q3" s="636"/>
      <c r="R3" s="636"/>
      <c r="S3" s="636"/>
      <c r="T3" s="636"/>
      <c r="U3" s="636"/>
      <c r="V3" s="636"/>
    </row>
    <row r="4" spans="1:22">
      <c r="A4" s="57"/>
      <c r="B4" s="634">
        <v>2019</v>
      </c>
      <c r="C4" s="634"/>
      <c r="D4" s="634"/>
      <c r="E4" s="634"/>
      <c r="F4" s="634"/>
      <c r="G4" s="634"/>
      <c r="H4" s="634"/>
      <c r="I4" s="634">
        <v>2035</v>
      </c>
      <c r="J4" s="634"/>
      <c r="K4" s="634"/>
      <c r="L4" s="634"/>
      <c r="M4" s="634"/>
      <c r="N4" s="634"/>
      <c r="O4" s="634"/>
      <c r="P4" s="634" t="s">
        <v>90</v>
      </c>
      <c r="Q4" s="634"/>
      <c r="R4" s="634"/>
      <c r="S4" s="634"/>
      <c r="T4" s="634"/>
      <c r="U4" s="634"/>
      <c r="V4" s="634"/>
    </row>
    <row r="5" spans="1:22">
      <c r="A5" s="57"/>
      <c r="B5" s="500" t="s">
        <v>28</v>
      </c>
      <c r="C5" s="500" t="s">
        <v>29</v>
      </c>
      <c r="D5" s="500" t="s">
        <v>30</v>
      </c>
      <c r="E5" s="500" t="s">
        <v>31</v>
      </c>
      <c r="F5" s="500" t="s">
        <v>32</v>
      </c>
      <c r="G5" s="500" t="s">
        <v>33</v>
      </c>
      <c r="H5" s="500" t="s">
        <v>34</v>
      </c>
      <c r="I5" s="500" t="s">
        <v>28</v>
      </c>
      <c r="J5" s="500" t="s">
        <v>29</v>
      </c>
      <c r="K5" s="500" t="s">
        <v>30</v>
      </c>
      <c r="L5" s="500" t="s">
        <v>31</v>
      </c>
      <c r="M5" s="500" t="s">
        <v>32</v>
      </c>
      <c r="N5" s="500" t="s">
        <v>33</v>
      </c>
      <c r="O5" s="500" t="s">
        <v>34</v>
      </c>
      <c r="P5" s="500" t="s">
        <v>28</v>
      </c>
      <c r="Q5" s="500" t="s">
        <v>29</v>
      </c>
      <c r="R5" s="500" t="s">
        <v>30</v>
      </c>
      <c r="S5" s="500" t="s">
        <v>31</v>
      </c>
      <c r="T5" s="500" t="s">
        <v>32</v>
      </c>
      <c r="U5" s="500" t="s">
        <v>33</v>
      </c>
      <c r="V5" s="500" t="s">
        <v>34</v>
      </c>
    </row>
    <row r="6" spans="1:22">
      <c r="A6" s="22" t="s">
        <v>51</v>
      </c>
      <c r="B6" s="504">
        <v>2.111576813110585</v>
      </c>
      <c r="C6" s="505">
        <v>2.6073906524463841</v>
      </c>
      <c r="D6" s="505">
        <v>2.9439000000015945</v>
      </c>
      <c r="E6" s="505">
        <v>3.3000000003937026E-2</v>
      </c>
      <c r="F6" s="505">
        <v>0.13400000000000001</v>
      </c>
      <c r="G6" s="505">
        <v>0</v>
      </c>
      <c r="H6" s="505">
        <v>1.015485</v>
      </c>
      <c r="I6" s="504">
        <v>0.57117287518869686</v>
      </c>
      <c r="J6" s="505">
        <v>-0.10371304604144616</v>
      </c>
      <c r="K6" s="505">
        <v>-0.5712374990717386</v>
      </c>
      <c r="L6" s="505">
        <v>0.72958459492624728</v>
      </c>
      <c r="M6" s="505">
        <v>2.6557127566685212E-2</v>
      </c>
      <c r="N6" s="505">
        <v>0</v>
      </c>
      <c r="O6" s="506">
        <v>0</v>
      </c>
      <c r="P6" s="505">
        <v>0</v>
      </c>
      <c r="Q6" s="505">
        <v>0</v>
      </c>
      <c r="R6" s="505">
        <v>0.38240054060350692</v>
      </c>
      <c r="S6" s="505">
        <v>0.14899666051632551</v>
      </c>
      <c r="T6" s="505">
        <v>0</v>
      </c>
      <c r="U6" s="505">
        <v>0</v>
      </c>
      <c r="V6" s="506">
        <v>0</v>
      </c>
    </row>
    <row r="7" spans="1:22">
      <c r="A7" s="22" t="s">
        <v>50</v>
      </c>
      <c r="B7" s="507">
        <v>1.6523386281414354</v>
      </c>
      <c r="C7" s="328">
        <v>2.4259820996468116</v>
      </c>
      <c r="D7" s="328">
        <v>2.2929183333391974</v>
      </c>
      <c r="E7" s="328">
        <v>0.10679694445020754</v>
      </c>
      <c r="F7" s="328">
        <v>0.17919805555555557</v>
      </c>
      <c r="G7" s="328">
        <v>2.3388888888888887E-4</v>
      </c>
      <c r="H7" s="328">
        <v>0.4910788888888889</v>
      </c>
      <c r="I7" s="507">
        <v>0.28355908476442537</v>
      </c>
      <c r="J7" s="328">
        <v>-0.28074911335360708</v>
      </c>
      <c r="K7" s="328">
        <v>7.9978737438343384E-2</v>
      </c>
      <c r="L7" s="328">
        <v>1.3159848372834011</v>
      </c>
      <c r="M7" s="328">
        <v>3.6900255813428234E-2</v>
      </c>
      <c r="N7" s="328">
        <v>0</v>
      </c>
      <c r="O7" s="508">
        <v>0</v>
      </c>
      <c r="P7" s="328">
        <v>0.11763096200493121</v>
      </c>
      <c r="Q7" s="328">
        <v>4.9501482845720174E-2</v>
      </c>
      <c r="R7" s="328">
        <v>1.6287228189725729E-2</v>
      </c>
      <c r="S7" s="328">
        <v>0.50043110413676617</v>
      </c>
      <c r="T7" s="328">
        <v>0</v>
      </c>
      <c r="U7" s="328">
        <v>0</v>
      </c>
      <c r="V7" s="508">
        <v>0</v>
      </c>
    </row>
    <row r="8" spans="1:22">
      <c r="A8" s="22" t="s">
        <v>49</v>
      </c>
      <c r="B8" s="507">
        <v>2.9127387221315666</v>
      </c>
      <c r="C8" s="328">
        <v>3.0953999568750752</v>
      </c>
      <c r="D8" s="328">
        <v>5.1172666666694697</v>
      </c>
      <c r="E8" s="328">
        <v>5.5000000002317466E-2</v>
      </c>
      <c r="F8" s="328">
        <v>0.21109999999999998</v>
      </c>
      <c r="G8" s="328">
        <v>0</v>
      </c>
      <c r="H8" s="328">
        <v>0.20699999999999999</v>
      </c>
      <c r="I8" s="507">
        <v>-0.10286634586714838</v>
      </c>
      <c r="J8" s="328">
        <v>-0.19650762859872151</v>
      </c>
      <c r="K8" s="328">
        <v>0.30088249638067044</v>
      </c>
      <c r="L8" s="328">
        <v>2.340448824268734</v>
      </c>
      <c r="M8" s="328">
        <v>3.6944735994339617E-2</v>
      </c>
      <c r="N8" s="328">
        <v>0</v>
      </c>
      <c r="O8" s="508">
        <v>0</v>
      </c>
      <c r="P8" s="328">
        <v>0.14205332016086375</v>
      </c>
      <c r="Q8" s="328">
        <v>3.6742914878852215E-2</v>
      </c>
      <c r="R8" s="328">
        <v>5.4419047526047812</v>
      </c>
      <c r="S8" s="328">
        <v>0.91488867243642791</v>
      </c>
      <c r="T8" s="328">
        <v>0</v>
      </c>
      <c r="U8" s="328">
        <v>0</v>
      </c>
      <c r="V8" s="508">
        <v>0</v>
      </c>
    </row>
    <row r="9" spans="1:22">
      <c r="A9" s="22" t="s">
        <v>48</v>
      </c>
      <c r="B9" s="507">
        <v>0</v>
      </c>
      <c r="C9" s="328">
        <v>0</v>
      </c>
      <c r="D9" s="328">
        <v>0</v>
      </c>
      <c r="E9" s="328">
        <v>0</v>
      </c>
      <c r="F9" s="328">
        <v>0</v>
      </c>
      <c r="G9" s="328">
        <v>0</v>
      </c>
      <c r="H9" s="328">
        <v>0</v>
      </c>
      <c r="I9" s="507">
        <v>0</v>
      </c>
      <c r="J9" s="328">
        <v>0</v>
      </c>
      <c r="K9" s="328">
        <v>0</v>
      </c>
      <c r="L9" s="328">
        <v>0</v>
      </c>
      <c r="M9" s="328">
        <v>0</v>
      </c>
      <c r="N9" s="328">
        <v>0</v>
      </c>
      <c r="O9" s="508">
        <v>0</v>
      </c>
      <c r="P9" s="328">
        <v>0</v>
      </c>
      <c r="Q9" s="328">
        <v>0</v>
      </c>
      <c r="R9" s="328">
        <v>0</v>
      </c>
      <c r="S9" s="328">
        <v>0</v>
      </c>
      <c r="T9" s="328">
        <v>0</v>
      </c>
      <c r="U9" s="328">
        <v>0</v>
      </c>
      <c r="V9" s="508">
        <v>0</v>
      </c>
    </row>
    <row r="10" spans="1:22">
      <c r="A10" s="22" t="s">
        <v>47</v>
      </c>
      <c r="B10" s="507">
        <v>24.142483306732149</v>
      </c>
      <c r="C10" s="328">
        <v>18.496723118567548</v>
      </c>
      <c r="D10" s="328">
        <v>41.166333333363887</v>
      </c>
      <c r="E10" s="328">
        <v>0.85900000001979415</v>
      </c>
      <c r="F10" s="328">
        <v>1.4749999999999999</v>
      </c>
      <c r="G10" s="328">
        <v>0</v>
      </c>
      <c r="H10" s="328">
        <v>2.597</v>
      </c>
      <c r="I10" s="507">
        <v>4.3270122153024282</v>
      </c>
      <c r="J10" s="328">
        <v>-1.6969079639031825</v>
      </c>
      <c r="K10" s="328">
        <v>34.011193235328598</v>
      </c>
      <c r="L10" s="328">
        <v>6.9168676893716228</v>
      </c>
      <c r="M10" s="328">
        <v>0.38500217761868449</v>
      </c>
      <c r="N10" s="328">
        <v>0</v>
      </c>
      <c r="O10" s="508">
        <v>0</v>
      </c>
      <c r="P10" s="328">
        <v>1.1544870285148175E-2</v>
      </c>
      <c r="Q10" s="328">
        <v>0</v>
      </c>
      <c r="R10" s="328">
        <v>14.717862089495886</v>
      </c>
      <c r="S10" s="328">
        <v>0.84501964852259048</v>
      </c>
      <c r="T10" s="328">
        <v>0</v>
      </c>
      <c r="U10" s="328">
        <v>0</v>
      </c>
      <c r="V10" s="508">
        <v>0</v>
      </c>
    </row>
    <row r="11" spans="1:22">
      <c r="A11" s="22" t="s">
        <v>46</v>
      </c>
      <c r="B11" s="507">
        <v>9.758237114062764</v>
      </c>
      <c r="C11" s="328">
        <v>8.5369914127732667</v>
      </c>
      <c r="D11" s="328">
        <v>10.935953333337894</v>
      </c>
      <c r="E11" s="328">
        <v>0.46218805557782139</v>
      </c>
      <c r="F11" s="328">
        <v>1.8264880555555556</v>
      </c>
      <c r="G11" s="328">
        <v>0</v>
      </c>
      <c r="H11" s="328">
        <v>0.83323888888888886</v>
      </c>
      <c r="I11" s="507">
        <v>-5.762639220433563E-2</v>
      </c>
      <c r="J11" s="328">
        <v>-0.1947042406988615</v>
      </c>
      <c r="K11" s="328">
        <v>2.6000277938922824</v>
      </c>
      <c r="L11" s="328">
        <v>8.2424279374291043</v>
      </c>
      <c r="M11" s="328">
        <v>0.40330312834223569</v>
      </c>
      <c r="N11" s="328">
        <v>0</v>
      </c>
      <c r="O11" s="508">
        <v>0</v>
      </c>
      <c r="P11" s="328">
        <v>0</v>
      </c>
      <c r="Q11" s="328">
        <v>0</v>
      </c>
      <c r="R11" s="328">
        <v>0.92392844954308251</v>
      </c>
      <c r="S11" s="328">
        <v>3.4995968194204279</v>
      </c>
      <c r="T11" s="328">
        <v>0</v>
      </c>
      <c r="U11" s="328">
        <v>0</v>
      </c>
      <c r="V11" s="508">
        <v>0</v>
      </c>
    </row>
    <row r="12" spans="1:22">
      <c r="A12" s="22" t="s">
        <v>45</v>
      </c>
      <c r="B12" s="507">
        <v>45.961397149719552</v>
      </c>
      <c r="C12" s="328">
        <v>25.860808652649304</v>
      </c>
      <c r="D12" s="328">
        <v>55.423944444485777</v>
      </c>
      <c r="E12" s="328">
        <v>2.7380000000200972</v>
      </c>
      <c r="F12" s="328">
        <v>1.024</v>
      </c>
      <c r="G12" s="328">
        <v>0</v>
      </c>
      <c r="H12" s="328">
        <v>2.794</v>
      </c>
      <c r="I12" s="507">
        <v>-4.0552150807645049</v>
      </c>
      <c r="J12" s="328">
        <v>-4.0853585176666485</v>
      </c>
      <c r="K12" s="328">
        <v>51.338432207971444</v>
      </c>
      <c r="L12" s="328">
        <v>10.49414507920125</v>
      </c>
      <c r="M12" s="328">
        <v>0.21618851305479447</v>
      </c>
      <c r="N12" s="328">
        <v>0</v>
      </c>
      <c r="O12" s="508">
        <v>0</v>
      </c>
      <c r="P12" s="328">
        <v>0.83013926630994306</v>
      </c>
      <c r="Q12" s="328">
        <v>0.26589966381697389</v>
      </c>
      <c r="R12" s="328">
        <v>20.861410733848189</v>
      </c>
      <c r="S12" s="328">
        <v>0.28559387185581736</v>
      </c>
      <c r="T12" s="328">
        <v>0</v>
      </c>
      <c r="U12" s="328">
        <v>0</v>
      </c>
      <c r="V12" s="508">
        <v>0</v>
      </c>
    </row>
    <row r="13" spans="1:22">
      <c r="A13" s="22" t="s">
        <v>44</v>
      </c>
      <c r="B13" s="507">
        <v>16.848878942666087</v>
      </c>
      <c r="C13" s="328">
        <v>19.90063035145856</v>
      </c>
      <c r="D13" s="328">
        <v>41.908422222246053</v>
      </c>
      <c r="E13" s="328">
        <v>1.7066000000879824</v>
      </c>
      <c r="F13" s="328">
        <v>1.7981</v>
      </c>
      <c r="G13" s="328">
        <v>5.0199999999999995E-2</v>
      </c>
      <c r="H13" s="328">
        <v>3.7263999999999999</v>
      </c>
      <c r="I13" s="507">
        <v>4.6488154691638819</v>
      </c>
      <c r="J13" s="328">
        <v>-0.8072289361569176</v>
      </c>
      <c r="K13" s="328">
        <v>29.58214527845022</v>
      </c>
      <c r="L13" s="328">
        <v>15.422197094433267</v>
      </c>
      <c r="M13" s="328">
        <v>0.31106375526821339</v>
      </c>
      <c r="N13" s="328">
        <v>0</v>
      </c>
      <c r="O13" s="508">
        <v>0</v>
      </c>
      <c r="P13" s="328">
        <v>0</v>
      </c>
      <c r="Q13" s="328">
        <v>0</v>
      </c>
      <c r="R13" s="328">
        <v>23.407950343861028</v>
      </c>
      <c r="S13" s="328">
        <v>0.47844244165167948</v>
      </c>
      <c r="T13" s="328">
        <v>0</v>
      </c>
      <c r="U13" s="328">
        <v>0</v>
      </c>
      <c r="V13" s="508">
        <v>0</v>
      </c>
    </row>
    <row r="14" spans="1:22">
      <c r="A14" s="22" t="s">
        <v>43</v>
      </c>
      <c r="B14" s="507">
        <v>23.020608525803496</v>
      </c>
      <c r="C14" s="328">
        <v>32.629185559677026</v>
      </c>
      <c r="D14" s="328">
        <v>45.331309203355609</v>
      </c>
      <c r="E14" s="328">
        <v>2.3635881600947357</v>
      </c>
      <c r="F14" s="328">
        <v>11.446234369445026</v>
      </c>
      <c r="G14" s="328">
        <v>0</v>
      </c>
      <c r="H14" s="328">
        <v>3.4897908388888887</v>
      </c>
      <c r="I14" s="507">
        <v>6.7703893319357036</v>
      </c>
      <c r="J14" s="328">
        <v>-4.3177443120352521</v>
      </c>
      <c r="K14" s="328">
        <v>45.334674566635236</v>
      </c>
      <c r="L14" s="328">
        <v>33.621443110743243</v>
      </c>
      <c r="M14" s="328">
        <v>1.7243275088057395</v>
      </c>
      <c r="N14" s="328">
        <v>0</v>
      </c>
      <c r="O14" s="508">
        <v>0</v>
      </c>
      <c r="P14" s="328">
        <v>0</v>
      </c>
      <c r="Q14" s="328">
        <v>0</v>
      </c>
      <c r="R14" s="328">
        <v>30.486970576847167</v>
      </c>
      <c r="S14" s="328">
        <v>2.4449511854134864</v>
      </c>
      <c r="T14" s="328">
        <v>0</v>
      </c>
      <c r="U14" s="328">
        <v>0</v>
      </c>
      <c r="V14" s="508">
        <v>0</v>
      </c>
    </row>
    <row r="15" spans="1:22">
      <c r="A15" s="22" t="s">
        <v>42</v>
      </c>
      <c r="B15" s="507">
        <v>27.808623684300141</v>
      </c>
      <c r="C15" s="328">
        <v>44.395861473465111</v>
      </c>
      <c r="D15" s="328">
        <v>73.352501666753241</v>
      </c>
      <c r="E15" s="328">
        <v>3.1881597223481135</v>
      </c>
      <c r="F15" s="328">
        <v>1.8322511111111113</v>
      </c>
      <c r="G15" s="328">
        <v>0</v>
      </c>
      <c r="H15" s="328">
        <v>12.625531944444443</v>
      </c>
      <c r="I15" s="507">
        <v>8.2025019747361405</v>
      </c>
      <c r="J15" s="328">
        <v>-6.8136971781907292</v>
      </c>
      <c r="K15" s="328">
        <v>11.617323634773854</v>
      </c>
      <c r="L15" s="328">
        <v>23.816054872647975</v>
      </c>
      <c r="M15" s="328">
        <v>0.4355303881220145</v>
      </c>
      <c r="N15" s="328">
        <v>0</v>
      </c>
      <c r="O15" s="508">
        <v>0</v>
      </c>
      <c r="P15" s="328">
        <v>2.8399662023590682</v>
      </c>
      <c r="Q15" s="328">
        <v>0.70856663145759213</v>
      </c>
      <c r="R15" s="328">
        <v>23.944666409478128</v>
      </c>
      <c r="S15" s="328">
        <v>5.4989534807355467</v>
      </c>
      <c r="T15" s="328">
        <v>0</v>
      </c>
      <c r="U15" s="328">
        <v>0</v>
      </c>
      <c r="V15" s="508">
        <v>0</v>
      </c>
    </row>
    <row r="16" spans="1:22">
      <c r="A16" s="22" t="s">
        <v>41</v>
      </c>
      <c r="B16" s="507">
        <v>72.986245663576753</v>
      </c>
      <c r="C16" s="328">
        <v>68.405060171341333</v>
      </c>
      <c r="D16" s="328">
        <v>89.951833333411074</v>
      </c>
      <c r="E16" s="328">
        <v>3.7390000001372554</v>
      </c>
      <c r="F16" s="328">
        <v>5.3769999999999998</v>
      </c>
      <c r="G16" s="328">
        <v>1.5760000000000001</v>
      </c>
      <c r="H16" s="328">
        <v>9.4610000000000003</v>
      </c>
      <c r="I16" s="507">
        <v>5.2288773689173951</v>
      </c>
      <c r="J16" s="328">
        <v>-11.353526420479639</v>
      </c>
      <c r="K16" s="328">
        <v>-1.919217661678303</v>
      </c>
      <c r="L16" s="328">
        <v>57.813446151531402</v>
      </c>
      <c r="M16" s="328">
        <v>1.212775749432554</v>
      </c>
      <c r="N16" s="328">
        <v>0</v>
      </c>
      <c r="O16" s="508">
        <v>0</v>
      </c>
      <c r="P16" s="328">
        <v>0</v>
      </c>
      <c r="Q16" s="328">
        <v>0</v>
      </c>
      <c r="R16" s="328">
        <v>37.569458101808749</v>
      </c>
      <c r="S16" s="328">
        <v>7.0178543707002969</v>
      </c>
      <c r="T16" s="328">
        <v>0</v>
      </c>
      <c r="U16" s="328">
        <v>0</v>
      </c>
      <c r="V16" s="508">
        <v>0</v>
      </c>
    </row>
    <row r="17" spans="1:22">
      <c r="A17" s="22" t="s">
        <v>75</v>
      </c>
      <c r="B17" s="507">
        <v>105.41376793036197</v>
      </c>
      <c r="C17" s="328">
        <v>89.178913906190502</v>
      </c>
      <c r="D17" s="328">
        <v>99.852868611171687</v>
      </c>
      <c r="E17" s="328">
        <v>6.5071830557322414</v>
      </c>
      <c r="F17" s="328">
        <v>3.1539988888888888</v>
      </c>
      <c r="G17" s="328">
        <v>0</v>
      </c>
      <c r="H17" s="328">
        <v>12.505419999999999</v>
      </c>
      <c r="I17" s="507">
        <v>16.002291822176772</v>
      </c>
      <c r="J17" s="328">
        <v>14.303517687277449</v>
      </c>
      <c r="K17" s="328">
        <v>1.5960881378785103</v>
      </c>
      <c r="L17" s="328">
        <v>56.874255477033387</v>
      </c>
      <c r="M17" s="328">
        <v>0.57541574563878317</v>
      </c>
      <c r="N17" s="328">
        <v>0</v>
      </c>
      <c r="O17" s="508">
        <v>0</v>
      </c>
      <c r="P17" s="328">
        <v>32.516989232978318</v>
      </c>
      <c r="Q17" s="328">
        <v>5.3564588837745664</v>
      </c>
      <c r="R17" s="328">
        <v>33.399189515954909</v>
      </c>
      <c r="S17" s="328">
        <v>7.3972661401305233</v>
      </c>
      <c r="T17" s="328">
        <v>0</v>
      </c>
      <c r="U17" s="328">
        <v>0</v>
      </c>
      <c r="V17" s="508">
        <v>0</v>
      </c>
    </row>
    <row r="18" spans="1:22">
      <c r="A18" s="22" t="s">
        <v>39</v>
      </c>
      <c r="B18" s="507">
        <v>147.54933996614554</v>
      </c>
      <c r="C18" s="328">
        <v>127.44248196798941</v>
      </c>
      <c r="D18" s="328">
        <v>135.61282805559642</v>
      </c>
      <c r="E18" s="328">
        <v>9.0084611112165938</v>
      </c>
      <c r="F18" s="328">
        <v>8.2687249999999999</v>
      </c>
      <c r="G18" s="328">
        <v>1.1570119444444444</v>
      </c>
      <c r="H18" s="328">
        <v>23.869743055555556</v>
      </c>
      <c r="I18" s="507">
        <v>-3.5529845241794931</v>
      </c>
      <c r="J18" s="328">
        <v>-33.561713909915227</v>
      </c>
      <c r="K18" s="328">
        <v>18.540795788055647</v>
      </c>
      <c r="L18" s="328">
        <v>60.680690434277849</v>
      </c>
      <c r="M18" s="328">
        <v>0.87629812714896893</v>
      </c>
      <c r="N18" s="328">
        <v>1.1272761369321216</v>
      </c>
      <c r="O18" s="508">
        <v>0</v>
      </c>
      <c r="P18" s="328">
        <v>0</v>
      </c>
      <c r="Q18" s="328">
        <v>0</v>
      </c>
      <c r="R18" s="328">
        <v>24.481843833585749</v>
      </c>
      <c r="S18" s="328">
        <v>3.3535240050230359</v>
      </c>
      <c r="T18" s="328">
        <v>4.9622518944533733E-2</v>
      </c>
      <c r="U18" s="328">
        <v>0</v>
      </c>
      <c r="V18" s="508">
        <v>0</v>
      </c>
    </row>
    <row r="19" spans="1:22">
      <c r="A19" s="22" t="s">
        <v>38</v>
      </c>
      <c r="B19" s="509">
        <v>125.26950242051855</v>
      </c>
      <c r="C19" s="510">
        <v>112.18381084093178</v>
      </c>
      <c r="D19" s="510">
        <v>252.63388888901002</v>
      </c>
      <c r="E19" s="510">
        <v>11.676000000195845</v>
      </c>
      <c r="F19" s="510">
        <v>5.0589999999999993</v>
      </c>
      <c r="G19" s="510">
        <v>0</v>
      </c>
      <c r="H19" s="510">
        <v>31.053000000000001</v>
      </c>
      <c r="I19" s="509">
        <v>28.398079350610445</v>
      </c>
      <c r="J19" s="510">
        <v>-7.0348525130517601</v>
      </c>
      <c r="K19" s="510">
        <v>115.93731892505011</v>
      </c>
      <c r="L19" s="510">
        <v>110.99916084403068</v>
      </c>
      <c r="M19" s="510">
        <v>1.2734502693700449</v>
      </c>
      <c r="N19" s="510">
        <v>0</v>
      </c>
      <c r="O19" s="511">
        <v>0</v>
      </c>
      <c r="P19" s="510">
        <v>17.826879808832903</v>
      </c>
      <c r="Q19" s="510">
        <v>4.2093363222680553</v>
      </c>
      <c r="R19" s="510">
        <v>137.8418459265549</v>
      </c>
      <c r="S19" s="510">
        <v>25.467546266897134</v>
      </c>
      <c r="T19" s="510">
        <v>1.8846308331581791</v>
      </c>
      <c r="U19" s="510">
        <v>0</v>
      </c>
      <c r="V19" s="511">
        <v>0</v>
      </c>
    </row>
    <row r="20" spans="1:22">
      <c r="B20" s="364">
        <f>SUM(B6:B19)</f>
        <v>605.43573886727052</v>
      </c>
      <c r="C20" s="364">
        <f t="shared" ref="C20:V20" si="0">SUM(C6:C19)</f>
        <v>555.15924016401209</v>
      </c>
      <c r="D20" s="364">
        <f t="shared" si="0"/>
        <v>856.52396809274182</v>
      </c>
      <c r="E20" s="364">
        <f t="shared" si="0"/>
        <v>42.442977049886949</v>
      </c>
      <c r="F20" s="364">
        <f t="shared" si="0"/>
        <v>41.785095480556137</v>
      </c>
      <c r="G20" s="364">
        <f t="shared" si="0"/>
        <v>2.7834458333333334</v>
      </c>
      <c r="H20" s="364">
        <f t="shared" si="0"/>
        <v>104.66868861666666</v>
      </c>
      <c r="I20" s="364">
        <f t="shared" si="0"/>
        <v>66.664007149780403</v>
      </c>
      <c r="J20" s="364">
        <f t="shared" si="0"/>
        <v>-56.143186092814545</v>
      </c>
      <c r="K20" s="364">
        <f t="shared" si="0"/>
        <v>308.44840564110484</v>
      </c>
      <c r="L20" s="364">
        <f t="shared" si="0"/>
        <v>389.26670694717814</v>
      </c>
      <c r="M20" s="364">
        <f t="shared" si="0"/>
        <v>7.5137574821764863</v>
      </c>
      <c r="N20" s="364">
        <f t="shared" si="0"/>
        <v>1.1272761369321216</v>
      </c>
      <c r="O20" s="364">
        <f t="shared" si="0"/>
        <v>0</v>
      </c>
      <c r="P20" s="364">
        <f t="shared" si="0"/>
        <v>54.285203662931181</v>
      </c>
      <c r="Q20" s="364">
        <f t="shared" si="0"/>
        <v>10.62650589904176</v>
      </c>
      <c r="R20" s="364">
        <f t="shared" si="0"/>
        <v>353.4757185023758</v>
      </c>
      <c r="S20" s="364">
        <f t="shared" si="0"/>
        <v>57.853064667440051</v>
      </c>
      <c r="T20" s="364">
        <f t="shared" si="0"/>
        <v>1.9342533521027128</v>
      </c>
      <c r="U20" s="364">
        <f t="shared" si="0"/>
        <v>0</v>
      </c>
      <c r="V20" s="364">
        <f t="shared" si="0"/>
        <v>0</v>
      </c>
    </row>
    <row r="21" spans="1:22">
      <c r="A21" s="636" t="s">
        <v>619</v>
      </c>
      <c r="B21" s="636"/>
      <c r="C21" s="636"/>
      <c r="D21" s="636"/>
      <c r="E21" s="636"/>
      <c r="F21" s="636"/>
      <c r="G21" s="636"/>
      <c r="H21" s="636"/>
      <c r="I21" s="636"/>
      <c r="J21" s="636"/>
      <c r="K21" s="636"/>
      <c r="L21" s="636"/>
      <c r="M21" s="636"/>
      <c r="N21" s="636"/>
      <c r="O21" s="636"/>
      <c r="P21" s="636"/>
      <c r="Q21" s="636"/>
      <c r="R21" s="636"/>
      <c r="S21" s="636"/>
      <c r="T21" s="636"/>
      <c r="U21" s="636"/>
      <c r="V21" s="636"/>
    </row>
    <row r="22" spans="1:22">
      <c r="A22" s="503"/>
      <c r="B22" s="638" t="s">
        <v>218</v>
      </c>
      <c r="C22" s="638"/>
      <c r="D22" s="638"/>
      <c r="E22" s="634" t="s">
        <v>219</v>
      </c>
      <c r="F22" s="634"/>
      <c r="G22" s="634"/>
      <c r="H22" s="634"/>
      <c r="I22" s="634"/>
      <c r="J22" s="634"/>
    </row>
    <row r="23" spans="1:22">
      <c r="A23" s="503"/>
      <c r="B23" s="634">
        <v>2030</v>
      </c>
      <c r="C23" s="634"/>
      <c r="D23" s="634"/>
      <c r="E23" s="634">
        <v>2040</v>
      </c>
      <c r="F23" s="634"/>
      <c r="G23" s="634"/>
      <c r="H23" s="634">
        <v>2050</v>
      </c>
      <c r="I23" s="634"/>
      <c r="J23" s="634"/>
    </row>
    <row r="24" spans="1:22">
      <c r="A24" s="503"/>
      <c r="B24" s="502" t="s">
        <v>139</v>
      </c>
      <c r="C24" s="502" t="s">
        <v>220</v>
      </c>
      <c r="D24" s="502" t="s">
        <v>221</v>
      </c>
      <c r="E24" s="502" t="s">
        <v>139</v>
      </c>
      <c r="F24" s="502" t="s">
        <v>220</v>
      </c>
      <c r="G24" s="502" t="s">
        <v>221</v>
      </c>
      <c r="H24" s="502" t="s">
        <v>139</v>
      </c>
      <c r="I24" s="502" t="s">
        <v>220</v>
      </c>
      <c r="J24" s="502" t="s">
        <v>221</v>
      </c>
    </row>
    <row r="25" spans="1:22">
      <c r="A25" s="33" t="s">
        <v>51</v>
      </c>
      <c r="B25" s="512">
        <v>1160</v>
      </c>
      <c r="C25" s="513">
        <v>696</v>
      </c>
      <c r="D25" s="513">
        <v>1000</v>
      </c>
      <c r="E25" s="512">
        <v>540</v>
      </c>
      <c r="F25" s="513">
        <v>304</v>
      </c>
      <c r="G25" s="514">
        <v>2500</v>
      </c>
      <c r="H25" s="513">
        <v>800</v>
      </c>
      <c r="I25" s="513">
        <v>0</v>
      </c>
      <c r="J25" s="514">
        <v>3500</v>
      </c>
    </row>
    <row r="26" spans="1:22">
      <c r="A26" s="33" t="s">
        <v>50</v>
      </c>
      <c r="B26" s="515">
        <v>300</v>
      </c>
      <c r="C26" s="516">
        <v>400</v>
      </c>
      <c r="D26" s="516">
        <v>500</v>
      </c>
      <c r="E26" s="515">
        <v>700</v>
      </c>
      <c r="F26" s="516">
        <v>100</v>
      </c>
      <c r="G26" s="517">
        <v>500</v>
      </c>
      <c r="H26" s="516">
        <v>500</v>
      </c>
      <c r="I26" s="516">
        <v>100</v>
      </c>
      <c r="J26" s="517">
        <v>1000</v>
      </c>
    </row>
    <row r="27" spans="1:22">
      <c r="A27" s="33" t="s">
        <v>49</v>
      </c>
      <c r="B27" s="518">
        <v>5000</v>
      </c>
      <c r="C27" s="519">
        <v>5000</v>
      </c>
      <c r="D27" s="519">
        <v>1400</v>
      </c>
      <c r="E27" s="518">
        <v>320</v>
      </c>
      <c r="F27" s="519">
        <v>430</v>
      </c>
      <c r="G27" s="520">
        <v>1400</v>
      </c>
      <c r="H27" s="519">
        <v>580</v>
      </c>
      <c r="I27" s="519">
        <v>220</v>
      </c>
      <c r="J27" s="520">
        <v>1700</v>
      </c>
    </row>
    <row r="28" spans="1:22">
      <c r="A28" s="33" t="s">
        <v>48</v>
      </c>
      <c r="B28" s="512">
        <v>5150</v>
      </c>
      <c r="C28" s="513">
        <v>5356.1</v>
      </c>
      <c r="D28" s="513">
        <v>3000</v>
      </c>
      <c r="E28" s="512">
        <v>5990</v>
      </c>
      <c r="F28" s="513">
        <v>752.09999999999945</v>
      </c>
      <c r="G28" s="514">
        <v>7500</v>
      </c>
      <c r="H28" s="513">
        <v>1000</v>
      </c>
      <c r="I28" s="513">
        <v>600</v>
      </c>
      <c r="J28" s="514">
        <v>0</v>
      </c>
    </row>
    <row r="29" spans="1:22">
      <c r="A29" s="33" t="s">
        <v>47</v>
      </c>
      <c r="B29" s="515">
        <v>10695.1871657754</v>
      </c>
      <c r="C29" s="516">
        <v>25424.0288135593</v>
      </c>
      <c r="D29" s="516">
        <v>1250</v>
      </c>
      <c r="E29" s="515">
        <v>10695.187165775389</v>
      </c>
      <c r="F29" s="516">
        <v>28797.582661850502</v>
      </c>
      <c r="G29" s="517">
        <v>3813.3</v>
      </c>
      <c r="H29" s="516">
        <v>10695.187165775391</v>
      </c>
      <c r="I29" s="516">
        <v>14528.688524590201</v>
      </c>
      <c r="J29" s="517">
        <v>7244.4000000000005</v>
      </c>
    </row>
    <row r="30" spans="1:22">
      <c r="A30" s="33" t="s">
        <v>46</v>
      </c>
      <c r="B30" s="515">
        <v>17744.41</v>
      </c>
      <c r="C30" s="516">
        <v>7305.6119999999992</v>
      </c>
      <c r="D30" s="516">
        <v>8250.5999999999985</v>
      </c>
      <c r="E30" s="515">
        <v>9227.7199999999975</v>
      </c>
      <c r="F30" s="516">
        <v>-1359.1769999999988</v>
      </c>
      <c r="G30" s="517">
        <v>16000.000000000004</v>
      </c>
      <c r="H30" s="516">
        <v>7139.4800000000032</v>
      </c>
      <c r="I30" s="516">
        <v>124.92000000000007</v>
      </c>
      <c r="J30" s="517">
        <v>15999.999999999989</v>
      </c>
    </row>
    <row r="31" spans="1:22">
      <c r="A31" s="33" t="s">
        <v>45</v>
      </c>
      <c r="B31" s="518">
        <v>7648.0475926871331</v>
      </c>
      <c r="C31" s="519">
        <v>17952.152438596491</v>
      </c>
      <c r="D31" s="519">
        <v>39514.300000000003</v>
      </c>
      <c r="E31" s="518">
        <v>7648.047592687135</v>
      </c>
      <c r="F31" s="519">
        <v>4670.7860706329047</v>
      </c>
      <c r="G31" s="520">
        <v>64738</v>
      </c>
      <c r="H31" s="519">
        <v>7648.0475926871422</v>
      </c>
      <c r="I31" s="519">
        <v>5557.3333333333321</v>
      </c>
      <c r="J31" s="520">
        <v>33720.449999999997</v>
      </c>
    </row>
    <row r="32" spans="1:22">
      <c r="A32" s="33" t="s">
        <v>42</v>
      </c>
      <c r="B32" s="512">
        <v>21663</v>
      </c>
      <c r="C32" s="513">
        <v>13767.84</v>
      </c>
      <c r="D32" s="513">
        <v>10004</v>
      </c>
      <c r="E32" s="512">
        <v>4337</v>
      </c>
      <c r="F32" s="513">
        <v>0</v>
      </c>
      <c r="G32" s="514">
        <v>896</v>
      </c>
      <c r="H32" s="513">
        <v>4000</v>
      </c>
      <c r="I32" s="513">
        <v>0</v>
      </c>
      <c r="J32" s="514">
        <v>0</v>
      </c>
    </row>
    <row r="33" spans="1:23">
      <c r="A33" s="33" t="s">
        <v>75</v>
      </c>
      <c r="B33" s="515">
        <v>35016.42</v>
      </c>
      <c r="C33" s="516">
        <v>31983.18</v>
      </c>
      <c r="D33" s="516">
        <v>52467.47</v>
      </c>
      <c r="E33" s="515">
        <v>24862.020000000004</v>
      </c>
      <c r="F33" s="516">
        <v>12306.900000000001</v>
      </c>
      <c r="G33" s="517">
        <v>43690.100000000006</v>
      </c>
      <c r="H33" s="516">
        <v>19999.899999999994</v>
      </c>
      <c r="I33" s="516">
        <v>8064.489999999998</v>
      </c>
      <c r="J33" s="517">
        <v>1809.6699999999983</v>
      </c>
    </row>
    <row r="34" spans="1:23">
      <c r="A34" s="33" t="s">
        <v>39</v>
      </c>
      <c r="B34" s="515">
        <v>43441</v>
      </c>
      <c r="C34" s="516">
        <v>35959</v>
      </c>
      <c r="D34" s="516">
        <v>3893</v>
      </c>
      <c r="E34" s="515">
        <v>33382.099999999991</v>
      </c>
      <c r="F34" s="516">
        <v>11120.899999999987</v>
      </c>
      <c r="G34" s="517">
        <v>18100</v>
      </c>
      <c r="H34" s="516">
        <v>38286.900000000009</v>
      </c>
      <c r="I34" s="516">
        <v>11730.100000000006</v>
      </c>
      <c r="J34" s="517">
        <v>18000</v>
      </c>
    </row>
    <row r="35" spans="1:23">
      <c r="A35" s="33" t="s">
        <v>38</v>
      </c>
      <c r="B35" s="518">
        <v>215002</v>
      </c>
      <c r="C35" s="519">
        <v>115000.7</v>
      </c>
      <c r="D35" s="519">
        <v>33521.300000000003</v>
      </c>
      <c r="E35" s="518">
        <v>150873.40000000002</v>
      </c>
      <c r="F35" s="519">
        <v>43877.590000000011</v>
      </c>
      <c r="G35" s="520">
        <v>31538</v>
      </c>
      <c r="H35" s="519">
        <v>68251.239999999991</v>
      </c>
      <c r="I35" s="519">
        <v>2251.2299999999814</v>
      </c>
      <c r="J35" s="520">
        <v>3720.4499999999971</v>
      </c>
    </row>
    <row r="36" spans="1:23">
      <c r="B36" s="113">
        <f>SUM(B25:B35)</f>
        <v>362820.06475846254</v>
      </c>
      <c r="C36" s="113">
        <f t="shared" ref="C36:J36" si="1">SUM(C25:C35)</f>
        <v>258844.61325215577</v>
      </c>
      <c r="D36" s="113">
        <f t="shared" si="1"/>
        <v>154800.66999999998</v>
      </c>
      <c r="E36" s="113">
        <f t="shared" si="1"/>
        <v>248575.47475846254</v>
      </c>
      <c r="F36" s="113">
        <f t="shared" si="1"/>
        <v>101000.68173248341</v>
      </c>
      <c r="G36" s="113">
        <f t="shared" si="1"/>
        <v>190675.40000000002</v>
      </c>
      <c r="H36" s="113">
        <f t="shared" si="1"/>
        <v>158900.75475846254</v>
      </c>
      <c r="I36" s="113">
        <f t="shared" si="1"/>
        <v>43176.76185792352</v>
      </c>
      <c r="J36" s="113">
        <f t="shared" si="1"/>
        <v>86694.969999999987</v>
      </c>
    </row>
    <row r="37" spans="1:23">
      <c r="A37" s="636" t="s">
        <v>617</v>
      </c>
      <c r="B37" s="636"/>
      <c r="C37" s="636"/>
      <c r="D37" s="636"/>
      <c r="E37" s="636"/>
      <c r="F37" s="636"/>
      <c r="G37" s="636"/>
      <c r="H37" s="636"/>
      <c r="I37" s="636"/>
      <c r="J37" s="636"/>
      <c r="K37" s="636"/>
      <c r="L37" s="636"/>
      <c r="M37" s="636"/>
      <c r="N37" s="636"/>
      <c r="O37" s="636"/>
      <c r="P37" s="636"/>
      <c r="Q37" s="636"/>
      <c r="R37" s="56"/>
      <c r="S37" s="56"/>
      <c r="T37" s="56"/>
      <c r="U37" s="56"/>
      <c r="V37" s="56"/>
    </row>
    <row r="38" spans="1:23">
      <c r="A38" s="21"/>
      <c r="B38" s="637" t="s">
        <v>223</v>
      </c>
      <c r="C38" s="637"/>
      <c r="D38" s="637"/>
      <c r="E38" s="637"/>
      <c r="F38" s="634">
        <v>2030</v>
      </c>
      <c r="G38" s="634"/>
      <c r="H38" s="634"/>
      <c r="I38" s="634"/>
      <c r="J38" s="8">
        <v>2040</v>
      </c>
      <c r="K38" s="8"/>
      <c r="L38" s="8"/>
      <c r="M38" s="8"/>
      <c r="N38" s="8">
        <v>2050</v>
      </c>
      <c r="O38" s="8"/>
      <c r="P38" s="8"/>
      <c r="Q38" s="8"/>
      <c r="R38" s="521"/>
      <c r="S38" s="521"/>
      <c r="T38" s="521"/>
      <c r="U38" s="495"/>
      <c r="V38" s="495"/>
      <c r="W38" s="495"/>
    </row>
    <row r="39" spans="1:23">
      <c r="A39" s="21"/>
      <c r="B39" s="3" t="s">
        <v>162</v>
      </c>
      <c r="C39" s="3" t="s">
        <v>144</v>
      </c>
      <c r="D39" s="3" t="s">
        <v>143</v>
      </c>
      <c r="E39" s="3" t="s">
        <v>145</v>
      </c>
      <c r="F39" s="3" t="s">
        <v>162</v>
      </c>
      <c r="G39" s="3" t="s">
        <v>144</v>
      </c>
      <c r="H39" s="3" t="s">
        <v>143</v>
      </c>
      <c r="I39" s="3" t="s">
        <v>145</v>
      </c>
      <c r="J39" s="3" t="s">
        <v>162</v>
      </c>
      <c r="K39" s="3" t="s">
        <v>144</v>
      </c>
      <c r="L39" s="3" t="s">
        <v>143</v>
      </c>
      <c r="M39" s="3" t="s">
        <v>145</v>
      </c>
      <c r="N39" s="3" t="s">
        <v>162</v>
      </c>
      <c r="O39" s="3" t="s">
        <v>144</v>
      </c>
      <c r="P39" s="3" t="s">
        <v>143</v>
      </c>
      <c r="Q39" s="3" t="s">
        <v>145</v>
      </c>
      <c r="R39" s="522"/>
      <c r="S39" s="522"/>
      <c r="T39" s="522"/>
      <c r="U39" s="496"/>
      <c r="V39" s="496"/>
      <c r="W39" s="496"/>
    </row>
    <row r="40" spans="1:23">
      <c r="A40" s="39" t="s">
        <v>51</v>
      </c>
      <c r="B40" s="254">
        <v>0</v>
      </c>
      <c r="C40" s="189">
        <v>60</v>
      </c>
      <c r="D40" s="189"/>
      <c r="E40" s="189"/>
      <c r="F40" s="222">
        <v>0</v>
      </c>
      <c r="G40" s="222">
        <v>90</v>
      </c>
      <c r="H40" s="222">
        <v>543.65438052594357</v>
      </c>
      <c r="I40" s="222">
        <v>0</v>
      </c>
      <c r="J40" s="222">
        <v>0</v>
      </c>
      <c r="K40" s="222">
        <v>83.333333299999993</v>
      </c>
      <c r="L40" s="222">
        <v>132.49168973429977</v>
      </c>
      <c r="M40" s="222">
        <v>0</v>
      </c>
      <c r="N40" s="222">
        <v>0</v>
      </c>
      <c r="O40" s="222">
        <v>22.533333400000004</v>
      </c>
      <c r="P40" s="222">
        <v>51.95993537941979</v>
      </c>
      <c r="Q40" s="222">
        <v>419.3234746</v>
      </c>
      <c r="R40" s="522"/>
      <c r="S40" s="522"/>
      <c r="T40" s="522"/>
      <c r="U40" s="496"/>
      <c r="V40" s="496"/>
      <c r="W40" s="496"/>
    </row>
    <row r="41" spans="1:23">
      <c r="A41" s="39" t="s">
        <v>50</v>
      </c>
      <c r="B41" s="254">
        <v>0</v>
      </c>
      <c r="C41" s="189"/>
      <c r="D41" s="189"/>
      <c r="E41" s="189"/>
      <c r="F41" s="222">
        <v>0</v>
      </c>
      <c r="G41" s="222">
        <v>36.799999999999997</v>
      </c>
      <c r="H41" s="222">
        <v>38.4376914997356</v>
      </c>
      <c r="I41" s="222">
        <v>0</v>
      </c>
      <c r="J41" s="222">
        <v>0</v>
      </c>
      <c r="K41" s="222">
        <v>0</v>
      </c>
      <c r="L41" s="222">
        <v>84.71406856942383</v>
      </c>
      <c r="M41" s="222">
        <v>0</v>
      </c>
      <c r="N41" s="222">
        <v>0</v>
      </c>
      <c r="O41" s="222">
        <v>4.784000000000006</v>
      </c>
      <c r="P41" s="222">
        <v>4.1985872742530717</v>
      </c>
      <c r="Q41" s="222">
        <v>552.12907099999995</v>
      </c>
      <c r="R41" s="522"/>
      <c r="S41" s="522"/>
      <c r="T41" s="522"/>
      <c r="U41" s="496"/>
      <c r="V41" s="496"/>
      <c r="W41" s="496"/>
    </row>
    <row r="42" spans="1:23">
      <c r="A42" s="39" t="s">
        <v>49</v>
      </c>
      <c r="B42" s="317">
        <v>930</v>
      </c>
      <c r="C42" s="189">
        <v>10</v>
      </c>
      <c r="D42" s="189"/>
      <c r="E42" s="189"/>
      <c r="F42" s="222">
        <v>930</v>
      </c>
      <c r="G42" s="222">
        <v>40</v>
      </c>
      <c r="H42" s="222">
        <v>661.82331915377836</v>
      </c>
      <c r="I42" s="222">
        <v>0</v>
      </c>
      <c r="J42" s="222">
        <v>0</v>
      </c>
      <c r="K42" s="222">
        <v>10</v>
      </c>
      <c r="L42" s="222">
        <v>204.00624053079491</v>
      </c>
      <c r="M42" s="222">
        <v>808</v>
      </c>
      <c r="N42" s="222">
        <v>0</v>
      </c>
      <c r="O42" s="222">
        <v>6.5</v>
      </c>
      <c r="P42" s="222">
        <v>82.751927662716525</v>
      </c>
      <c r="Q42" s="222">
        <v>0</v>
      </c>
      <c r="R42" s="496"/>
      <c r="S42" s="496"/>
      <c r="T42" s="496"/>
      <c r="U42" s="496"/>
      <c r="V42" s="496"/>
      <c r="W42" s="496"/>
    </row>
    <row r="43" spans="1:23">
      <c r="A43" s="39" t="s">
        <v>48</v>
      </c>
      <c r="B43" s="317">
        <v>33360.68115235</v>
      </c>
      <c r="C43" s="189">
        <f>1424+1296+3584</f>
        <v>6304</v>
      </c>
      <c r="D43" s="189"/>
      <c r="E43" s="189"/>
      <c r="F43" s="222">
        <v>33360.68115235</v>
      </c>
      <c r="G43" s="222">
        <v>6294</v>
      </c>
      <c r="H43" s="222">
        <v>408.08068980522171</v>
      </c>
      <c r="I43" s="222">
        <v>0</v>
      </c>
      <c r="J43" s="222">
        <v>-140</v>
      </c>
      <c r="K43" s="222">
        <v>0</v>
      </c>
      <c r="L43" s="222">
        <v>-110.5192215169908</v>
      </c>
      <c r="M43" s="222">
        <v>878</v>
      </c>
      <c r="N43" s="222">
        <v>0</v>
      </c>
      <c r="O43" s="222">
        <v>818.22000000000025</v>
      </c>
      <c r="P43" s="222">
        <v>-34.056476980517687</v>
      </c>
      <c r="Q43" s="222">
        <v>0</v>
      </c>
      <c r="R43" s="496"/>
      <c r="S43" s="496"/>
      <c r="T43" s="496"/>
      <c r="U43" s="496"/>
      <c r="V43" s="496"/>
      <c r="W43" s="496"/>
    </row>
    <row r="44" spans="1:23">
      <c r="A44" s="39" t="s">
        <v>47</v>
      </c>
      <c r="B44" s="254">
        <v>0</v>
      </c>
      <c r="C44" s="189">
        <v>1831.29</v>
      </c>
      <c r="D44" s="189">
        <v>76.2</v>
      </c>
      <c r="E44" s="189">
        <v>274</v>
      </c>
      <c r="F44" s="222">
        <v>0</v>
      </c>
      <c r="G44" s="222">
        <v>4490.8315430000002</v>
      </c>
      <c r="H44" s="222">
        <v>1487.8230566433542</v>
      </c>
      <c r="I44" s="222">
        <v>215.00000001000001</v>
      </c>
      <c r="J44" s="222">
        <v>0</v>
      </c>
      <c r="K44" s="222">
        <v>5433.3435050000007</v>
      </c>
      <c r="L44" s="222">
        <v>736.48877680529199</v>
      </c>
      <c r="M44" s="222">
        <v>-90.000000010000008</v>
      </c>
      <c r="N44" s="222">
        <v>0</v>
      </c>
      <c r="O44" s="222">
        <v>1290.1427559999975</v>
      </c>
      <c r="P44" s="222">
        <v>278.98964961758202</v>
      </c>
      <c r="Q44" s="222">
        <v>6.6118322899999953</v>
      </c>
      <c r="R44" s="496"/>
      <c r="S44" s="496"/>
      <c r="T44" s="496"/>
      <c r="U44" s="496"/>
      <c r="V44" s="496"/>
      <c r="W44" s="496"/>
    </row>
    <row r="45" spans="1:23">
      <c r="A45" s="39" t="s">
        <v>46</v>
      </c>
      <c r="B45" s="254">
        <v>0</v>
      </c>
      <c r="C45" s="189"/>
      <c r="D45" s="189"/>
      <c r="E45" s="189">
        <f>144.53+157.85</f>
        <v>302.38</v>
      </c>
      <c r="F45" s="222">
        <v>0</v>
      </c>
      <c r="G45" s="222">
        <v>0</v>
      </c>
      <c r="H45" s="222">
        <v>133.75171869125762</v>
      </c>
      <c r="I45" s="222">
        <v>263.91000001999998</v>
      </c>
      <c r="J45" s="222">
        <v>0</v>
      </c>
      <c r="K45" s="222">
        <v>0</v>
      </c>
      <c r="L45" s="222">
        <v>146.77705864654416</v>
      </c>
      <c r="M45" s="222">
        <v>4810.12</v>
      </c>
      <c r="N45" s="222">
        <v>0</v>
      </c>
      <c r="O45" s="222">
        <v>0</v>
      </c>
      <c r="P45" s="222">
        <v>185.13849826904959</v>
      </c>
      <c r="Q45" s="222">
        <v>873.34166200000072</v>
      </c>
      <c r="R45" s="496"/>
      <c r="S45" s="496"/>
      <c r="T45" s="496"/>
      <c r="U45" s="496"/>
      <c r="V45" s="496"/>
      <c r="W45" s="496"/>
    </row>
    <row r="46" spans="1:23">
      <c r="A46" s="39" t="s">
        <v>45</v>
      </c>
      <c r="B46" s="254">
        <v>0</v>
      </c>
      <c r="C46" s="189">
        <f>170.49+257.4+745.46+210.6</f>
        <v>1383.9499999999998</v>
      </c>
      <c r="D46" s="189"/>
      <c r="E46" s="189">
        <f>53.75+57.04</f>
        <v>110.78999999999999</v>
      </c>
      <c r="F46" s="222">
        <v>0</v>
      </c>
      <c r="G46" s="222">
        <v>1738.80004134</v>
      </c>
      <c r="H46" s="222">
        <v>5353.0410027126254</v>
      </c>
      <c r="I46" s="222">
        <v>110.78899999999999</v>
      </c>
      <c r="J46" s="222">
        <v>0</v>
      </c>
      <c r="K46" s="222">
        <v>0</v>
      </c>
      <c r="L46" s="222">
        <v>-1529.2779221014084</v>
      </c>
      <c r="M46" s="222">
        <v>9839</v>
      </c>
      <c r="N46" s="222">
        <v>0</v>
      </c>
      <c r="O46" s="222">
        <v>226.04400501000009</v>
      </c>
      <c r="P46" s="222">
        <v>365.45733777139822</v>
      </c>
      <c r="Q46" s="222">
        <v>-6493.1105200000011</v>
      </c>
      <c r="R46" s="496"/>
      <c r="S46" s="496"/>
      <c r="T46" s="496"/>
      <c r="U46" s="496"/>
      <c r="V46" s="496"/>
      <c r="W46" s="496"/>
    </row>
    <row r="47" spans="1:23">
      <c r="A47" s="39" t="s">
        <v>44</v>
      </c>
      <c r="B47" s="317">
        <v>1224</v>
      </c>
      <c r="C47" s="189">
        <v>1460.06</v>
      </c>
      <c r="D47" s="189">
        <v>288.8</v>
      </c>
      <c r="E47" s="189">
        <v>294</v>
      </c>
      <c r="F47" s="222">
        <v>1224</v>
      </c>
      <c r="G47" s="222">
        <v>2047.8045348000001</v>
      </c>
      <c r="H47" s="222">
        <v>4254.2954078537796</v>
      </c>
      <c r="I47" s="222">
        <v>294</v>
      </c>
      <c r="J47" s="222">
        <v>0</v>
      </c>
      <c r="K47" s="222">
        <v>143.34637459999976</v>
      </c>
      <c r="L47" s="222">
        <v>4668.5977024315589</v>
      </c>
      <c r="M47" s="222">
        <v>6331</v>
      </c>
      <c r="N47" s="222">
        <v>0</v>
      </c>
      <c r="O47" s="222">
        <v>284.84961840000005</v>
      </c>
      <c r="P47" s="222">
        <v>1966.82236446155</v>
      </c>
      <c r="Q47" s="222">
        <v>8492.2644600000003</v>
      </c>
      <c r="R47" s="496"/>
      <c r="S47" s="496"/>
      <c r="T47" s="496"/>
      <c r="U47" s="496"/>
      <c r="V47" s="496"/>
      <c r="W47" s="496"/>
    </row>
    <row r="48" spans="1:23">
      <c r="A48" s="39" t="s">
        <v>43</v>
      </c>
      <c r="B48" s="254">
        <v>0</v>
      </c>
      <c r="C48" s="189">
        <v>700</v>
      </c>
      <c r="D48" s="189">
        <v>2560</v>
      </c>
      <c r="E48" s="189">
        <v>901.8</v>
      </c>
      <c r="F48" s="222">
        <v>0</v>
      </c>
      <c r="G48" s="222">
        <v>700</v>
      </c>
      <c r="H48" s="222">
        <v>13749.676681461286</v>
      </c>
      <c r="I48" s="222">
        <v>2835.8000001400001</v>
      </c>
      <c r="J48" s="222">
        <v>0</v>
      </c>
      <c r="K48" s="222">
        <v>0</v>
      </c>
      <c r="L48" s="222">
        <v>10574.993921895068</v>
      </c>
      <c r="M48" s="222">
        <v>7497.0000000300006</v>
      </c>
      <c r="N48" s="222">
        <v>0</v>
      </c>
      <c r="O48" s="222">
        <v>91</v>
      </c>
      <c r="P48" s="222">
        <v>3988.820495490465</v>
      </c>
      <c r="Q48" s="222">
        <v>3430.0768100000005</v>
      </c>
    </row>
    <row r="49" spans="1:22">
      <c r="A49" s="39" t="s">
        <v>42</v>
      </c>
      <c r="B49" s="317">
        <v>1535.27997559</v>
      </c>
      <c r="C49" s="189"/>
      <c r="D49" s="189"/>
      <c r="E49" s="189"/>
      <c r="F49" s="222">
        <v>1535.27997559</v>
      </c>
      <c r="G49" s="222">
        <v>0</v>
      </c>
      <c r="H49" s="222">
        <v>3963.0138871483741</v>
      </c>
      <c r="I49" s="222">
        <v>6210</v>
      </c>
      <c r="J49" s="222">
        <v>0</v>
      </c>
      <c r="K49" s="222">
        <v>0</v>
      </c>
      <c r="L49" s="222">
        <v>1985.0620219727061</v>
      </c>
      <c r="M49" s="222">
        <v>11390</v>
      </c>
      <c r="N49" s="222">
        <v>0</v>
      </c>
      <c r="O49" s="222">
        <v>0</v>
      </c>
      <c r="P49" s="222">
        <v>568.48919265733093</v>
      </c>
      <c r="Q49" s="222">
        <v>7063.3700700000009</v>
      </c>
    </row>
    <row r="50" spans="1:22">
      <c r="A50" s="39" t="s">
        <v>41</v>
      </c>
      <c r="B50" s="317">
        <v>9549.7199707</v>
      </c>
      <c r="C50" s="189"/>
      <c r="D50" s="189">
        <v>500</v>
      </c>
      <c r="E50" s="189"/>
      <c r="F50" s="222">
        <v>9549.7199707</v>
      </c>
      <c r="G50" s="222">
        <v>0</v>
      </c>
      <c r="H50" s="222">
        <v>12389.299012036365</v>
      </c>
      <c r="I50" s="222">
        <v>0</v>
      </c>
      <c r="J50" s="222">
        <v>0</v>
      </c>
      <c r="K50" s="222">
        <v>1600</v>
      </c>
      <c r="L50" s="222">
        <v>7989.9575608505438</v>
      </c>
      <c r="M50" s="222">
        <v>377</v>
      </c>
      <c r="N50" s="222">
        <v>0</v>
      </c>
      <c r="O50" s="222">
        <v>208</v>
      </c>
      <c r="P50" s="222">
        <v>8117.2292453973132</v>
      </c>
      <c r="Q50" s="222">
        <v>0</v>
      </c>
    </row>
    <row r="51" spans="1:22">
      <c r="A51" s="39" t="s">
        <v>75</v>
      </c>
      <c r="B51" s="317">
        <v>2744</v>
      </c>
      <c r="C51" s="189">
        <f>2800+60</f>
        <v>2860</v>
      </c>
      <c r="D51" s="189">
        <f>4068.22+210</f>
        <v>4278.2199999999993</v>
      </c>
      <c r="E51" s="189">
        <f>866.79+407</f>
        <v>1273.79</v>
      </c>
      <c r="F51" s="222">
        <v>2744</v>
      </c>
      <c r="G51" s="222">
        <v>4357.12</v>
      </c>
      <c r="H51" s="222">
        <v>20392.219873670234</v>
      </c>
      <c r="I51" s="222">
        <v>5810.7899999199999</v>
      </c>
      <c r="J51" s="222">
        <v>0</v>
      </c>
      <c r="K51" s="222">
        <v>3673.96</v>
      </c>
      <c r="L51" s="222">
        <v>6919.3093248960249</v>
      </c>
      <c r="M51" s="222">
        <v>28495.484622299999</v>
      </c>
      <c r="N51" s="222">
        <v>0</v>
      </c>
      <c r="O51" s="222">
        <v>1044.0403999999999</v>
      </c>
      <c r="P51" s="222">
        <v>3719.7904060628643</v>
      </c>
      <c r="Q51" s="222">
        <v>19971.107500699996</v>
      </c>
    </row>
    <row r="52" spans="1:22">
      <c r="A52" s="39" t="s">
        <v>39</v>
      </c>
      <c r="B52" s="317">
        <v>3800</v>
      </c>
      <c r="C52" s="189">
        <v>3900</v>
      </c>
      <c r="D52" s="189">
        <v>253</v>
      </c>
      <c r="E52" s="189">
        <v>636</v>
      </c>
      <c r="F52" s="222">
        <v>3800</v>
      </c>
      <c r="G52" s="222">
        <v>5481.5</v>
      </c>
      <c r="H52" s="222">
        <v>1304.7727783626831</v>
      </c>
      <c r="I52" s="222">
        <v>636.00000010000008</v>
      </c>
      <c r="J52" s="222">
        <v>1043.1372070300004</v>
      </c>
      <c r="K52" s="222">
        <v>0</v>
      </c>
      <c r="L52" s="222">
        <v>1436.4765906784717</v>
      </c>
      <c r="M52" s="222">
        <v>16233</v>
      </c>
      <c r="N52" s="222">
        <v>0</v>
      </c>
      <c r="O52" s="222">
        <v>712.59499999999935</v>
      </c>
      <c r="P52" s="222">
        <v>1788.3997915990803</v>
      </c>
      <c r="Q52" s="222">
        <v>22937.894370000002</v>
      </c>
    </row>
    <row r="53" spans="1:22">
      <c r="A53" s="39" t="s">
        <v>38</v>
      </c>
      <c r="B53" s="317">
        <v>9025.7401123099989</v>
      </c>
      <c r="C53" s="189">
        <v>1250</v>
      </c>
      <c r="D53" s="189">
        <v>2831.25</v>
      </c>
      <c r="E53" s="189">
        <v>3373.27</v>
      </c>
      <c r="F53" s="222">
        <v>9025.7401123099989</v>
      </c>
      <c r="G53" s="222">
        <v>1758.8649520500001</v>
      </c>
      <c r="H53" s="222">
        <v>18249.678950318259</v>
      </c>
      <c r="I53" s="222">
        <v>12224.56800033</v>
      </c>
      <c r="J53" s="222">
        <v>270</v>
      </c>
      <c r="K53" s="222">
        <v>1415.7350233499999</v>
      </c>
      <c r="L53" s="222">
        <v>20026.914224217362</v>
      </c>
      <c r="M53" s="222">
        <v>27676.299999969997</v>
      </c>
      <c r="N53" s="222">
        <v>0</v>
      </c>
      <c r="O53" s="222">
        <v>412.69799620000003</v>
      </c>
      <c r="P53" s="222">
        <v>25261.119541599212</v>
      </c>
      <c r="Q53" s="222">
        <v>8433.2499996500046</v>
      </c>
    </row>
    <row r="54" spans="1:22">
      <c r="B54" s="72">
        <f t="shared" ref="B54:E54" si="2">SUM(B40:B53)</f>
        <v>62169.421210949993</v>
      </c>
      <c r="C54" s="72">
        <f t="shared" si="2"/>
        <v>19759.300000000003</v>
      </c>
      <c r="D54" s="72">
        <f t="shared" si="2"/>
        <v>10787.47</v>
      </c>
      <c r="E54" s="72">
        <f t="shared" si="2"/>
        <v>7166.03</v>
      </c>
      <c r="F54" s="72">
        <f>SUM(F40:F53)</f>
        <v>62169.421210949993</v>
      </c>
      <c r="G54" s="72">
        <f t="shared" ref="G54:Q54" si="3">SUM(G40:G53)</f>
        <v>27035.721071190001</v>
      </c>
      <c r="H54" s="72">
        <f t="shared" si="3"/>
        <v>82929.568449882907</v>
      </c>
      <c r="I54" s="72">
        <f t="shared" si="3"/>
        <v>28600.857000520002</v>
      </c>
      <c r="J54" s="72">
        <f t="shared" si="3"/>
        <v>1173.1372070300004</v>
      </c>
      <c r="K54" s="72">
        <f t="shared" si="3"/>
        <v>12359.718236250001</v>
      </c>
      <c r="L54" s="72">
        <f t="shared" si="3"/>
        <v>53265.992037609692</v>
      </c>
      <c r="M54" s="72">
        <f t="shared" si="3"/>
        <v>114244.90462228999</v>
      </c>
      <c r="N54" s="72">
        <f t="shared" si="3"/>
        <v>0</v>
      </c>
      <c r="O54" s="72">
        <f t="shared" si="3"/>
        <v>5121.4071090099969</v>
      </c>
      <c r="P54" s="72">
        <f t="shared" si="3"/>
        <v>46345.110496261717</v>
      </c>
      <c r="Q54" s="72">
        <f t="shared" si="3"/>
        <v>65686.258730240006</v>
      </c>
    </row>
    <row r="56" spans="1:22">
      <c r="A56" s="523" t="s">
        <v>616</v>
      </c>
      <c r="B56" s="56"/>
      <c r="C56" s="56"/>
      <c r="D56" s="56"/>
      <c r="E56" s="56"/>
      <c r="F56" s="56"/>
      <c r="G56" s="56"/>
      <c r="H56" s="56"/>
      <c r="I56" s="56"/>
      <c r="J56" s="56"/>
      <c r="K56" s="56"/>
      <c r="L56" s="56"/>
      <c r="M56" s="56"/>
      <c r="N56" s="56"/>
      <c r="O56" s="56"/>
      <c r="P56" s="56"/>
      <c r="Q56" s="56"/>
      <c r="R56" s="56"/>
      <c r="S56" s="56"/>
      <c r="T56" s="56"/>
      <c r="U56" s="56"/>
      <c r="V56" s="56"/>
    </row>
    <row r="57" spans="1:22">
      <c r="A57" s="637" t="s">
        <v>216</v>
      </c>
      <c r="B57" s="637"/>
      <c r="C57" s="637"/>
      <c r="E57" s="637" t="s">
        <v>222</v>
      </c>
      <c r="F57" s="637"/>
      <c r="G57" s="637"/>
      <c r="I57" s="637" t="s">
        <v>217</v>
      </c>
      <c r="J57" s="637"/>
      <c r="K57" s="637"/>
    </row>
    <row r="58" spans="1:22">
      <c r="A58" s="639">
        <v>2019</v>
      </c>
      <c r="B58" s="498" t="s">
        <v>28</v>
      </c>
      <c r="C58" s="328">
        <v>605.43573886727052</v>
      </c>
      <c r="D58" s="24"/>
      <c r="E58" s="497">
        <v>2025</v>
      </c>
      <c r="F58" s="24" t="s">
        <v>162</v>
      </c>
      <c r="G58" s="328">
        <f>B54</f>
        <v>62169.421210949993</v>
      </c>
      <c r="H58" s="24"/>
      <c r="I58" s="497">
        <v>2025</v>
      </c>
      <c r="J58" s="22" t="s">
        <v>139</v>
      </c>
      <c r="K58" s="222">
        <v>174621.22</v>
      </c>
    </row>
    <row r="59" spans="1:22">
      <c r="A59" s="639"/>
      <c r="B59" s="498" t="s">
        <v>29</v>
      </c>
      <c r="C59" s="328">
        <v>555.15924016401209</v>
      </c>
      <c r="E59" s="497"/>
      <c r="F59" s="24" t="s">
        <v>144</v>
      </c>
      <c r="G59" s="328">
        <f>C54</f>
        <v>19759.300000000003</v>
      </c>
      <c r="I59" s="497"/>
      <c r="J59" s="22" t="s">
        <v>220</v>
      </c>
      <c r="K59" s="222">
        <v>203570.42</v>
      </c>
    </row>
    <row r="60" spans="1:22">
      <c r="A60" s="639"/>
      <c r="B60" s="498" t="s">
        <v>30</v>
      </c>
      <c r="C60" s="328">
        <v>856.52396809274182</v>
      </c>
      <c r="E60" s="497"/>
      <c r="F60" s="24" t="s">
        <v>143</v>
      </c>
      <c r="G60" s="328">
        <f>D54</f>
        <v>10787.47</v>
      </c>
      <c r="I60" s="497"/>
      <c r="J60" s="22" t="s">
        <v>221</v>
      </c>
      <c r="K60" s="222">
        <v>46143.86</v>
      </c>
    </row>
    <row r="61" spans="1:22">
      <c r="A61" s="639"/>
      <c r="B61" s="498" t="s">
        <v>31</v>
      </c>
      <c r="C61" s="328">
        <v>42.442977049886949</v>
      </c>
      <c r="E61" s="497"/>
      <c r="F61" s="24" t="s">
        <v>145</v>
      </c>
      <c r="G61" s="328">
        <f>E54</f>
        <v>7166.03</v>
      </c>
      <c r="I61" s="497">
        <v>2035</v>
      </c>
      <c r="J61" s="22" t="s">
        <v>139</v>
      </c>
      <c r="K61" s="222">
        <f>B36+0.5*E36-K58</f>
        <v>312486.58213769377</v>
      </c>
    </row>
    <row r="62" spans="1:22">
      <c r="A62" s="639"/>
      <c r="B62" s="498" t="s">
        <v>33</v>
      </c>
      <c r="C62" s="328">
        <f>SUM(F20:H20)</f>
        <v>149.23722993055611</v>
      </c>
      <c r="E62" s="497">
        <v>2035</v>
      </c>
      <c r="F62" s="24" t="s">
        <v>162</v>
      </c>
      <c r="G62" s="222">
        <f>F54+0.5*J54-B54</f>
        <v>586.56860351499927</v>
      </c>
      <c r="I62" s="497"/>
      <c r="J62" s="22" t="s">
        <v>220</v>
      </c>
      <c r="K62" s="222">
        <f>C36+0.5*F36-K59</f>
        <v>105774.53411839748</v>
      </c>
    </row>
    <row r="63" spans="1:22">
      <c r="A63" s="639">
        <v>2035</v>
      </c>
      <c r="B63" s="498" t="s">
        <v>28</v>
      </c>
      <c r="C63" s="328">
        <v>66.664007149780403</v>
      </c>
      <c r="E63" s="497"/>
      <c r="F63" s="24" t="s">
        <v>144</v>
      </c>
      <c r="G63" s="222">
        <f>G54+0.5*K54-C54</f>
        <v>13456.280189314995</v>
      </c>
      <c r="I63" s="497"/>
      <c r="J63" s="22" t="s">
        <v>221</v>
      </c>
      <c r="K63" s="222">
        <f>D36+0.5*G36-K60</f>
        <v>203994.51</v>
      </c>
    </row>
    <row r="64" spans="1:22">
      <c r="A64" s="639"/>
      <c r="B64" s="498" t="s">
        <v>29</v>
      </c>
      <c r="C64" s="328">
        <v>-56.143186092814545</v>
      </c>
      <c r="E64" s="497"/>
      <c r="F64" s="24" t="s">
        <v>143</v>
      </c>
      <c r="G64" s="222">
        <f>H54+0.5*L54-D54</f>
        <v>98775.094468687748</v>
      </c>
      <c r="K64" s="72">
        <f>SUM(K58:K63)</f>
        <v>1046591.1262560913</v>
      </c>
    </row>
    <row r="65" spans="1:7">
      <c r="A65" s="639"/>
      <c r="B65" s="498" t="s">
        <v>30</v>
      </c>
      <c r="C65" s="328">
        <v>308.44840564110484</v>
      </c>
      <c r="E65" s="497"/>
      <c r="F65" s="24" t="s">
        <v>145</v>
      </c>
      <c r="G65" s="222">
        <f>I54+0.5*M54-E54</f>
        <v>78557.279311664999</v>
      </c>
    </row>
    <row r="66" spans="1:7">
      <c r="A66" s="639"/>
      <c r="B66" s="498" t="s">
        <v>31</v>
      </c>
      <c r="C66" s="328">
        <v>389.26670694717814</v>
      </c>
      <c r="G66" s="72">
        <f>SUM(G58:G65)</f>
        <v>291257.44378413272</v>
      </c>
    </row>
    <row r="67" spans="1:7">
      <c r="A67" s="639"/>
      <c r="B67" s="498" t="s">
        <v>33</v>
      </c>
      <c r="C67" s="328">
        <f>SUM(M20:O20)</f>
        <v>8.6410336191086081</v>
      </c>
    </row>
    <row r="68" spans="1:7">
      <c r="A68" s="639" t="s">
        <v>90</v>
      </c>
      <c r="B68" s="498" t="s">
        <v>28</v>
      </c>
      <c r="C68" s="328">
        <v>54.285203662931181</v>
      </c>
      <c r="D68" s="24"/>
    </row>
    <row r="69" spans="1:7">
      <c r="A69" s="639"/>
      <c r="B69" s="498" t="s">
        <v>29</v>
      </c>
      <c r="C69" s="328">
        <v>10.62650589904176</v>
      </c>
    </row>
    <row r="70" spans="1:7">
      <c r="A70" s="639"/>
      <c r="B70" s="498" t="s">
        <v>30</v>
      </c>
      <c r="C70" s="328">
        <v>353.4757185023758</v>
      </c>
    </row>
    <row r="71" spans="1:7">
      <c r="A71" s="639"/>
      <c r="B71" s="498" t="s">
        <v>31</v>
      </c>
      <c r="C71" s="328">
        <v>57.853064667440051</v>
      </c>
    </row>
    <row r="72" spans="1:7">
      <c r="A72" s="639"/>
      <c r="B72" s="498" t="s">
        <v>33</v>
      </c>
      <c r="C72" s="328">
        <v>1.9342533521027128</v>
      </c>
    </row>
    <row r="73" spans="1:7">
      <c r="A73" s="499"/>
      <c r="B73" s="498"/>
    </row>
    <row r="74" spans="1:7">
      <c r="A74" s="499"/>
      <c r="B74" s="498"/>
    </row>
    <row r="75" spans="1:7">
      <c r="A75" s="499"/>
    </row>
    <row r="76" spans="1:7">
      <c r="A76" s="499"/>
    </row>
    <row r="77" spans="1:7">
      <c r="A77" s="499"/>
    </row>
    <row r="78" spans="1:7">
      <c r="A78" s="499"/>
    </row>
  </sheetData>
  <mergeCells count="19">
    <mergeCell ref="A58:A62"/>
    <mergeCell ref="A63:A67"/>
    <mergeCell ref="A68:A72"/>
    <mergeCell ref="A57:C57"/>
    <mergeCell ref="B23:D23"/>
    <mergeCell ref="B38:E38"/>
    <mergeCell ref="A3:V3"/>
    <mergeCell ref="A21:V21"/>
    <mergeCell ref="A37:Q37"/>
    <mergeCell ref="E57:G57"/>
    <mergeCell ref="I57:K57"/>
    <mergeCell ref="E23:G23"/>
    <mergeCell ref="H23:J23"/>
    <mergeCell ref="F38:I38"/>
    <mergeCell ref="B4:H4"/>
    <mergeCell ref="I4:O4"/>
    <mergeCell ref="P4:V4"/>
    <mergeCell ref="B22:D22"/>
    <mergeCell ref="E22:J22"/>
  </mergeCells>
  <conditionalFormatting sqref="B53">
    <cfRule type="cellIs" dxfId="5" priority="2" operator="lessThan">
      <formula>0</formula>
    </cfRule>
    <cfRule type="cellIs" dxfId="4" priority="3" operator="lessThan">
      <formula>1</formula>
    </cfRule>
  </conditionalFormatting>
  <conditionalFormatting sqref="B6:V19">
    <cfRule type="cellIs" dxfId="3" priority="1" operator="lessThan">
      <formula>0.1</formula>
    </cfRule>
    <cfRule type="cellIs" dxfId="2" priority="6" operator="lessThan">
      <formula>0</formula>
    </cfRule>
  </conditionalFormatting>
  <conditionalFormatting sqref="F40:Q53">
    <cfRule type="cellIs" dxfId="1" priority="4" operator="lessThan">
      <formula>0</formula>
    </cfRule>
    <cfRule type="cellIs" dxfId="0" priority="5" operator="lessThan">
      <formula>1</formula>
    </cfRule>
  </conditionalFormatting>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AE53-04C7-4671-AD73-CC08CC2D83E2}">
  <sheetPr>
    <tabColor theme="9" tint="0.59999389629810485"/>
  </sheetPr>
  <dimension ref="A1:X31"/>
  <sheetViews>
    <sheetView showZeros="0" workbookViewId="0">
      <selection activeCell="K16" sqref="K16"/>
    </sheetView>
  </sheetViews>
  <sheetFormatPr defaultColWidth="8.85546875" defaultRowHeight="15"/>
  <cols>
    <col min="1" max="1" width="17" style="39" customWidth="1"/>
    <col min="2" max="16384" width="8.85546875" style="39"/>
  </cols>
  <sheetData>
    <row r="1" spans="1:17">
      <c r="A1" s="21" t="s">
        <v>514</v>
      </c>
      <c r="B1" s="21" t="s">
        <v>651</v>
      </c>
      <c r="C1" s="21"/>
      <c r="D1" s="21"/>
      <c r="E1" s="21"/>
      <c r="F1" s="21"/>
      <c r="G1" s="21"/>
      <c r="H1" s="21"/>
      <c r="I1" s="21"/>
      <c r="J1" s="21"/>
      <c r="K1" s="21"/>
      <c r="L1" s="21"/>
      <c r="M1" s="21"/>
      <c r="N1" s="21"/>
      <c r="O1" s="21"/>
    </row>
    <row r="2" spans="1:17">
      <c r="A2" s="21"/>
      <c r="B2" s="530" t="s">
        <v>652</v>
      </c>
      <c r="C2" s="21"/>
      <c r="D2" s="21"/>
      <c r="E2" s="21"/>
      <c r="F2" s="21"/>
      <c r="G2" s="21"/>
      <c r="H2" s="21"/>
      <c r="I2" s="21"/>
      <c r="J2" s="21"/>
      <c r="K2" s="21"/>
      <c r="L2" s="21"/>
      <c r="M2" s="21"/>
      <c r="N2" s="21"/>
      <c r="O2" s="21"/>
    </row>
    <row r="3" spans="1:17">
      <c r="A3" s="21"/>
      <c r="B3" s="21" t="s">
        <v>653</v>
      </c>
      <c r="C3" s="21"/>
      <c r="D3" s="21"/>
      <c r="E3" s="21"/>
      <c r="F3" s="21"/>
      <c r="G3" s="21"/>
      <c r="H3" s="21"/>
      <c r="I3" s="21"/>
      <c r="J3" s="21"/>
      <c r="K3" s="21"/>
      <c r="L3" s="21"/>
      <c r="M3" s="21"/>
      <c r="N3" s="21"/>
      <c r="O3" s="21"/>
    </row>
    <row r="4" spans="1:17">
      <c r="A4" s="21"/>
      <c r="B4" s="21" t="s">
        <v>654</v>
      </c>
      <c r="C4" s="21"/>
      <c r="D4" s="21"/>
      <c r="E4" s="21"/>
      <c r="F4" s="21"/>
      <c r="G4" s="21"/>
      <c r="H4" s="21"/>
      <c r="I4" s="21"/>
      <c r="J4" s="21"/>
      <c r="K4" s="21"/>
      <c r="L4" s="21"/>
      <c r="M4" s="21"/>
      <c r="N4" s="21"/>
      <c r="O4" s="21"/>
    </row>
    <row r="6" spans="1:17">
      <c r="A6" s="79" t="s">
        <v>650</v>
      </c>
      <c r="B6" s="79"/>
      <c r="C6" s="79"/>
      <c r="D6" s="79"/>
      <c r="E6" s="79"/>
      <c r="F6" s="79"/>
      <c r="G6" s="79"/>
      <c r="H6" s="79"/>
      <c r="I6" s="79"/>
      <c r="J6" s="79"/>
      <c r="K6" s="79"/>
      <c r="L6" s="79"/>
      <c r="M6" s="79"/>
      <c r="N6" s="79"/>
      <c r="O6" s="79"/>
    </row>
    <row r="7" spans="1:17">
      <c r="A7" s="21" t="s">
        <v>323</v>
      </c>
      <c r="B7" s="21" t="s">
        <v>26</v>
      </c>
      <c r="C7" s="21" t="s">
        <v>126</v>
      </c>
      <c r="D7" s="21" t="s">
        <v>75</v>
      </c>
      <c r="E7" s="21" t="s">
        <v>127</v>
      </c>
      <c r="F7" s="21" t="s">
        <v>128</v>
      </c>
      <c r="G7" s="21" t="s">
        <v>129</v>
      </c>
      <c r="H7" s="21" t="s">
        <v>130</v>
      </c>
      <c r="I7" s="21" t="s">
        <v>131</v>
      </c>
      <c r="J7" s="21" t="s">
        <v>132</v>
      </c>
      <c r="K7" s="21" t="s">
        <v>133</v>
      </c>
      <c r="L7" s="21" t="s">
        <v>134</v>
      </c>
      <c r="M7" s="21" t="s">
        <v>135</v>
      </c>
      <c r="N7" s="21" t="s">
        <v>136</v>
      </c>
      <c r="O7" s="21" t="s">
        <v>137</v>
      </c>
    </row>
    <row r="8" spans="1:17">
      <c r="A8" s="39" t="s">
        <v>224</v>
      </c>
      <c r="B8" s="222">
        <v>800.62</v>
      </c>
      <c r="C8" s="222">
        <v>518.01</v>
      </c>
      <c r="D8" s="222">
        <v>457.26</v>
      </c>
      <c r="E8" s="222">
        <v>296.72000000000003</v>
      </c>
      <c r="F8" s="222">
        <v>196.3</v>
      </c>
      <c r="G8" s="222">
        <v>187.15</v>
      </c>
      <c r="H8" s="222">
        <v>118.61</v>
      </c>
      <c r="I8" s="222">
        <v>180.73</v>
      </c>
      <c r="J8" s="222">
        <v>43.9</v>
      </c>
      <c r="K8" s="222">
        <v>132.86000000000001</v>
      </c>
      <c r="L8" s="222">
        <v>177.43</v>
      </c>
      <c r="M8" s="222">
        <v>15.35</v>
      </c>
      <c r="N8" s="222">
        <v>8.94</v>
      </c>
      <c r="O8" s="222">
        <v>10.199999999999999</v>
      </c>
      <c r="P8" s="72">
        <f>SUM(B8:O8)</f>
        <v>3144.0800000000004</v>
      </c>
      <c r="Q8" s="72"/>
    </row>
    <row r="9" spans="1:17">
      <c r="A9" s="254" t="s">
        <v>648</v>
      </c>
      <c r="B9" s="189">
        <v>787.44835902666568</v>
      </c>
      <c r="C9" s="189">
        <v>497.01895315326783</v>
      </c>
      <c r="D9" s="189">
        <v>405.96372126235025</v>
      </c>
      <c r="E9" s="189">
        <v>302.47849435618986</v>
      </c>
      <c r="F9" s="189">
        <v>200.46064329451144</v>
      </c>
      <c r="G9" s="189">
        <v>201.41380686334944</v>
      </c>
      <c r="H9" s="189">
        <v>135.09622417761736</v>
      </c>
      <c r="I9" s="189">
        <v>187.71034244867107</v>
      </c>
      <c r="J9" s="189">
        <v>43.346525086956603</v>
      </c>
      <c r="K9" s="189">
        <v>132.67970711240156</v>
      </c>
      <c r="L9" s="189">
        <v>175.48504935920764</v>
      </c>
      <c r="M9" s="189">
        <v>13.977407427856303</v>
      </c>
      <c r="N9" s="189">
        <v>8.5842206408569766</v>
      </c>
      <c r="O9" s="189">
        <v>9.4977165181309449</v>
      </c>
      <c r="P9" s="72">
        <f>SUM(B9:O9)</f>
        <v>3101.1611707280322</v>
      </c>
      <c r="Q9" s="72"/>
    </row>
    <row r="10" spans="1:17">
      <c r="A10" s="39" t="s">
        <v>225</v>
      </c>
      <c r="B10" s="222">
        <v>82.88</v>
      </c>
      <c r="C10" s="222">
        <v>17.77</v>
      </c>
      <c r="D10" s="222">
        <v>98.07</v>
      </c>
      <c r="E10" s="222">
        <v>81.319999999999993</v>
      </c>
      <c r="F10" s="222">
        <v>18.57</v>
      </c>
      <c r="G10" s="222">
        <v>14.61</v>
      </c>
      <c r="H10" s="222">
        <v>1.35</v>
      </c>
      <c r="I10" s="222">
        <v>47.35</v>
      </c>
      <c r="J10" s="222">
        <v>52.92</v>
      </c>
      <c r="K10" s="222">
        <v>72.58</v>
      </c>
      <c r="L10" s="222"/>
      <c r="M10" s="222">
        <v>10.82</v>
      </c>
      <c r="N10" s="222">
        <v>7.74</v>
      </c>
      <c r="O10" s="222"/>
      <c r="P10" s="72">
        <f t="shared" ref="P10:P17" si="0">SUM(B10:O10)</f>
        <v>505.98</v>
      </c>
      <c r="Q10" s="329">
        <f>P10/$P$8</f>
        <v>0.16093101956693212</v>
      </c>
    </row>
    <row r="11" spans="1:17">
      <c r="A11" s="254" t="s">
        <v>649</v>
      </c>
      <c r="B11" s="189">
        <v>187.23023915771117</v>
      </c>
      <c r="C11" s="189">
        <v>27.88499035755332</v>
      </c>
      <c r="D11" s="189">
        <v>78.669903772838325</v>
      </c>
      <c r="E11" s="189">
        <v>44.587312472509048</v>
      </c>
      <c r="F11" s="189">
        <v>32.992152724030333</v>
      </c>
      <c r="G11" s="189">
        <v>32.93192176226065</v>
      </c>
      <c r="H11" s="189">
        <v>23.886392785512705</v>
      </c>
      <c r="I11" s="189">
        <v>22.243043535830921</v>
      </c>
      <c r="J11" s="189">
        <v>4.4235252689635107</v>
      </c>
      <c r="K11" s="189">
        <v>15.574426608303625</v>
      </c>
      <c r="L11" s="189">
        <v>0</v>
      </c>
      <c r="M11" s="189">
        <v>6.5355896600809249</v>
      </c>
      <c r="N11" s="189">
        <v>0.68385077717714327</v>
      </c>
      <c r="O11" s="189">
        <v>0.53139720111983246</v>
      </c>
      <c r="P11" s="72">
        <f>SUM(B11:O11)</f>
        <v>478.17474608389148</v>
      </c>
      <c r="Q11" s="329"/>
    </row>
    <row r="12" spans="1:17">
      <c r="A12" s="39" t="s">
        <v>226</v>
      </c>
      <c r="B12" s="189">
        <v>68.94</v>
      </c>
      <c r="C12" s="189">
        <v>34.159999999999997</v>
      </c>
      <c r="D12" s="189">
        <v>32.65</v>
      </c>
      <c r="E12" s="189">
        <v>28.71</v>
      </c>
      <c r="F12" s="189">
        <v>15.03</v>
      </c>
      <c r="G12" s="189">
        <v>11.34</v>
      </c>
      <c r="H12" s="189">
        <v>10.26</v>
      </c>
      <c r="I12" s="189">
        <v>7.96</v>
      </c>
      <c r="J12" s="189">
        <v>5.96</v>
      </c>
      <c r="K12" s="189">
        <v>4.92</v>
      </c>
      <c r="L12" s="189"/>
      <c r="M12" s="189">
        <v>1.67</v>
      </c>
      <c r="N12" s="189">
        <v>0.8</v>
      </c>
      <c r="O12" s="189">
        <v>0.5</v>
      </c>
      <c r="P12" s="72">
        <f t="shared" si="0"/>
        <v>222.9</v>
      </c>
      <c r="Q12" s="329">
        <f t="shared" ref="Q12:Q17" si="1">P12/$P$8</f>
        <v>7.0895142617236201E-2</v>
      </c>
    </row>
    <row r="13" spans="1:17">
      <c r="A13" s="39" t="s">
        <v>227</v>
      </c>
      <c r="B13" s="189">
        <v>34.99</v>
      </c>
      <c r="C13" s="189">
        <v>3.63</v>
      </c>
      <c r="D13" s="189">
        <v>3.15</v>
      </c>
      <c r="E13" s="189">
        <v>5.47</v>
      </c>
      <c r="F13" s="189"/>
      <c r="G13" s="189">
        <v>17.23</v>
      </c>
      <c r="H13" s="189">
        <v>0.67</v>
      </c>
      <c r="I13" s="189">
        <v>0.4</v>
      </c>
      <c r="J13" s="189">
        <v>0.65</v>
      </c>
      <c r="K13" s="189">
        <v>1.05</v>
      </c>
      <c r="L13" s="189"/>
      <c r="M13" s="189">
        <v>0.92</v>
      </c>
      <c r="N13" s="189">
        <v>0.04</v>
      </c>
      <c r="O13" s="189"/>
      <c r="P13" s="72">
        <f t="shared" si="0"/>
        <v>68.200000000000017</v>
      </c>
      <c r="Q13" s="329">
        <f t="shared" si="1"/>
        <v>2.1691560011195647E-2</v>
      </c>
    </row>
    <row r="14" spans="1:17">
      <c r="A14" s="39" t="s">
        <v>164</v>
      </c>
      <c r="B14" s="189">
        <v>52.07</v>
      </c>
      <c r="C14" s="189">
        <v>10.11</v>
      </c>
      <c r="D14" s="189">
        <v>14.14</v>
      </c>
      <c r="E14" s="189">
        <v>46.24</v>
      </c>
      <c r="F14" s="189"/>
      <c r="G14" s="189"/>
      <c r="H14" s="189">
        <v>6.83</v>
      </c>
      <c r="I14" s="189"/>
      <c r="J14" s="189"/>
      <c r="K14" s="189"/>
      <c r="L14" s="189"/>
      <c r="M14" s="189">
        <v>4.5599999999999996</v>
      </c>
      <c r="N14" s="189"/>
      <c r="O14" s="189"/>
      <c r="P14" s="72">
        <f t="shared" si="0"/>
        <v>133.95000000000002</v>
      </c>
      <c r="Q14" s="329">
        <f t="shared" si="1"/>
        <v>4.2603877763924582E-2</v>
      </c>
    </row>
    <row r="15" spans="1:17">
      <c r="A15" s="39" t="s">
        <v>228</v>
      </c>
      <c r="B15" s="189">
        <v>8.5500000000000007</v>
      </c>
      <c r="C15" s="189">
        <v>14.84</v>
      </c>
      <c r="D15" s="189"/>
      <c r="E15" s="189">
        <v>21.02</v>
      </c>
      <c r="F15" s="189">
        <v>0.62</v>
      </c>
      <c r="G15" s="189"/>
      <c r="H15" s="189"/>
      <c r="I15" s="189"/>
      <c r="J15" s="189"/>
      <c r="K15" s="189"/>
      <c r="L15" s="189">
        <v>3.15</v>
      </c>
      <c r="M15" s="189"/>
      <c r="N15" s="189"/>
      <c r="O15" s="189"/>
      <c r="P15" s="72">
        <f t="shared" si="0"/>
        <v>48.179999999999993</v>
      </c>
      <c r="Q15" s="329">
        <f t="shared" si="1"/>
        <v>1.5324037556296273E-2</v>
      </c>
    </row>
    <row r="16" spans="1:17">
      <c r="A16" s="39" t="s">
        <v>229</v>
      </c>
      <c r="B16" s="189">
        <v>0.28999999999999998</v>
      </c>
      <c r="C16" s="189">
        <v>0.13</v>
      </c>
      <c r="D16" s="189">
        <v>2.16</v>
      </c>
      <c r="E16" s="189">
        <v>0.01</v>
      </c>
      <c r="F16" s="189">
        <v>0.34</v>
      </c>
      <c r="G16" s="189"/>
      <c r="H16" s="189"/>
      <c r="I16" s="189">
        <v>7.0000000000000007E-2</v>
      </c>
      <c r="J16" s="189"/>
      <c r="K16" s="189">
        <v>0.01</v>
      </c>
      <c r="L16" s="189"/>
      <c r="M16" s="189">
        <v>0.03</v>
      </c>
      <c r="N16" s="189">
        <v>0.02</v>
      </c>
      <c r="O16" s="189">
        <v>0.01</v>
      </c>
      <c r="P16" s="72">
        <f t="shared" si="0"/>
        <v>3.069999999999999</v>
      </c>
      <c r="Q16" s="329">
        <f t="shared" si="1"/>
        <v>9.7643825856848384E-4</v>
      </c>
    </row>
    <row r="17" spans="1:24">
      <c r="A17" s="39" t="s">
        <v>230</v>
      </c>
      <c r="B17" s="189">
        <v>0.18</v>
      </c>
      <c r="C17" s="189"/>
      <c r="D17" s="189">
        <v>2.38</v>
      </c>
      <c r="E17" s="189"/>
      <c r="F17" s="189">
        <v>1.24</v>
      </c>
      <c r="G17" s="189">
        <v>4.17</v>
      </c>
      <c r="H17" s="189">
        <v>0.09</v>
      </c>
      <c r="I17" s="189">
        <v>0.26</v>
      </c>
      <c r="J17" s="189"/>
      <c r="K17" s="189"/>
      <c r="L17" s="189"/>
      <c r="M17" s="189">
        <v>0.06</v>
      </c>
      <c r="N17" s="189">
        <v>0.03</v>
      </c>
      <c r="O17" s="189"/>
      <c r="P17" s="72">
        <f t="shared" si="0"/>
        <v>8.41</v>
      </c>
      <c r="Q17" s="329">
        <f t="shared" si="1"/>
        <v>2.6748683239612219E-3</v>
      </c>
    </row>
    <row r="18" spans="1:24">
      <c r="A18" s="254" t="s">
        <v>35</v>
      </c>
      <c r="B18" s="72">
        <f>SUM(B8:B17)</f>
        <v>2023.198598184377</v>
      </c>
      <c r="C18" s="72">
        <f t="shared" ref="C18:O18" si="2">SUM(C8:C17)</f>
        <v>1123.5539435108212</v>
      </c>
      <c r="D18" s="72">
        <f t="shared" si="2"/>
        <v>1094.4436250351889</v>
      </c>
      <c r="E18" s="72">
        <f t="shared" si="2"/>
        <v>826.55580682869902</v>
      </c>
      <c r="F18" s="72">
        <f t="shared" si="2"/>
        <v>465.55279601854176</v>
      </c>
      <c r="G18" s="72">
        <f t="shared" si="2"/>
        <v>468.84572862561009</v>
      </c>
      <c r="H18" s="72">
        <f t="shared" si="2"/>
        <v>296.79261696313</v>
      </c>
      <c r="I18" s="72">
        <f t="shared" si="2"/>
        <v>446.72338598450193</v>
      </c>
      <c r="J18" s="72">
        <f t="shared" si="2"/>
        <v>151.20005035592013</v>
      </c>
      <c r="K18" s="72">
        <f t="shared" si="2"/>
        <v>359.67413372070519</v>
      </c>
      <c r="L18" s="72">
        <f t="shared" si="2"/>
        <v>356.06504935920759</v>
      </c>
      <c r="M18" s="72">
        <f t="shared" si="2"/>
        <v>53.922997087937233</v>
      </c>
      <c r="N18" s="72">
        <f t="shared" si="2"/>
        <v>26.838071418034119</v>
      </c>
      <c r="O18" s="72">
        <f t="shared" si="2"/>
        <v>20.739113719250781</v>
      </c>
    </row>
    <row r="19" spans="1:24">
      <c r="A19" s="254" t="s">
        <v>231</v>
      </c>
      <c r="B19" s="329">
        <f>B10/B8</f>
        <v>0.10351977217656316</v>
      </c>
      <c r="C19" s="329">
        <f t="shared" ref="C19:O19" si="3">C10/C8</f>
        <v>3.4304357058744038E-2</v>
      </c>
      <c r="D19" s="329">
        <f t="shared" si="3"/>
        <v>0.21447316625114812</v>
      </c>
      <c r="E19" s="329">
        <f t="shared" si="3"/>
        <v>0.27406308978161226</v>
      </c>
      <c r="F19" s="329">
        <f t="shared" si="3"/>
        <v>9.4600101884870086E-2</v>
      </c>
      <c r="G19" s="329">
        <f t="shared" si="3"/>
        <v>7.8065722682340369E-2</v>
      </c>
      <c r="H19" s="329">
        <f t="shared" si="3"/>
        <v>1.1381839642525926E-2</v>
      </c>
      <c r="I19" s="329">
        <f t="shared" si="3"/>
        <v>0.26199302827422122</v>
      </c>
      <c r="J19" s="329">
        <f t="shared" si="3"/>
        <v>1.2054669703872438</v>
      </c>
      <c r="K19" s="329">
        <f>K10/K8</f>
        <v>0.54628932711124489</v>
      </c>
      <c r="L19" s="329">
        <f t="shared" si="3"/>
        <v>0</v>
      </c>
      <c r="M19" s="329">
        <f t="shared" si="3"/>
        <v>0.70488599348534209</v>
      </c>
      <c r="N19" s="329">
        <f t="shared" si="3"/>
        <v>0.865771812080537</v>
      </c>
      <c r="O19" s="329">
        <f t="shared" si="3"/>
        <v>0</v>
      </c>
    </row>
    <row r="21" spans="1:24">
      <c r="A21" s="79" t="s">
        <v>658</v>
      </c>
      <c r="B21" s="79"/>
      <c r="C21" s="79"/>
      <c r="D21" s="79"/>
      <c r="E21" s="79"/>
      <c r="F21" s="79"/>
      <c r="G21" s="79"/>
      <c r="H21" s="79"/>
      <c r="I21" s="79"/>
      <c r="J21" s="79"/>
      <c r="K21" s="79"/>
      <c r="L21" s="79"/>
      <c r="M21" s="79"/>
      <c r="N21" s="79"/>
      <c r="O21" s="79"/>
      <c r="P21" s="79"/>
      <c r="Q21" s="79"/>
      <c r="R21" s="79"/>
      <c r="S21" s="79"/>
      <c r="T21" s="79"/>
      <c r="U21" s="79"/>
      <c r="V21" s="79"/>
      <c r="W21" s="79"/>
      <c r="X21" s="79"/>
    </row>
    <row r="22" spans="1:24">
      <c r="A22" s="3"/>
      <c r="B22" s="3"/>
      <c r="C22" s="3" t="s">
        <v>130</v>
      </c>
      <c r="D22" s="3" t="s">
        <v>26</v>
      </c>
      <c r="E22" s="3" t="s">
        <v>132</v>
      </c>
      <c r="F22" s="3" t="s">
        <v>137</v>
      </c>
      <c r="G22" s="3" t="s">
        <v>127</v>
      </c>
      <c r="H22" s="3" t="s">
        <v>133</v>
      </c>
      <c r="I22" s="3" t="s">
        <v>126</v>
      </c>
      <c r="J22" s="3" t="s">
        <v>632</v>
      </c>
      <c r="K22" s="3" t="s">
        <v>135</v>
      </c>
      <c r="L22" s="3" t="s">
        <v>136</v>
      </c>
      <c r="M22" s="3" t="s">
        <v>129</v>
      </c>
      <c r="N22" s="3" t="s">
        <v>134</v>
      </c>
      <c r="O22" s="3" t="s">
        <v>128</v>
      </c>
      <c r="P22" s="3" t="s">
        <v>131</v>
      </c>
      <c r="Q22" s="24"/>
      <c r="R22" s="24"/>
      <c r="S22" s="24"/>
      <c r="T22" s="24"/>
      <c r="U22" s="24"/>
      <c r="V22" s="24"/>
      <c r="W22" s="24"/>
      <c r="X22" s="24"/>
    </row>
    <row r="23" spans="1:24">
      <c r="A23" s="24" t="s">
        <v>655</v>
      </c>
      <c r="B23" s="24" t="s">
        <v>262</v>
      </c>
      <c r="C23" s="222">
        <v>9750.6033418375373</v>
      </c>
      <c r="D23" s="222">
        <v>56219.732926076227</v>
      </c>
      <c r="E23" s="222">
        <v>3859.9240656825132</v>
      </c>
      <c r="F23" s="222">
        <v>919.04701240315637</v>
      </c>
      <c r="G23" s="222">
        <v>28567.728775888379</v>
      </c>
      <c r="H23" s="222">
        <v>9687.8314510693108</v>
      </c>
      <c r="I23" s="222">
        <v>54976.037495020319</v>
      </c>
      <c r="J23" s="222">
        <v>36147.337708749481</v>
      </c>
      <c r="K23" s="222">
        <v>1251.505162104083</v>
      </c>
      <c r="L23" s="222">
        <v>817.48040269083435</v>
      </c>
      <c r="M23" s="222">
        <v>12864.34018499486</v>
      </c>
      <c r="N23" s="222">
        <v>14619.709378372656</v>
      </c>
      <c r="O23" s="222">
        <v>17053.49056339344</v>
      </c>
      <c r="P23" s="222">
        <v>15950.45098450275</v>
      </c>
      <c r="Q23" s="24"/>
      <c r="R23" s="24"/>
      <c r="S23" s="24"/>
      <c r="T23" s="24"/>
      <c r="U23" s="24"/>
      <c r="V23" s="24"/>
      <c r="W23" s="24"/>
      <c r="X23" s="24"/>
    </row>
    <row r="24" spans="1:24">
      <c r="A24" s="24" t="s">
        <v>656</v>
      </c>
      <c r="B24" s="24" t="s">
        <v>323</v>
      </c>
      <c r="C24" s="548">
        <v>118.61</v>
      </c>
      <c r="D24" s="548">
        <v>800.62</v>
      </c>
      <c r="E24" s="548">
        <v>43.9</v>
      </c>
      <c r="F24" s="548">
        <v>10.199999999999999</v>
      </c>
      <c r="G24" s="548">
        <v>296.72000000000003</v>
      </c>
      <c r="H24" s="548">
        <v>132.86000000000001</v>
      </c>
      <c r="I24" s="548">
        <v>518.01</v>
      </c>
      <c r="J24" s="548">
        <v>457.26</v>
      </c>
      <c r="K24" s="548">
        <v>15.35</v>
      </c>
      <c r="L24" s="548">
        <v>8.94</v>
      </c>
      <c r="M24" s="548">
        <v>187.15</v>
      </c>
      <c r="N24" s="549">
        <v>177.43</v>
      </c>
      <c r="O24" s="548">
        <v>196.3</v>
      </c>
      <c r="P24" s="548">
        <v>180.73</v>
      </c>
      <c r="Q24" s="24"/>
      <c r="R24" s="24"/>
      <c r="S24" s="24"/>
      <c r="T24" s="24"/>
      <c r="U24" s="24"/>
      <c r="V24" s="24"/>
      <c r="W24" s="24"/>
      <c r="X24" s="24"/>
    </row>
    <row r="25" spans="1:24">
      <c r="A25" s="24" t="s">
        <v>644</v>
      </c>
      <c r="B25" s="24" t="s">
        <v>262</v>
      </c>
      <c r="C25" s="314">
        <f>C24/8.76*1000</f>
        <v>13539.954337899542</v>
      </c>
      <c r="D25" s="314">
        <f t="shared" ref="D25:H25" si="4">D24/8.76*1000</f>
        <v>91394.977168949787</v>
      </c>
      <c r="E25" s="314">
        <f t="shared" si="4"/>
        <v>5011.4155251141556</v>
      </c>
      <c r="F25" s="314">
        <f t="shared" si="4"/>
        <v>1164.3835616438357</v>
      </c>
      <c r="G25" s="314">
        <f t="shared" si="4"/>
        <v>33872.146118721466</v>
      </c>
      <c r="H25" s="314">
        <f t="shared" si="4"/>
        <v>15166.666666666668</v>
      </c>
      <c r="I25" s="314">
        <f>I24/8.76*1000</f>
        <v>59133.561643835623</v>
      </c>
      <c r="J25" s="314">
        <f t="shared" ref="J25:P25" si="5">J24/8.76*1000</f>
        <v>52198.630136986299</v>
      </c>
      <c r="K25" s="314">
        <f t="shared" si="5"/>
        <v>1752.283105022831</v>
      </c>
      <c r="L25" s="314">
        <f t="shared" si="5"/>
        <v>1020.5479452054793</v>
      </c>
      <c r="M25" s="314">
        <f t="shared" si="5"/>
        <v>21364.155251141554</v>
      </c>
      <c r="N25" s="314">
        <f t="shared" si="5"/>
        <v>20254.566210045665</v>
      </c>
      <c r="O25" s="314">
        <f t="shared" si="5"/>
        <v>22408.675799086759</v>
      </c>
      <c r="P25" s="314">
        <f t="shared" si="5"/>
        <v>20631.278538812785</v>
      </c>
      <c r="Q25" s="24"/>
      <c r="R25" s="24"/>
      <c r="S25" s="24"/>
      <c r="T25" s="24"/>
      <c r="U25" s="24"/>
      <c r="V25" s="24"/>
      <c r="W25" s="24"/>
      <c r="X25" s="24"/>
    </row>
    <row r="26" spans="1:24">
      <c r="A26" s="24" t="s">
        <v>645</v>
      </c>
      <c r="B26" s="24" t="s">
        <v>262</v>
      </c>
      <c r="C26" s="314">
        <f t="shared" ref="C26:N26" si="6">C25-C23</f>
        <v>3789.3509960620049</v>
      </c>
      <c r="D26" s="314">
        <f t="shared" si="6"/>
        <v>35175.244242873559</v>
      </c>
      <c r="E26" s="314">
        <f t="shared" si="6"/>
        <v>1151.4914594316424</v>
      </c>
      <c r="F26" s="314">
        <f t="shared" si="6"/>
        <v>245.33654924067935</v>
      </c>
      <c r="G26" s="314">
        <f t="shared" si="6"/>
        <v>5304.4173428330869</v>
      </c>
      <c r="H26" s="314">
        <f t="shared" si="6"/>
        <v>5478.8352155973571</v>
      </c>
      <c r="I26" s="314">
        <f t="shared" si="6"/>
        <v>4157.5241488153042</v>
      </c>
      <c r="J26" s="314">
        <f t="shared" si="6"/>
        <v>16051.292428236819</v>
      </c>
      <c r="K26" s="314">
        <f t="shared" si="6"/>
        <v>500.77794291874807</v>
      </c>
      <c r="L26" s="314">
        <f t="shared" si="6"/>
        <v>203.06754251464497</v>
      </c>
      <c r="M26" s="314">
        <f t="shared" si="6"/>
        <v>8499.8150661466934</v>
      </c>
      <c r="N26" s="529">
        <f t="shared" si="6"/>
        <v>5634.8568316730089</v>
      </c>
      <c r="O26" s="314">
        <f>O25-O23</f>
        <v>5355.1852356933196</v>
      </c>
      <c r="P26" s="529">
        <f>P25-P23</f>
        <v>4680.8275543100353</v>
      </c>
      <c r="Q26" s="24"/>
      <c r="R26" s="24"/>
      <c r="S26" s="24"/>
      <c r="T26" s="24"/>
      <c r="U26" s="24"/>
      <c r="V26" s="24"/>
      <c r="W26" s="24"/>
      <c r="X26" s="24"/>
    </row>
    <row r="27" spans="1:24">
      <c r="A27" s="24" t="s">
        <v>646</v>
      </c>
      <c r="B27" s="24" t="s">
        <v>643</v>
      </c>
      <c r="C27" s="329">
        <f t="shared" ref="C27:D27" si="7">C26/C23</f>
        <v>0.38862733548013323</v>
      </c>
      <c r="D27" s="329">
        <f t="shared" si="7"/>
        <v>0.62567433909950743</v>
      </c>
      <c r="E27" s="329">
        <f>E26/E23</f>
        <v>0.29831971816990532</v>
      </c>
      <c r="F27" s="329">
        <f t="shared" ref="F27:M27" si="8">F26/F23</f>
        <v>0.26694668056116599</v>
      </c>
      <c r="G27" s="329">
        <f t="shared" si="8"/>
        <v>0.185678651055736</v>
      </c>
      <c r="H27" s="329">
        <f t="shared" si="8"/>
        <v>0.56553783406219571</v>
      </c>
      <c r="I27" s="329">
        <f t="shared" si="8"/>
        <v>7.5624296298035104E-2</v>
      </c>
      <c r="J27" s="329">
        <f t="shared" si="8"/>
        <v>0.44405185680802145</v>
      </c>
      <c r="K27" s="329">
        <f t="shared" si="8"/>
        <v>0.40014053324144438</v>
      </c>
      <c r="L27" s="329">
        <f t="shared" si="8"/>
        <v>0.2484066184904542</v>
      </c>
      <c r="M27" s="329">
        <f t="shared" si="8"/>
        <v>0.66072685764801153</v>
      </c>
      <c r="N27" s="329">
        <v>0.32</v>
      </c>
      <c r="O27" s="329">
        <f>O26/O23</f>
        <v>0.31402282223608902</v>
      </c>
      <c r="P27" s="329">
        <f>P26/P23</f>
        <v>0.29346051461854378</v>
      </c>
      <c r="Q27" s="24"/>
      <c r="R27" s="24"/>
      <c r="S27" s="24"/>
      <c r="T27" s="24"/>
      <c r="U27" s="24"/>
      <c r="V27" s="24"/>
      <c r="W27" s="24"/>
      <c r="X27" s="24"/>
    </row>
    <row r="28" spans="1:24">
      <c r="A28" s="3"/>
      <c r="B28" s="3"/>
      <c r="C28" s="8" t="s">
        <v>130</v>
      </c>
      <c r="D28" s="8" t="s">
        <v>26</v>
      </c>
      <c r="E28" s="8" t="s">
        <v>630</v>
      </c>
      <c r="F28" s="8" t="s">
        <v>631</v>
      </c>
      <c r="G28" s="8" t="s">
        <v>137</v>
      </c>
      <c r="H28" s="8" t="s">
        <v>127</v>
      </c>
      <c r="I28" s="8" t="s">
        <v>133</v>
      </c>
      <c r="J28" s="8" t="s">
        <v>126</v>
      </c>
      <c r="K28" s="8" t="s">
        <v>632</v>
      </c>
      <c r="L28" s="8" t="s">
        <v>135</v>
      </c>
      <c r="M28" s="8" t="s">
        <v>136</v>
      </c>
      <c r="N28" s="8" t="s">
        <v>129</v>
      </c>
      <c r="O28" s="8" t="s">
        <v>633</v>
      </c>
      <c r="P28" s="8" t="s">
        <v>634</v>
      </c>
      <c r="Q28" s="8" t="s">
        <v>635</v>
      </c>
      <c r="R28" s="8" t="s">
        <v>636</v>
      </c>
      <c r="S28" s="8" t="s">
        <v>637</v>
      </c>
      <c r="T28" s="8" t="s">
        <v>128</v>
      </c>
      <c r="U28" s="8" t="s">
        <v>638</v>
      </c>
      <c r="V28" s="8" t="s">
        <v>639</v>
      </c>
      <c r="W28" s="8" t="s">
        <v>640</v>
      </c>
      <c r="X28" s="8" t="s">
        <v>641</v>
      </c>
    </row>
    <row r="29" spans="1:24">
      <c r="A29" s="24" t="s">
        <v>657</v>
      </c>
      <c r="B29" s="24" t="s">
        <v>262</v>
      </c>
      <c r="C29" s="189">
        <v>9836.0194072609265</v>
      </c>
      <c r="D29" s="189">
        <v>56248.368002738061</v>
      </c>
      <c r="E29" s="189">
        <v>2280.6969120778826</v>
      </c>
      <c r="F29" s="189">
        <v>1505.3456672751242</v>
      </c>
      <c r="G29" s="189">
        <v>924.80384849406755</v>
      </c>
      <c r="H29" s="189">
        <v>28567.198141669203</v>
      </c>
      <c r="I29" s="189">
        <v>9565.8508518405833</v>
      </c>
      <c r="J29" s="189">
        <v>54341.497261940982</v>
      </c>
      <c r="K29" s="189">
        <v>35127.176528749616</v>
      </c>
      <c r="L29" s="189">
        <v>1266.1400846770105</v>
      </c>
      <c r="M29" s="189">
        <v>817.62770003042283</v>
      </c>
      <c r="N29" s="189">
        <v>12651.732253321165</v>
      </c>
      <c r="O29" s="189">
        <v>4017.8896283338404</v>
      </c>
      <c r="P29" s="189">
        <v>3970.1646511509989</v>
      </c>
      <c r="Q29" s="189">
        <v>2834.3444376838047</v>
      </c>
      <c r="R29" s="189">
        <v>2135.7377928202009</v>
      </c>
      <c r="S29" s="189">
        <v>1848.3602956089646</v>
      </c>
      <c r="T29" s="189">
        <v>17983.364351992699</v>
      </c>
      <c r="U29" s="189">
        <v>1129.1148463644661</v>
      </c>
      <c r="V29" s="189">
        <v>1891.9881984585743</v>
      </c>
      <c r="W29" s="189">
        <v>9943.4784504614145</v>
      </c>
      <c r="X29" s="189">
        <v>2772.5803544265286</v>
      </c>
    </row>
    <row r="30" spans="1:24">
      <c r="A30" s="40" t="s">
        <v>647</v>
      </c>
      <c r="B30" s="24" t="s">
        <v>643</v>
      </c>
      <c r="C30" s="72"/>
      <c r="D30" s="72"/>
      <c r="E30" s="329">
        <f>E29/(E29+F29)</f>
        <v>0.60239600170255581</v>
      </c>
      <c r="F30" s="329">
        <f>F29/(F29+E29)</f>
        <v>0.39760399829744425</v>
      </c>
      <c r="G30" s="72"/>
      <c r="H30" s="72"/>
      <c r="I30" s="72"/>
      <c r="J30" s="72"/>
      <c r="K30" s="72"/>
      <c r="L30" s="72"/>
      <c r="M30" s="72"/>
      <c r="N30" s="72"/>
      <c r="O30" s="329">
        <f>O29/SUM($O$29:$S$29)</f>
        <v>0.27135990917276387</v>
      </c>
      <c r="P30" s="329">
        <f>P29/SUM($O$29:$S$29)</f>
        <v>0.26813666347126897</v>
      </c>
      <c r="Q30" s="329">
        <f>Q29/SUM($O$29:$S$29)</f>
        <v>0.19142572850940945</v>
      </c>
      <c r="R30" s="329">
        <f>R29/SUM($O$29:$S$29)</f>
        <v>0.14424328866317349</v>
      </c>
      <c r="S30" s="329">
        <f>S29/SUM($O$29:$S$29)</f>
        <v>0.12483441018338419</v>
      </c>
      <c r="T30" s="72"/>
      <c r="U30" s="329">
        <f>U29/SUM($U$29:$X$29)</f>
        <v>7.1748315048637726E-2</v>
      </c>
      <c r="V30" s="329">
        <f>V29/SUM($U$29:$X$29)</f>
        <v>0.1202242320773565</v>
      </c>
      <c r="W30" s="329">
        <f>W29/SUM($U$29:$X$29)</f>
        <v>0.63184699664533395</v>
      </c>
      <c r="X30" s="329">
        <f>X29/SUM($U$29:$X$29)</f>
        <v>0.17618045622867171</v>
      </c>
    </row>
    <row r="31" spans="1:24">
      <c r="A31" s="24" t="s">
        <v>645</v>
      </c>
      <c r="B31" s="24" t="s">
        <v>262</v>
      </c>
      <c r="C31" s="550">
        <f>C26</f>
        <v>3789.3509960620049</v>
      </c>
      <c r="D31" s="550">
        <f>D26</f>
        <v>35175.244242873559</v>
      </c>
      <c r="E31" s="550">
        <f>E29*$F$14</f>
        <v>0</v>
      </c>
      <c r="F31" s="550">
        <f>F29*$F$14</f>
        <v>0</v>
      </c>
      <c r="G31" s="550">
        <f t="shared" ref="G31:N31" si="9">F26</f>
        <v>245.33654924067935</v>
      </c>
      <c r="H31" s="550">
        <f t="shared" si="9"/>
        <v>5304.4173428330869</v>
      </c>
      <c r="I31" s="550">
        <f t="shared" si="9"/>
        <v>5478.8352155973571</v>
      </c>
      <c r="J31" s="550">
        <f t="shared" si="9"/>
        <v>4157.5241488153042</v>
      </c>
      <c r="K31" s="550">
        <f t="shared" si="9"/>
        <v>16051.292428236819</v>
      </c>
      <c r="L31" s="550">
        <f t="shared" si="9"/>
        <v>500.77794291874807</v>
      </c>
      <c r="M31" s="550">
        <f t="shared" si="9"/>
        <v>203.06754251464497</v>
      </c>
      <c r="N31" s="550">
        <f t="shared" si="9"/>
        <v>8499.8150661466934</v>
      </c>
      <c r="O31" s="550">
        <f>O29*$O$14</f>
        <v>0</v>
      </c>
      <c r="P31" s="550">
        <f>P29*$O$14</f>
        <v>0</v>
      </c>
      <c r="Q31" s="550">
        <f>Q29*$O$14</f>
        <v>0</v>
      </c>
      <c r="R31" s="550">
        <f>R29*$O$14</f>
        <v>0</v>
      </c>
      <c r="S31" s="550">
        <f>S29*$O$14</f>
        <v>0</v>
      </c>
      <c r="T31" s="550">
        <f>O26</f>
        <v>5355.1852356933196</v>
      </c>
      <c r="U31" s="550">
        <f>U29*$Q$14</f>
        <v>48.104670895944196</v>
      </c>
      <c r="V31" s="550">
        <f>V29*$Q$14</f>
        <v>80.606033937916976</v>
      </c>
      <c r="W31" s="550">
        <f>W29*$Q$14</f>
        <v>423.63074045167633</v>
      </c>
      <c r="X31" s="550">
        <f>X29*$Q$14</f>
        <v>118.12267451064652</v>
      </c>
    </row>
  </sheetData>
  <conditionalFormatting sqref="B8:O17">
    <cfRule type="cellIs" dxfId="21" priority="5" operator="lessThan">
      <formul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C12A9-45D4-4F02-8E8E-79BBDAF7746E}">
  <sheetPr>
    <tabColor theme="9" tint="0.59999389629810485"/>
  </sheetPr>
  <dimension ref="A1:AM221"/>
  <sheetViews>
    <sheetView showZeros="0" topLeftCell="A171" zoomScaleNormal="100" workbookViewId="0">
      <pane xSplit="1" topLeftCell="B1" activePane="topRight" state="frozen"/>
      <selection pane="topRight" activeCell="R188" sqref="R188"/>
    </sheetView>
  </sheetViews>
  <sheetFormatPr defaultColWidth="8.85546875" defaultRowHeight="15"/>
  <cols>
    <col min="1" max="1" width="26.140625" style="22" customWidth="1"/>
    <col min="2" max="21" width="8.5703125" style="22" customWidth="1"/>
    <col min="22" max="22" width="11.140625" style="22" bestFit="1" customWidth="1"/>
    <col min="23" max="16384" width="8.85546875" style="22"/>
  </cols>
  <sheetData>
    <row r="1" spans="1:39">
      <c r="A1" s="173" t="s">
        <v>424</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row>
    <row r="2" spans="1:39">
      <c r="A2" s="178"/>
    </row>
    <row r="3" spans="1:39">
      <c r="A3" s="56" t="s">
        <v>423</v>
      </c>
      <c r="B3" s="56" t="s">
        <v>363</v>
      </c>
      <c r="C3" s="56"/>
      <c r="D3" s="56"/>
      <c r="E3" s="56"/>
      <c r="F3" s="56"/>
      <c r="G3" s="56"/>
      <c r="H3" s="56"/>
      <c r="I3" s="56"/>
      <c r="J3" s="56"/>
      <c r="K3" s="56"/>
      <c r="L3" s="56"/>
      <c r="M3" s="56"/>
      <c r="N3" s="56"/>
      <c r="O3" s="56"/>
      <c r="R3" s="56" t="s">
        <v>364</v>
      </c>
      <c r="S3" s="56"/>
      <c r="T3" s="56"/>
      <c r="U3" s="56"/>
      <c r="V3" s="56"/>
      <c r="W3" s="56"/>
      <c r="X3" s="56"/>
      <c r="Y3" s="56"/>
      <c r="Z3" s="56"/>
      <c r="AA3" s="56"/>
      <c r="AB3" s="56"/>
      <c r="AC3" s="56"/>
      <c r="AD3" s="56"/>
      <c r="AE3" s="56"/>
      <c r="AF3" s="56"/>
    </row>
    <row r="4" spans="1:39">
      <c r="A4" s="59" t="s">
        <v>362</v>
      </c>
      <c r="B4" s="57"/>
      <c r="C4" s="57"/>
      <c r="D4" s="57"/>
      <c r="E4" s="57"/>
      <c r="F4" s="57"/>
      <c r="G4" s="57"/>
      <c r="H4" s="57"/>
      <c r="I4" s="57"/>
      <c r="J4" s="57"/>
      <c r="K4" s="57"/>
      <c r="L4" s="57"/>
      <c r="M4" s="57"/>
      <c r="N4" s="57"/>
      <c r="O4" s="57"/>
      <c r="R4" s="59" t="s">
        <v>253</v>
      </c>
      <c r="S4" s="156"/>
      <c r="T4" s="59" t="s">
        <v>254</v>
      </c>
      <c r="U4" s="57"/>
      <c r="V4" s="57"/>
      <c r="W4" s="57"/>
      <c r="X4" s="57"/>
      <c r="Y4" s="57"/>
      <c r="Z4" s="57"/>
      <c r="AA4" s="57"/>
      <c r="AB4" s="57"/>
      <c r="AC4" s="57"/>
      <c r="AD4" s="57"/>
      <c r="AE4" s="57"/>
      <c r="AF4" s="57"/>
    </row>
    <row r="5" spans="1:39">
      <c r="A5" s="154" t="s">
        <v>316</v>
      </c>
      <c r="B5" s="155" t="s">
        <v>26</v>
      </c>
      <c r="C5" s="155" t="s">
        <v>126</v>
      </c>
      <c r="D5" s="155" t="s">
        <v>75</v>
      </c>
      <c r="E5" s="155" t="s">
        <v>127</v>
      </c>
      <c r="F5" s="155" t="s">
        <v>138</v>
      </c>
      <c r="G5" s="155" t="s">
        <v>129</v>
      </c>
      <c r="H5" s="155" t="s">
        <v>130</v>
      </c>
      <c r="I5" s="155" t="s">
        <v>131</v>
      </c>
      <c r="J5" s="155" t="s">
        <v>132</v>
      </c>
      <c r="K5" s="155" t="s">
        <v>133</v>
      </c>
      <c r="L5" s="155" t="s">
        <v>134</v>
      </c>
      <c r="M5" s="155" t="s">
        <v>135</v>
      </c>
      <c r="N5" s="155" t="s">
        <v>136</v>
      </c>
      <c r="O5" s="155" t="s">
        <v>137</v>
      </c>
      <c r="R5" s="59" t="s">
        <v>255</v>
      </c>
      <c r="S5" s="156"/>
      <c r="T5" s="59" t="s">
        <v>256</v>
      </c>
      <c r="U5" s="57"/>
      <c r="V5" s="57"/>
      <c r="W5" s="57"/>
      <c r="X5" s="57"/>
      <c r="Y5" s="57"/>
      <c r="Z5" s="57"/>
      <c r="AA5" s="57"/>
      <c r="AB5" s="57"/>
      <c r="AC5" s="57"/>
      <c r="AD5" s="57"/>
      <c r="AE5" s="57"/>
      <c r="AF5" s="57"/>
    </row>
    <row r="6" spans="1:39">
      <c r="A6" s="109" t="s">
        <v>233</v>
      </c>
      <c r="B6" s="328">
        <v>299.47000000000003</v>
      </c>
      <c r="C6" s="328">
        <v>100.4</v>
      </c>
      <c r="D6" s="328">
        <v>54.79</v>
      </c>
      <c r="E6" s="328">
        <v>128.94999999999999</v>
      </c>
      <c r="F6" s="328">
        <v>36.74</v>
      </c>
      <c r="G6" s="328">
        <v>59.32</v>
      </c>
      <c r="H6" s="328">
        <v>23.3</v>
      </c>
      <c r="I6" s="111">
        <v>26.42</v>
      </c>
      <c r="J6" s="111">
        <v>21.71</v>
      </c>
      <c r="K6" s="328">
        <v>21.27</v>
      </c>
      <c r="L6" s="328">
        <v>6.25</v>
      </c>
      <c r="M6" s="328">
        <v>6.54</v>
      </c>
      <c r="N6" s="110">
        <v>0.8</v>
      </c>
      <c r="O6" s="328">
        <v>2.4</v>
      </c>
      <c r="P6" s="70">
        <f t="shared" ref="P6:P30" si="0">SUM(B6:O6)</f>
        <v>788.3599999999999</v>
      </c>
      <c r="Q6" s="70"/>
      <c r="R6" s="59" t="s">
        <v>257</v>
      </c>
      <c r="S6" s="156"/>
      <c r="T6" s="157" t="s">
        <v>594</v>
      </c>
      <c r="U6" s="57"/>
      <c r="V6" s="57"/>
      <c r="W6" s="57"/>
      <c r="X6" s="57"/>
      <c r="Y6" s="57"/>
      <c r="Z6" s="57"/>
      <c r="AA6" s="57"/>
      <c r="AB6" s="57"/>
      <c r="AC6" s="57"/>
      <c r="AD6" s="57"/>
      <c r="AE6" s="57"/>
      <c r="AF6" s="57"/>
    </row>
    <row r="7" spans="1:39">
      <c r="A7" s="109" t="s">
        <v>234</v>
      </c>
      <c r="B7" s="110"/>
      <c r="C7" s="110"/>
      <c r="D7" s="110"/>
      <c r="E7" s="111">
        <v>5.16</v>
      </c>
      <c r="F7" s="110"/>
      <c r="G7" s="110"/>
      <c r="H7" s="110"/>
      <c r="I7" s="111"/>
      <c r="J7" s="111"/>
      <c r="K7" s="110"/>
      <c r="L7" s="110"/>
      <c r="M7" s="110"/>
      <c r="N7" s="110">
        <v>7.0000000000000007E-2</v>
      </c>
      <c r="O7" s="110"/>
      <c r="P7" s="70">
        <f t="shared" si="0"/>
        <v>5.23</v>
      </c>
      <c r="Q7" s="70"/>
      <c r="R7" s="57"/>
      <c r="S7" s="57"/>
      <c r="T7" s="59" t="s">
        <v>597</v>
      </c>
      <c r="U7" s="57"/>
      <c r="V7" s="57"/>
      <c r="W7" s="57"/>
      <c r="X7" s="57"/>
      <c r="Y7" s="57"/>
      <c r="Z7" s="57"/>
      <c r="AA7" s="57"/>
      <c r="AB7" s="57"/>
      <c r="AC7" s="57"/>
      <c r="AD7" s="57"/>
      <c r="AE7" s="57"/>
      <c r="AF7" s="57"/>
      <c r="AL7" s="39"/>
    </row>
    <row r="8" spans="1:39">
      <c r="A8" s="109" t="s">
        <v>140</v>
      </c>
      <c r="B8" s="328">
        <v>142</v>
      </c>
      <c r="C8" s="328">
        <v>50</v>
      </c>
      <c r="D8" s="328">
        <v>43.48</v>
      </c>
      <c r="E8" s="328">
        <v>75.05</v>
      </c>
      <c r="F8" s="328">
        <v>29.5</v>
      </c>
      <c r="G8" s="328">
        <v>12.7</v>
      </c>
      <c r="H8" s="328">
        <v>8.9</v>
      </c>
      <c r="I8" s="111">
        <v>28.25</v>
      </c>
      <c r="J8" s="111">
        <v>12.5</v>
      </c>
      <c r="K8" s="328">
        <v>46</v>
      </c>
      <c r="L8" s="328">
        <v>6.36</v>
      </c>
      <c r="M8" s="328">
        <v>5.21</v>
      </c>
      <c r="N8" s="110">
        <v>0.28999999999999998</v>
      </c>
      <c r="O8" s="110">
        <v>0.86</v>
      </c>
      <c r="P8" s="70">
        <f t="shared" si="0"/>
        <v>461.09999999999997</v>
      </c>
      <c r="Q8" s="70"/>
      <c r="R8" s="59" t="s">
        <v>258</v>
      </c>
      <c r="S8" s="156"/>
      <c r="T8" s="157" t="s">
        <v>259</v>
      </c>
      <c r="U8" s="57"/>
      <c r="V8" s="57"/>
      <c r="W8" s="57"/>
      <c r="X8" s="57"/>
      <c r="Y8" s="57"/>
      <c r="Z8" s="57"/>
      <c r="AA8" s="57"/>
      <c r="AB8" s="57"/>
      <c r="AC8" s="57"/>
      <c r="AD8" s="57"/>
      <c r="AE8" s="57"/>
      <c r="AF8" s="57"/>
      <c r="AL8" s="39"/>
    </row>
    <row r="9" spans="1:39">
      <c r="A9" s="124" t="s">
        <v>141</v>
      </c>
      <c r="B9" s="330">
        <v>50.52</v>
      </c>
      <c r="C9" s="330">
        <v>17.98</v>
      </c>
      <c r="D9" s="330">
        <v>75.03</v>
      </c>
      <c r="E9" s="330">
        <v>5.04</v>
      </c>
      <c r="F9" s="330">
        <v>10.9</v>
      </c>
      <c r="G9" s="330">
        <v>33.299999999999997</v>
      </c>
      <c r="H9" s="330">
        <v>6.86</v>
      </c>
      <c r="I9" s="126">
        <v>6.6</v>
      </c>
      <c r="J9" s="126">
        <v>21.24</v>
      </c>
      <c r="K9" s="330">
        <v>3.6</v>
      </c>
      <c r="L9" s="330">
        <v>6</v>
      </c>
      <c r="M9" s="330">
        <v>2.1</v>
      </c>
      <c r="N9" s="125">
        <v>0.5</v>
      </c>
      <c r="O9" s="330">
        <v>1</v>
      </c>
      <c r="P9" s="70">
        <f t="shared" si="0"/>
        <v>240.67</v>
      </c>
      <c r="Q9" s="70"/>
      <c r="R9" s="59" t="s">
        <v>260</v>
      </c>
      <c r="S9" s="156"/>
      <c r="T9" s="59" t="s">
        <v>595</v>
      </c>
      <c r="U9" s="57"/>
      <c r="V9" s="57"/>
      <c r="W9" s="57"/>
      <c r="X9" s="57"/>
      <c r="Y9" s="57"/>
      <c r="Z9" s="57"/>
      <c r="AA9" s="57"/>
      <c r="AB9" s="57"/>
      <c r="AC9" s="57"/>
      <c r="AD9" s="57"/>
      <c r="AE9" s="57"/>
      <c r="AF9" s="57"/>
    </row>
    <row r="10" spans="1:39">
      <c r="A10" s="112" t="s">
        <v>237</v>
      </c>
      <c r="B10" s="111">
        <v>0.82</v>
      </c>
      <c r="C10" s="111">
        <v>9.85</v>
      </c>
      <c r="D10" s="111"/>
      <c r="E10" s="111">
        <v>11.41</v>
      </c>
      <c r="F10" s="111">
        <v>0.43</v>
      </c>
      <c r="G10" s="111"/>
      <c r="H10" s="111"/>
      <c r="I10" s="111">
        <v>15.62</v>
      </c>
      <c r="J10" s="111"/>
      <c r="K10" s="111">
        <v>3.24</v>
      </c>
      <c r="L10" s="111">
        <v>29.74</v>
      </c>
      <c r="M10" s="111"/>
      <c r="N10" s="111"/>
      <c r="O10" s="111"/>
      <c r="P10" s="70">
        <f t="shared" si="0"/>
        <v>71.11</v>
      </c>
      <c r="R10" s="57"/>
      <c r="S10" s="57"/>
      <c r="T10" s="59" t="s">
        <v>596</v>
      </c>
      <c r="U10" s="57"/>
      <c r="V10" s="57"/>
      <c r="W10" s="57"/>
      <c r="X10" s="57"/>
      <c r="Y10" s="57"/>
      <c r="Z10" s="57"/>
      <c r="AA10" s="57"/>
      <c r="AB10" s="57"/>
      <c r="AC10" s="57"/>
      <c r="AD10" s="57"/>
      <c r="AE10" s="57"/>
      <c r="AF10" s="57"/>
    </row>
    <row r="11" spans="1:39">
      <c r="A11" s="112" t="s">
        <v>235</v>
      </c>
      <c r="B11" s="111"/>
      <c r="C11" s="111"/>
      <c r="D11" s="111"/>
      <c r="E11" s="111"/>
      <c r="F11" s="111"/>
      <c r="G11" s="111"/>
      <c r="H11" s="111"/>
      <c r="I11" s="111"/>
      <c r="J11" s="111"/>
      <c r="K11" s="111"/>
      <c r="L11" s="111"/>
      <c r="M11" s="111"/>
      <c r="N11" s="111">
        <v>1.59</v>
      </c>
      <c r="O11" s="111"/>
      <c r="P11" s="70">
        <f t="shared" si="0"/>
        <v>1.59</v>
      </c>
      <c r="Q11" s="70"/>
      <c r="R11" s="59" t="s">
        <v>261</v>
      </c>
      <c r="S11" s="156"/>
      <c r="T11" s="59" t="s">
        <v>365</v>
      </c>
      <c r="U11" s="57"/>
      <c r="V11" s="57"/>
      <c r="W11" s="57"/>
      <c r="X11" s="57"/>
      <c r="Y11" s="57"/>
      <c r="Z11" s="57"/>
      <c r="AA11" s="57"/>
      <c r="AB11" s="57"/>
      <c r="AC11" s="57"/>
      <c r="AD11" s="57"/>
      <c r="AE11" s="57"/>
      <c r="AF11" s="57"/>
      <c r="AL11" s="49"/>
    </row>
    <row r="12" spans="1:39">
      <c r="A12" s="127" t="s">
        <v>236</v>
      </c>
      <c r="B12" s="126">
        <v>3.9</v>
      </c>
      <c r="C12" s="126">
        <v>13.6</v>
      </c>
      <c r="D12" s="126">
        <v>2.31</v>
      </c>
      <c r="E12" s="126">
        <v>3.42</v>
      </c>
      <c r="F12" s="126">
        <v>0.37</v>
      </c>
      <c r="G12" s="126">
        <v>0.04</v>
      </c>
      <c r="H12" s="126">
        <v>0.16</v>
      </c>
      <c r="I12" s="126"/>
      <c r="J12" s="126"/>
      <c r="K12" s="126"/>
      <c r="L12" s="126">
        <v>7.67</v>
      </c>
      <c r="M12" s="126">
        <v>0.13</v>
      </c>
      <c r="N12" s="126"/>
      <c r="O12" s="126"/>
      <c r="P12" s="70">
        <f t="shared" si="0"/>
        <v>31.599999999999998</v>
      </c>
      <c r="Q12" s="70"/>
      <c r="R12" s="158" t="s">
        <v>262</v>
      </c>
      <c r="S12" s="159"/>
      <c r="T12" s="159"/>
      <c r="U12" s="160" t="s">
        <v>103</v>
      </c>
      <c r="V12" s="158" t="s">
        <v>104</v>
      </c>
      <c r="W12" s="158" t="s">
        <v>105</v>
      </c>
      <c r="X12" s="158" t="s">
        <v>106</v>
      </c>
      <c r="Y12" s="161" t="s">
        <v>131</v>
      </c>
      <c r="Z12" s="160" t="s">
        <v>99</v>
      </c>
      <c r="AA12" s="158" t="s">
        <v>101</v>
      </c>
      <c r="AB12" s="161" t="s">
        <v>132</v>
      </c>
      <c r="AC12" s="160" t="s">
        <v>118</v>
      </c>
      <c r="AD12" s="158" t="s">
        <v>119</v>
      </c>
      <c r="AE12" s="158" t="s">
        <v>120</v>
      </c>
      <c r="AF12" s="161" t="s">
        <v>134</v>
      </c>
      <c r="AG12" s="40"/>
      <c r="AH12" s="52"/>
      <c r="AI12" s="54"/>
      <c r="AJ12" s="52"/>
    </row>
    <row r="13" spans="1:39">
      <c r="A13" s="128" t="s">
        <v>238</v>
      </c>
      <c r="B13" s="129">
        <v>8.56</v>
      </c>
      <c r="C13" s="129">
        <v>2.42</v>
      </c>
      <c r="D13" s="129">
        <v>3.05</v>
      </c>
      <c r="E13" s="129">
        <v>1.73</v>
      </c>
      <c r="F13" s="129">
        <v>2.1800000000000002</v>
      </c>
      <c r="G13" s="129">
        <v>0.42</v>
      </c>
      <c r="H13" s="129">
        <v>0.61</v>
      </c>
      <c r="I13" s="129">
        <v>4.1900000000000004</v>
      </c>
      <c r="J13" s="129">
        <v>0.01</v>
      </c>
      <c r="K13" s="129">
        <v>2.62</v>
      </c>
      <c r="L13" s="129"/>
      <c r="M13" s="129">
        <v>0.21</v>
      </c>
      <c r="N13" s="129">
        <v>0.16</v>
      </c>
      <c r="O13" s="129">
        <v>0.17</v>
      </c>
      <c r="P13" s="70">
        <f t="shared" si="0"/>
        <v>26.330000000000009</v>
      </c>
      <c r="Q13" s="70"/>
      <c r="T13" s="130">
        <v>2030</v>
      </c>
      <c r="U13" s="141">
        <v>0</v>
      </c>
      <c r="V13" s="131">
        <v>333.88621852888014</v>
      </c>
      <c r="W13" s="131">
        <v>4851.6922345340436</v>
      </c>
      <c r="X13" s="131">
        <v>2116.188944479522</v>
      </c>
      <c r="Y13" s="111"/>
      <c r="Z13" s="141">
        <v>4884.9400000000005</v>
      </c>
      <c r="AA13" s="131">
        <v>12859.470000000001</v>
      </c>
      <c r="AB13" s="111"/>
      <c r="AC13" s="141">
        <v>1000</v>
      </c>
      <c r="AD13" s="131">
        <v>0</v>
      </c>
      <c r="AE13" s="131">
        <v>3000</v>
      </c>
      <c r="AG13" s="40"/>
      <c r="AH13" s="50"/>
      <c r="AI13" s="51"/>
      <c r="AJ13" s="50"/>
    </row>
    <row r="14" spans="1:39">
      <c r="A14" s="148" t="s">
        <v>142</v>
      </c>
      <c r="B14" s="149"/>
      <c r="C14" s="149">
        <v>54.7</v>
      </c>
      <c r="D14" s="149">
        <v>4.5</v>
      </c>
      <c r="E14" s="149"/>
      <c r="F14" s="149">
        <v>2.2200000000000002</v>
      </c>
      <c r="G14" s="149">
        <v>0.24</v>
      </c>
      <c r="H14" s="149">
        <v>1.04</v>
      </c>
      <c r="I14" s="149">
        <v>4.8</v>
      </c>
      <c r="J14" s="149"/>
      <c r="K14" s="149">
        <v>3.25</v>
      </c>
      <c r="L14" s="149"/>
      <c r="M14" s="149"/>
      <c r="N14" s="149"/>
      <c r="O14" s="149"/>
      <c r="P14" s="70">
        <f t="shared" si="0"/>
        <v>70.75</v>
      </c>
      <c r="Q14" s="70"/>
      <c r="R14" s="132" t="s">
        <v>139</v>
      </c>
      <c r="T14" s="24">
        <v>2035</v>
      </c>
      <c r="U14" s="142">
        <f>AVERAGE(U13,U15)</f>
        <v>0</v>
      </c>
      <c r="V14" s="113">
        <f>AVERAGE(V13,V15)</f>
        <v>500.82932779332015</v>
      </c>
      <c r="W14" s="113">
        <f>AVERAGE(W13,W15)</f>
        <v>7277.5383518010658</v>
      </c>
      <c r="X14" s="113">
        <f>AVERAGE(X13,X15)</f>
        <v>3174.2834167192823</v>
      </c>
      <c r="Y14" s="72">
        <f>SUM(U14:X14)</f>
        <v>10952.651096313668</v>
      </c>
      <c r="Z14" s="142">
        <f>AVERAGE(Z13,Z15)</f>
        <v>6380.4814600298378</v>
      </c>
      <c r="AA14" s="113">
        <f>AVERAGE(AA13,AA15)</f>
        <v>15977.788539970163</v>
      </c>
      <c r="AB14" s="72">
        <f>SUM(Z14:AA14)</f>
        <v>22358.27</v>
      </c>
      <c r="AC14" s="142">
        <f>AVERAGE(AC13,AC15)</f>
        <v>1750</v>
      </c>
      <c r="AD14" s="113">
        <f>AVERAGE(AD13,AD15)</f>
        <v>0</v>
      </c>
      <c r="AE14" s="113">
        <f>AVERAGE(AE13,AE15)</f>
        <v>5250</v>
      </c>
      <c r="AF14" s="72">
        <f>SUM(AC14:AE14)</f>
        <v>7000</v>
      </c>
      <c r="AG14" s="40"/>
      <c r="AH14" s="50"/>
      <c r="AI14" s="51"/>
      <c r="AJ14" s="50"/>
    </row>
    <row r="15" spans="1:39">
      <c r="A15" s="109" t="s">
        <v>145</v>
      </c>
      <c r="B15" s="111"/>
      <c r="C15" s="111"/>
      <c r="D15" s="111"/>
      <c r="E15" s="111"/>
      <c r="F15" s="111"/>
      <c r="G15" s="111"/>
      <c r="H15" s="111"/>
      <c r="I15" s="111"/>
      <c r="J15" s="111">
        <v>0.69</v>
      </c>
      <c r="K15" s="111"/>
      <c r="L15" s="111"/>
      <c r="M15" s="111"/>
      <c r="N15" s="111"/>
      <c r="O15" s="111"/>
      <c r="P15" s="70">
        <f t="shared" si="0"/>
        <v>0.69</v>
      </c>
      <c r="Q15" s="70"/>
      <c r="R15" s="133"/>
      <c r="S15" s="133"/>
      <c r="T15" s="136">
        <v>2040</v>
      </c>
      <c r="U15" s="143">
        <v>0</v>
      </c>
      <c r="V15" s="134">
        <v>667.77243705776016</v>
      </c>
      <c r="W15" s="134">
        <v>9703.3844690680889</v>
      </c>
      <c r="X15" s="134">
        <v>4232.377888959043</v>
      </c>
      <c r="Y15" s="135"/>
      <c r="Z15" s="143">
        <v>7876.0229200596759</v>
      </c>
      <c r="AA15" s="134">
        <v>19096.107079940324</v>
      </c>
      <c r="AB15" s="135"/>
      <c r="AC15" s="143">
        <v>2500</v>
      </c>
      <c r="AD15" s="134">
        <v>0</v>
      </c>
      <c r="AE15" s="134">
        <v>7500</v>
      </c>
      <c r="AF15" s="135"/>
      <c r="AG15" s="40"/>
      <c r="AH15" s="50"/>
      <c r="AI15" s="51"/>
      <c r="AJ15" s="50"/>
    </row>
    <row r="16" spans="1:39">
      <c r="A16" s="109" t="s">
        <v>239</v>
      </c>
      <c r="B16" s="111">
        <v>14.78</v>
      </c>
      <c r="C16" s="111">
        <v>6.14</v>
      </c>
      <c r="D16" s="111">
        <v>15.09</v>
      </c>
      <c r="E16" s="111">
        <v>20.52</v>
      </c>
      <c r="F16" s="111">
        <v>9.64</v>
      </c>
      <c r="G16" s="111">
        <v>6</v>
      </c>
      <c r="H16" s="111">
        <v>4.0999999999999996</v>
      </c>
      <c r="I16" s="111"/>
      <c r="J16" s="111">
        <v>0.14000000000000001</v>
      </c>
      <c r="K16" s="111">
        <v>0.87</v>
      </c>
      <c r="L16" s="111"/>
      <c r="M16" s="111">
        <v>0.4</v>
      </c>
      <c r="N16" s="111">
        <v>1.08</v>
      </c>
      <c r="O16" s="111"/>
      <c r="P16" s="70">
        <f t="shared" si="0"/>
        <v>78.760000000000005</v>
      </c>
      <c r="Q16" s="70"/>
      <c r="T16" s="130">
        <v>2030</v>
      </c>
      <c r="U16" s="141">
        <v>3580.5430008005674</v>
      </c>
      <c r="V16" s="131">
        <v>8280.4476577003134</v>
      </c>
      <c r="W16" s="131">
        <v>3868.2232708662141</v>
      </c>
      <c r="X16" s="131">
        <v>2222.9385092293969</v>
      </c>
      <c r="Y16" s="70"/>
      <c r="Z16" s="141">
        <v>1155.3842000000002</v>
      </c>
      <c r="AA16" s="131">
        <v>6150.2277999999997</v>
      </c>
      <c r="AB16" s="70"/>
      <c r="AC16" s="141">
        <v>2424.5749999999998</v>
      </c>
      <c r="AD16" s="131">
        <v>1108.0899999999999</v>
      </c>
      <c r="AE16" s="131">
        <v>2240.56</v>
      </c>
      <c r="AF16" s="70"/>
      <c r="AG16" s="40"/>
      <c r="AH16" s="52"/>
      <c r="AI16" s="53"/>
      <c r="AJ16" s="52"/>
    </row>
    <row r="17" spans="1:38">
      <c r="A17" s="109" t="s">
        <v>240</v>
      </c>
      <c r="B17" s="111"/>
      <c r="C17" s="111"/>
      <c r="D17" s="111">
        <v>3.27</v>
      </c>
      <c r="E17" s="111"/>
      <c r="F17" s="111"/>
      <c r="G17" s="111"/>
      <c r="H17" s="111"/>
      <c r="I17" s="111"/>
      <c r="J17" s="111"/>
      <c r="K17" s="111"/>
      <c r="L17" s="111"/>
      <c r="M17" s="111"/>
      <c r="N17" s="111"/>
      <c r="O17" s="111"/>
      <c r="P17" s="70">
        <f t="shared" si="0"/>
        <v>3.27</v>
      </c>
      <c r="Q17" s="70"/>
      <c r="R17" s="132" t="s">
        <v>263</v>
      </c>
      <c r="T17" s="24">
        <v>2035</v>
      </c>
      <c r="U17" s="142">
        <f>AVERAGE(U16,U18)</f>
        <v>5040.2715004002839</v>
      </c>
      <c r="V17" s="113">
        <f>AVERAGE(V16,V18)</f>
        <v>9140.2238288501576</v>
      </c>
      <c r="W17" s="113">
        <f>AVERAGE(W16,W18)</f>
        <v>3884.111635433107</v>
      </c>
      <c r="X17" s="113">
        <f>AVERAGE(X16,X18)</f>
        <v>2222.9385092293969</v>
      </c>
      <c r="Y17" s="72">
        <f>SUM(U17:X17)</f>
        <v>20287.545473912945</v>
      </c>
      <c r="Z17" s="142">
        <f>AVERAGE(Z16,Z18)</f>
        <v>1088.1647000000003</v>
      </c>
      <c r="AA17" s="113">
        <f>AVERAGE(AA16,AA18)</f>
        <v>5537.8588</v>
      </c>
      <c r="AB17" s="72">
        <f>SUM(Z17:AA17)</f>
        <v>6626.0235000000002</v>
      </c>
      <c r="AC17" s="142">
        <f>AVERAGE(AC16,AC18)</f>
        <v>2424.5749999999998</v>
      </c>
      <c r="AD17" s="113">
        <f>AVERAGE(AD16,AD18)</f>
        <v>1483.09</v>
      </c>
      <c r="AE17" s="113">
        <f>AVERAGE(AE16,AE18)</f>
        <v>2440.56</v>
      </c>
      <c r="AF17" s="72">
        <f>SUM(AC17:AE17)</f>
        <v>6348.2250000000004</v>
      </c>
      <c r="AG17" s="40"/>
      <c r="AH17" s="50"/>
      <c r="AI17" s="51"/>
      <c r="AJ17" s="50"/>
    </row>
    <row r="18" spans="1:38">
      <c r="A18" s="109" t="s">
        <v>241</v>
      </c>
      <c r="B18" s="111">
        <v>0.15</v>
      </c>
      <c r="C18" s="111"/>
      <c r="D18" s="111">
        <v>3.69</v>
      </c>
      <c r="E18" s="111"/>
      <c r="F18" s="111"/>
      <c r="G18" s="111"/>
      <c r="H18" s="111">
        <v>0.83</v>
      </c>
      <c r="I18" s="111"/>
      <c r="J18" s="111"/>
      <c r="K18" s="111"/>
      <c r="L18" s="111"/>
      <c r="M18" s="111">
        <v>0.11</v>
      </c>
      <c r="N18" s="111"/>
      <c r="O18" s="111"/>
      <c r="P18" s="70">
        <f t="shared" si="0"/>
        <v>4.78</v>
      </c>
      <c r="Q18" s="70"/>
      <c r="R18" s="133"/>
      <c r="S18" s="133"/>
      <c r="T18" s="136">
        <v>2040</v>
      </c>
      <c r="U18" s="143">
        <v>6500</v>
      </c>
      <c r="V18" s="134">
        <v>10000</v>
      </c>
      <c r="W18" s="134">
        <v>3900</v>
      </c>
      <c r="X18" s="134">
        <v>2222.9385092293969</v>
      </c>
      <c r="Y18" s="135"/>
      <c r="Z18" s="143">
        <v>1020.9452000000001</v>
      </c>
      <c r="AA18" s="134">
        <v>4925.4898000000003</v>
      </c>
      <c r="AB18" s="135"/>
      <c r="AC18" s="143">
        <v>2424.5749999999998</v>
      </c>
      <c r="AD18" s="134">
        <v>1858.09</v>
      </c>
      <c r="AE18" s="134">
        <v>2640.56</v>
      </c>
      <c r="AF18" s="135"/>
      <c r="AH18" s="162" t="s">
        <v>124</v>
      </c>
      <c r="AI18" s="162" t="s">
        <v>99</v>
      </c>
      <c r="AJ18" s="162" t="s">
        <v>116</v>
      </c>
      <c r="AK18" s="162" t="s">
        <v>125</v>
      </c>
      <c r="AL18" s="162" t="s">
        <v>101</v>
      </c>
    </row>
    <row r="19" spans="1:38">
      <c r="A19" s="109" t="s">
        <v>242</v>
      </c>
      <c r="B19" s="111">
        <v>1.49</v>
      </c>
      <c r="C19" s="111">
        <v>0.37</v>
      </c>
      <c r="D19" s="111">
        <v>1.21</v>
      </c>
      <c r="E19" s="111"/>
      <c r="F19" s="111"/>
      <c r="G19" s="111">
        <v>0.4</v>
      </c>
      <c r="H19" s="111">
        <v>0.24</v>
      </c>
      <c r="I19" s="111">
        <v>0.1</v>
      </c>
      <c r="J19" s="111">
        <v>0.69</v>
      </c>
      <c r="K19" s="111">
        <v>0.13</v>
      </c>
      <c r="L19" s="111"/>
      <c r="M19" s="111"/>
      <c r="N19" s="111"/>
      <c r="O19" s="111"/>
      <c r="P19" s="70">
        <f t="shared" si="0"/>
        <v>4.63</v>
      </c>
      <c r="Q19" s="70"/>
      <c r="R19" s="137" t="s">
        <v>264</v>
      </c>
      <c r="S19" s="137"/>
      <c r="T19" s="138">
        <v>2035</v>
      </c>
      <c r="U19" s="144">
        <v>0</v>
      </c>
      <c r="V19" s="139">
        <v>1000</v>
      </c>
      <c r="W19" s="139">
        <v>1400</v>
      </c>
      <c r="X19" s="139">
        <v>4200</v>
      </c>
      <c r="Y19" s="140">
        <f>SUM(U19:X19)</f>
        <v>6600</v>
      </c>
      <c r="Z19" s="144">
        <f>SUM(AH19:AJ19)</f>
        <v>6528.2</v>
      </c>
      <c r="AA19" s="139">
        <f>SUM(AK19:AL19)</f>
        <v>13722.399999999998</v>
      </c>
      <c r="AB19" s="140">
        <f>SUM(Z19:AA19)</f>
        <v>20250.599999999999</v>
      </c>
      <c r="AC19" s="144">
        <v>0</v>
      </c>
      <c r="AD19" s="139">
        <v>0</v>
      </c>
      <c r="AE19" s="139">
        <v>6003.5</v>
      </c>
      <c r="AF19" s="140">
        <f>SUM(AC19:AE19)</f>
        <v>6003.5</v>
      </c>
      <c r="AH19" s="331">
        <v>3000</v>
      </c>
      <c r="AI19" s="331">
        <v>1923.4</v>
      </c>
      <c r="AJ19" s="331">
        <v>1604.8</v>
      </c>
      <c r="AK19" s="331">
        <v>6000</v>
      </c>
      <c r="AL19" s="331">
        <v>7722.3999999999987</v>
      </c>
    </row>
    <row r="20" spans="1:38">
      <c r="A20" s="109" t="s">
        <v>245</v>
      </c>
      <c r="B20" s="111"/>
      <c r="C20" s="111"/>
      <c r="D20" s="111">
        <v>7.0000000000000007E-2</v>
      </c>
      <c r="E20" s="111"/>
      <c r="F20" s="111">
        <v>7.47</v>
      </c>
      <c r="G20" s="111"/>
      <c r="H20" s="111"/>
      <c r="I20" s="111"/>
      <c r="J20" s="111"/>
      <c r="K20" s="111"/>
      <c r="L20" s="111"/>
      <c r="M20" s="111"/>
      <c r="N20" s="111"/>
      <c r="O20" s="111"/>
      <c r="P20" s="70">
        <f t="shared" si="0"/>
        <v>7.54</v>
      </c>
      <c r="Q20" s="70"/>
    </row>
    <row r="21" spans="1:38">
      <c r="A21" s="109" t="s">
        <v>246</v>
      </c>
      <c r="B21" s="111"/>
      <c r="C21" s="111"/>
      <c r="D21" s="111"/>
      <c r="E21" s="111"/>
      <c r="F21" s="111">
        <v>3.21</v>
      </c>
      <c r="G21" s="111"/>
      <c r="H21" s="111">
        <v>0.35</v>
      </c>
      <c r="I21" s="111"/>
      <c r="J21" s="111">
        <v>1.24</v>
      </c>
      <c r="K21" s="111">
        <v>0.93</v>
      </c>
      <c r="L21" s="111"/>
      <c r="M21" s="111"/>
      <c r="N21" s="111"/>
      <c r="O21" s="111"/>
      <c r="P21" s="70">
        <f t="shared" si="0"/>
        <v>5.7299999999999995</v>
      </c>
      <c r="Q21" s="70"/>
      <c r="R21" s="56" t="s">
        <v>265</v>
      </c>
      <c r="S21" s="56"/>
      <c r="T21" s="56"/>
      <c r="U21" s="56"/>
      <c r="V21" s="56"/>
      <c r="W21" s="56"/>
      <c r="X21" s="56"/>
      <c r="Y21" s="56"/>
      <c r="Z21" s="56"/>
      <c r="AA21" s="56"/>
      <c r="AB21" s="56"/>
      <c r="AC21" s="56"/>
      <c r="AD21" s="56"/>
      <c r="AE21" s="56"/>
      <c r="AF21" s="56"/>
      <c r="AG21" s="56"/>
      <c r="AH21" s="56"/>
      <c r="AI21" s="56"/>
      <c r="AJ21" s="56"/>
      <c r="AK21" s="56"/>
      <c r="AL21" s="56"/>
    </row>
    <row r="22" spans="1:38">
      <c r="A22" s="109" t="s">
        <v>247</v>
      </c>
      <c r="B22" s="111"/>
      <c r="C22" s="111"/>
      <c r="D22" s="111"/>
      <c r="E22" s="111"/>
      <c r="F22" s="111"/>
      <c r="G22" s="111"/>
      <c r="H22" s="111">
        <v>0.14000000000000001</v>
      </c>
      <c r="I22" s="111"/>
      <c r="J22" s="111">
        <v>7.0000000000000007E-2</v>
      </c>
      <c r="K22" s="111"/>
      <c r="L22" s="111"/>
      <c r="M22" s="111"/>
      <c r="N22" s="111"/>
      <c r="O22" s="111"/>
      <c r="P22" s="70">
        <f t="shared" si="0"/>
        <v>0.21000000000000002</v>
      </c>
      <c r="Q22" s="70"/>
      <c r="R22" s="59" t="s">
        <v>366</v>
      </c>
      <c r="S22" s="57"/>
      <c r="T22" s="57"/>
      <c r="U22" s="57"/>
      <c r="V22" s="57"/>
      <c r="W22" s="57"/>
      <c r="X22" s="57"/>
      <c r="Y22" s="57"/>
      <c r="Z22" s="57"/>
      <c r="AA22" s="57"/>
      <c r="AB22" s="57"/>
      <c r="AC22" s="57"/>
      <c r="AD22" s="57"/>
      <c r="AE22" s="57"/>
      <c r="AF22" s="57"/>
      <c r="AG22" s="57"/>
      <c r="AH22" s="57"/>
      <c r="AI22" s="57"/>
      <c r="AJ22" s="57"/>
      <c r="AK22" s="57"/>
      <c r="AL22" s="57"/>
    </row>
    <row r="23" spans="1:38">
      <c r="A23" s="109" t="s">
        <v>248</v>
      </c>
      <c r="B23" s="111">
        <v>0.74</v>
      </c>
      <c r="C23" s="111"/>
      <c r="D23" s="111">
        <v>0.39</v>
      </c>
      <c r="E23" s="111"/>
      <c r="F23" s="111"/>
      <c r="G23" s="111"/>
      <c r="H23" s="111"/>
      <c r="I23" s="111"/>
      <c r="J23" s="111">
        <v>0.68</v>
      </c>
      <c r="K23" s="111"/>
      <c r="L23" s="111"/>
      <c r="M23" s="111"/>
      <c r="N23" s="111"/>
      <c r="O23" s="111"/>
      <c r="P23" s="70">
        <f t="shared" si="0"/>
        <v>1.81</v>
      </c>
      <c r="Q23" s="70"/>
      <c r="R23" s="57" t="s">
        <v>262</v>
      </c>
      <c r="S23" s="57" t="s">
        <v>26</v>
      </c>
      <c r="T23" s="57" t="s">
        <v>126</v>
      </c>
      <c r="U23" s="57" t="s">
        <v>75</v>
      </c>
      <c r="V23" s="57" t="s">
        <v>127</v>
      </c>
      <c r="W23" s="57" t="s">
        <v>128</v>
      </c>
      <c r="X23" s="57" t="s">
        <v>129</v>
      </c>
      <c r="Y23" s="57" t="s">
        <v>130</v>
      </c>
      <c r="Z23" s="57" t="s">
        <v>103</v>
      </c>
      <c r="AA23" s="57" t="s">
        <v>104</v>
      </c>
      <c r="AB23" s="57" t="s">
        <v>105</v>
      </c>
      <c r="AC23" s="57" t="s">
        <v>106</v>
      </c>
      <c r="AD23" s="57" t="s">
        <v>99</v>
      </c>
      <c r="AE23" s="57" t="s">
        <v>101</v>
      </c>
      <c r="AF23" s="57" t="s">
        <v>133</v>
      </c>
      <c r="AG23" s="57" t="s">
        <v>118</v>
      </c>
      <c r="AH23" s="57" t="s">
        <v>119</v>
      </c>
      <c r="AI23" s="57" t="s">
        <v>120</v>
      </c>
      <c r="AJ23" s="57" t="s">
        <v>135</v>
      </c>
      <c r="AK23" s="57" t="s">
        <v>136</v>
      </c>
      <c r="AL23" s="57" t="s">
        <v>137</v>
      </c>
    </row>
    <row r="24" spans="1:38">
      <c r="A24" s="109" t="s">
        <v>249</v>
      </c>
      <c r="B24" s="111"/>
      <c r="C24" s="111"/>
      <c r="D24" s="111"/>
      <c r="E24" s="111"/>
      <c r="F24" s="111">
        <v>3.34</v>
      </c>
      <c r="G24" s="111"/>
      <c r="H24" s="111"/>
      <c r="I24" s="111"/>
      <c r="J24" s="111"/>
      <c r="K24" s="111"/>
      <c r="L24" s="111"/>
      <c r="M24" s="111"/>
      <c r="N24" s="111"/>
      <c r="O24" s="111"/>
      <c r="P24" s="70">
        <f t="shared" si="0"/>
        <v>3.34</v>
      </c>
      <c r="Q24" s="70"/>
      <c r="R24" s="114" t="s">
        <v>139</v>
      </c>
      <c r="S24" s="222">
        <f t="shared" ref="S24:Y24" si="1">B6*1000</f>
        <v>299470</v>
      </c>
      <c r="T24" s="222">
        <f t="shared" si="1"/>
        <v>100400</v>
      </c>
      <c r="U24" s="222">
        <f t="shared" si="1"/>
        <v>54790</v>
      </c>
      <c r="V24" s="222">
        <f t="shared" si="1"/>
        <v>128949.99999999999</v>
      </c>
      <c r="W24" s="222">
        <f t="shared" si="1"/>
        <v>36740</v>
      </c>
      <c r="X24" s="222">
        <f t="shared" si="1"/>
        <v>59320</v>
      </c>
      <c r="Y24" s="222">
        <f t="shared" si="1"/>
        <v>23300</v>
      </c>
      <c r="Z24" s="113">
        <f>$I$6*U14/$Y$14*1000</f>
        <v>0</v>
      </c>
      <c r="AA24" s="113">
        <f>$I$6*V14/$Y$14*1000</f>
        <v>1208.1011915693161</v>
      </c>
      <c r="AB24" s="113">
        <f>$I$6*W14/$Y$14*1000</f>
        <v>17554.88799595719</v>
      </c>
      <c r="AC24" s="113">
        <f>$I$6*X14/$Y$14*1000</f>
        <v>7657.0108124734952</v>
      </c>
      <c r="AD24" s="113">
        <f>$J$6*Z14/$AB$14*1000</f>
        <v>6195.4816941224781</v>
      </c>
      <c r="AE24" s="113">
        <f>$J$6*AA14/$AB$14*1000</f>
        <v>15514.518305877522</v>
      </c>
      <c r="AF24" s="222">
        <f>K6*1000</f>
        <v>21270</v>
      </c>
      <c r="AG24" s="113">
        <f>$L$6*AC14/$AF$14*1000</f>
        <v>1562.5</v>
      </c>
      <c r="AH24" s="113">
        <f>$L$6*AD14/$AF$14*1000</f>
        <v>0</v>
      </c>
      <c r="AI24" s="113">
        <f>$L$6*AE14/$AF$14*1000</f>
        <v>4687.5</v>
      </c>
      <c r="AJ24" s="222">
        <f>M6*1000</f>
        <v>6540</v>
      </c>
      <c r="AK24" s="222">
        <f>N6*1000</f>
        <v>800</v>
      </c>
      <c r="AL24" s="222">
        <f>O6*1000</f>
        <v>2400</v>
      </c>
    </row>
    <row r="25" spans="1:38">
      <c r="A25" s="109" t="s">
        <v>250</v>
      </c>
      <c r="B25" s="111"/>
      <c r="C25" s="111"/>
      <c r="D25" s="111">
        <v>0.02</v>
      </c>
      <c r="E25" s="111"/>
      <c r="F25" s="111"/>
      <c r="G25" s="111"/>
      <c r="H25" s="111"/>
      <c r="I25" s="111"/>
      <c r="J25" s="111"/>
      <c r="K25" s="111"/>
      <c r="L25" s="111"/>
      <c r="M25" s="111"/>
      <c r="N25" s="111"/>
      <c r="O25" s="111"/>
      <c r="P25" s="70">
        <f t="shared" si="0"/>
        <v>0.02</v>
      </c>
      <c r="Q25" s="70"/>
      <c r="R25" s="114" t="s">
        <v>140</v>
      </c>
      <c r="S25" s="222">
        <f t="shared" ref="S25:Y26" si="2">B8*1000</f>
        <v>142000</v>
      </c>
      <c r="T25" s="222">
        <f t="shared" si="2"/>
        <v>50000</v>
      </c>
      <c r="U25" s="222">
        <f t="shared" si="2"/>
        <v>43480</v>
      </c>
      <c r="V25" s="222">
        <f t="shared" si="2"/>
        <v>75050</v>
      </c>
      <c r="W25" s="222">
        <f t="shared" si="2"/>
        <v>29500</v>
      </c>
      <c r="X25" s="222">
        <f t="shared" si="2"/>
        <v>12700</v>
      </c>
      <c r="Y25" s="222">
        <f t="shared" si="2"/>
        <v>8900</v>
      </c>
      <c r="Z25" s="113">
        <f>$I$8*U17/$Y$17*1000</f>
        <v>7018.4769305581794</v>
      </c>
      <c r="AA25" s="113">
        <f>$I$8*V17/$Y$17*1000</f>
        <v>12727.578281810482</v>
      </c>
      <c r="AB25" s="113">
        <f>$I$8*W17/$Y$17*1000</f>
        <v>5408.5475171000035</v>
      </c>
      <c r="AC25" s="113">
        <f>$I$8*X17/$Y$17*1000</f>
        <v>3095.3972705313349</v>
      </c>
      <c r="AD25" s="113">
        <f>$I$8*Z17/$AB$17*1000</f>
        <v>4639.3817913564608</v>
      </c>
      <c r="AE25" s="113">
        <f>$I$8*AA17/$AB$17*1000</f>
        <v>23610.61820864354</v>
      </c>
      <c r="AF25" s="222">
        <f>K8*1000</f>
        <v>46000</v>
      </c>
      <c r="AG25" s="113">
        <f>$L$8*AC17/$AF$17*1000</f>
        <v>2429.0722209751543</v>
      </c>
      <c r="AH25" s="113">
        <f>$L$8*AD17/$AF$17*1000</f>
        <v>1485.8409082853868</v>
      </c>
      <c r="AI25" s="113">
        <f>$L$8*AE17/$AF$17*1000</f>
        <v>2445.0868707394588</v>
      </c>
      <c r="AJ25" s="222">
        <f t="shared" ref="AJ25:AL26" si="3">M8*1000</f>
        <v>5210</v>
      </c>
      <c r="AK25" s="222">
        <f t="shared" si="3"/>
        <v>290</v>
      </c>
      <c r="AL25" s="222">
        <f t="shared" si="3"/>
        <v>860</v>
      </c>
    </row>
    <row r="26" spans="1:38">
      <c r="A26" s="109" t="s">
        <v>251</v>
      </c>
      <c r="B26" s="111"/>
      <c r="C26" s="111"/>
      <c r="D26" s="111"/>
      <c r="E26" s="111"/>
      <c r="F26" s="111"/>
      <c r="G26" s="111"/>
      <c r="H26" s="111"/>
      <c r="I26" s="111"/>
      <c r="J26" s="111"/>
      <c r="K26" s="111"/>
      <c r="L26" s="111"/>
      <c r="M26" s="111"/>
      <c r="N26" s="111"/>
      <c r="O26" s="111">
        <v>0.46</v>
      </c>
      <c r="P26" s="70">
        <f t="shared" si="0"/>
        <v>0.46</v>
      </c>
      <c r="Q26" s="70"/>
      <c r="R26" s="114" t="s">
        <v>141</v>
      </c>
      <c r="S26" s="222">
        <f t="shared" si="2"/>
        <v>50520</v>
      </c>
      <c r="T26" s="222">
        <f t="shared" si="2"/>
        <v>17980</v>
      </c>
      <c r="U26" s="222">
        <f t="shared" si="2"/>
        <v>75030</v>
      </c>
      <c r="V26" s="222">
        <f t="shared" si="2"/>
        <v>5040</v>
      </c>
      <c r="W26" s="222">
        <f t="shared" si="2"/>
        <v>10900</v>
      </c>
      <c r="X26" s="222">
        <f t="shared" si="2"/>
        <v>33300</v>
      </c>
      <c r="Y26" s="222">
        <f t="shared" si="2"/>
        <v>6860</v>
      </c>
      <c r="Z26" s="113">
        <f>$I$9*U19/$Y$19*1000</f>
        <v>0</v>
      </c>
      <c r="AA26" s="113">
        <f>$I$9*V19/$Y$19*1000</f>
        <v>1000</v>
      </c>
      <c r="AB26" s="113">
        <f>$I$9*W19/$Y$19*1000</f>
        <v>1400</v>
      </c>
      <c r="AC26" s="113">
        <f>$I$9*X19/$Y$19*1000</f>
        <v>4200</v>
      </c>
      <c r="AD26" s="113">
        <f>$J$9*Z19/$AB$19*1000</f>
        <v>6847.153565820272</v>
      </c>
      <c r="AE26" s="113">
        <f>$J$9*AA19/$AB$19*1000</f>
        <v>14392.846434179728</v>
      </c>
      <c r="AF26" s="222">
        <f>K9*1000</f>
        <v>3600</v>
      </c>
      <c r="AG26" s="113">
        <f>$L$9*AC19/$AF$19*1000</f>
        <v>0</v>
      </c>
      <c r="AH26" s="113">
        <f>$L$9*AD19/$AF$19*1000</f>
        <v>0</v>
      </c>
      <c r="AI26" s="113">
        <f>$L$9*AE19/$AF$19*1000</f>
        <v>6000</v>
      </c>
      <c r="AJ26" s="222">
        <f t="shared" si="3"/>
        <v>2100</v>
      </c>
      <c r="AK26" s="222">
        <f t="shared" si="3"/>
        <v>500</v>
      </c>
      <c r="AL26" s="222">
        <f t="shared" si="3"/>
        <v>1000</v>
      </c>
    </row>
    <row r="27" spans="1:38">
      <c r="A27" s="150" t="s">
        <v>252</v>
      </c>
      <c r="B27" s="151"/>
      <c r="C27" s="151"/>
      <c r="D27" s="151"/>
      <c r="E27" s="151"/>
      <c r="F27" s="151"/>
      <c r="G27" s="151"/>
      <c r="H27" s="151"/>
      <c r="I27" s="151"/>
      <c r="J27" s="151"/>
      <c r="K27" s="151"/>
      <c r="L27" s="151"/>
      <c r="M27" s="151"/>
      <c r="N27" s="151"/>
      <c r="O27" s="151"/>
      <c r="P27" s="70">
        <f t="shared" si="0"/>
        <v>0</v>
      </c>
      <c r="Q27" s="70"/>
      <c r="R27" s="114" t="s">
        <v>142</v>
      </c>
      <c r="S27" s="189">
        <f t="shared" ref="S27:Y27" si="4">B14*1000</f>
        <v>0</v>
      </c>
      <c r="T27" s="189">
        <f t="shared" si="4"/>
        <v>54700</v>
      </c>
      <c r="U27" s="189">
        <f t="shared" si="4"/>
        <v>4500</v>
      </c>
      <c r="V27" s="189">
        <f t="shared" si="4"/>
        <v>0</v>
      </c>
      <c r="W27" s="189">
        <f t="shared" si="4"/>
        <v>2220</v>
      </c>
      <c r="X27" s="189">
        <f t="shared" si="4"/>
        <v>240</v>
      </c>
      <c r="Y27" s="189">
        <f t="shared" si="4"/>
        <v>1040</v>
      </c>
      <c r="Z27" s="111"/>
      <c r="AA27" s="189"/>
      <c r="AB27" s="189">
        <f>I14*1000</f>
        <v>4800</v>
      </c>
      <c r="AC27" s="189"/>
      <c r="AD27" s="189"/>
      <c r="AE27" s="189"/>
      <c r="AF27" s="189">
        <f>K14*1000</f>
        <v>3250</v>
      </c>
      <c r="AG27" s="189"/>
      <c r="AH27" s="189"/>
      <c r="AI27" s="189"/>
      <c r="AJ27" s="189"/>
      <c r="AK27" s="189"/>
      <c r="AL27" s="189"/>
    </row>
    <row r="28" spans="1:38">
      <c r="A28" s="196" t="s">
        <v>243</v>
      </c>
      <c r="B28" s="171">
        <v>17.13</v>
      </c>
      <c r="C28" s="171">
        <v>0.78</v>
      </c>
      <c r="D28" s="171"/>
      <c r="E28" s="171"/>
      <c r="F28" s="171">
        <v>0.45</v>
      </c>
      <c r="G28" s="171">
        <v>5.79</v>
      </c>
      <c r="H28" s="171">
        <v>1.7</v>
      </c>
      <c r="I28" s="171"/>
      <c r="J28" s="171"/>
      <c r="K28" s="171"/>
      <c r="L28" s="171"/>
      <c r="M28" s="171"/>
      <c r="N28" s="171"/>
      <c r="O28" s="171"/>
      <c r="P28" s="70">
        <f t="shared" si="0"/>
        <v>25.849999999999998</v>
      </c>
      <c r="Q28" s="70"/>
    </row>
    <row r="29" spans="1:38">
      <c r="A29" s="197" t="s">
        <v>244</v>
      </c>
      <c r="B29" s="151"/>
      <c r="C29" s="151"/>
      <c r="D29" s="151"/>
      <c r="E29" s="151"/>
      <c r="F29" s="151"/>
      <c r="G29" s="151"/>
      <c r="H29" s="151"/>
      <c r="I29" s="151"/>
      <c r="J29" s="151"/>
      <c r="K29" s="151"/>
      <c r="L29" s="151"/>
      <c r="M29" s="151"/>
      <c r="N29" s="151"/>
      <c r="O29" s="151"/>
      <c r="P29" s="70">
        <f t="shared" si="0"/>
        <v>0</v>
      </c>
      <c r="Q29" s="70"/>
    </row>
    <row r="30" spans="1:38">
      <c r="A30" s="55" t="s">
        <v>35</v>
      </c>
      <c r="B30" s="70">
        <f t="shared" ref="B30:O30" si="5">SUM(B6:B29)</f>
        <v>539.55999999999995</v>
      </c>
      <c r="C30" s="70">
        <f t="shared" si="5"/>
        <v>256.23999999999995</v>
      </c>
      <c r="D30" s="70">
        <f t="shared" si="5"/>
        <v>206.90000000000003</v>
      </c>
      <c r="E30" s="70">
        <f t="shared" si="5"/>
        <v>251.27999999999994</v>
      </c>
      <c r="F30" s="70">
        <f t="shared" si="5"/>
        <v>106.45000000000003</v>
      </c>
      <c r="G30" s="70">
        <f t="shared" si="5"/>
        <v>118.21000000000001</v>
      </c>
      <c r="H30" s="70">
        <f t="shared" si="5"/>
        <v>48.230000000000004</v>
      </c>
      <c r="I30" s="70">
        <f t="shared" si="5"/>
        <v>85.97999999999999</v>
      </c>
      <c r="J30" s="70">
        <f t="shared" si="5"/>
        <v>58.97</v>
      </c>
      <c r="K30" s="70">
        <f t="shared" si="5"/>
        <v>81.91</v>
      </c>
      <c r="L30" s="70">
        <f t="shared" si="5"/>
        <v>56.019999999999996</v>
      </c>
      <c r="M30" s="70">
        <f t="shared" si="5"/>
        <v>14.700000000000001</v>
      </c>
      <c r="N30" s="70">
        <f t="shared" si="5"/>
        <v>4.49</v>
      </c>
      <c r="O30" s="70">
        <f t="shared" si="5"/>
        <v>4.8899999999999997</v>
      </c>
      <c r="P30" s="70">
        <f t="shared" si="0"/>
        <v>1833.8300000000004</v>
      </c>
      <c r="Q30" s="70"/>
    </row>
    <row r="31" spans="1:38">
      <c r="A31" s="55"/>
      <c r="B31" s="70"/>
      <c r="C31" s="70"/>
      <c r="D31" s="70"/>
      <c r="E31" s="70"/>
      <c r="F31" s="70"/>
      <c r="G31" s="70"/>
      <c r="H31" s="70"/>
      <c r="I31" s="70"/>
      <c r="J31" s="70"/>
      <c r="K31" s="70"/>
      <c r="L31" s="70"/>
      <c r="M31" s="70"/>
      <c r="N31" s="70"/>
      <c r="O31" s="70"/>
      <c r="P31" s="70"/>
      <c r="Q31" s="70"/>
    </row>
    <row r="32" spans="1:38">
      <c r="A32" s="56" t="s">
        <v>423</v>
      </c>
      <c r="B32" s="99" t="s">
        <v>402</v>
      </c>
      <c r="C32" s="100"/>
      <c r="D32" s="100"/>
      <c r="E32" s="100"/>
      <c r="F32" s="100"/>
      <c r="G32" s="100"/>
      <c r="H32" s="100"/>
      <c r="I32" s="101"/>
      <c r="J32" s="101"/>
      <c r="K32" s="101"/>
      <c r="L32" s="101"/>
      <c r="M32" s="101"/>
      <c r="N32" s="101"/>
      <c r="O32" s="101"/>
      <c r="P32" s="101"/>
      <c r="Q32" s="101"/>
      <c r="R32" s="101"/>
      <c r="S32" s="101"/>
      <c r="T32" s="101"/>
      <c r="U32" s="101"/>
      <c r="V32" s="105"/>
    </row>
    <row r="33" spans="1:23">
      <c r="A33" s="102" t="s">
        <v>262</v>
      </c>
      <c r="B33" s="152" t="s">
        <v>107</v>
      </c>
      <c r="C33" s="103" t="s">
        <v>109</v>
      </c>
      <c r="D33" s="104" t="s">
        <v>110</v>
      </c>
      <c r="E33" s="103" t="s">
        <v>112</v>
      </c>
      <c r="F33" s="104" t="s">
        <v>113</v>
      </c>
      <c r="G33" s="104" t="s">
        <v>114</v>
      </c>
      <c r="H33" s="104" t="s">
        <v>115</v>
      </c>
      <c r="I33" s="104" t="s">
        <v>103</v>
      </c>
      <c r="J33" s="104" t="s">
        <v>104</v>
      </c>
      <c r="K33" s="104" t="s">
        <v>105</v>
      </c>
      <c r="L33" s="104" t="s">
        <v>106</v>
      </c>
      <c r="M33" s="103" t="s">
        <v>99</v>
      </c>
      <c r="N33" s="103" t="s">
        <v>101</v>
      </c>
      <c r="O33" s="103" t="s">
        <v>117</v>
      </c>
      <c r="P33" s="104" t="s">
        <v>118</v>
      </c>
      <c r="Q33" s="104" t="s">
        <v>119</v>
      </c>
      <c r="R33" s="104" t="s">
        <v>120</v>
      </c>
      <c r="S33" s="103" t="s">
        <v>121</v>
      </c>
      <c r="T33" s="104" t="s">
        <v>122</v>
      </c>
      <c r="U33" s="103" t="s">
        <v>123</v>
      </c>
      <c r="V33" s="106"/>
    </row>
    <row r="34" spans="1:23">
      <c r="A34" s="116" t="s">
        <v>367</v>
      </c>
      <c r="B34" s="117">
        <v>299473</v>
      </c>
      <c r="C34" s="117">
        <v>100500</v>
      </c>
      <c r="D34" s="117">
        <v>54784</v>
      </c>
      <c r="E34" s="117">
        <v>128949</v>
      </c>
      <c r="F34" s="117">
        <v>36740</v>
      </c>
      <c r="G34" s="117">
        <v>59317</v>
      </c>
      <c r="H34" s="117">
        <v>23300</v>
      </c>
      <c r="I34" s="118">
        <v>0</v>
      </c>
      <c r="J34" s="118">
        <v>3000</v>
      </c>
      <c r="K34" s="118">
        <v>16525</v>
      </c>
      <c r="L34" s="118">
        <v>0</v>
      </c>
      <c r="M34" s="117">
        <v>5748</v>
      </c>
      <c r="N34" s="117">
        <v>15961</v>
      </c>
      <c r="O34" s="117">
        <v>21265</v>
      </c>
      <c r="P34" s="117">
        <v>1000</v>
      </c>
      <c r="Q34" s="117">
        <v>0</v>
      </c>
      <c r="R34" s="117">
        <v>5250</v>
      </c>
      <c r="S34" s="117">
        <v>6537</v>
      </c>
      <c r="T34" s="117">
        <v>800</v>
      </c>
      <c r="U34" s="117">
        <v>2400</v>
      </c>
      <c r="V34" s="107">
        <f>SUM(B34:U34)</f>
        <v>781549</v>
      </c>
    </row>
    <row r="35" spans="1:23">
      <c r="A35" s="116" t="s">
        <v>368</v>
      </c>
      <c r="B35" s="117">
        <v>0</v>
      </c>
      <c r="C35" s="117">
        <v>0</v>
      </c>
      <c r="D35" s="117">
        <v>0</v>
      </c>
      <c r="E35" s="117">
        <v>5157</v>
      </c>
      <c r="F35" s="117">
        <v>0</v>
      </c>
      <c r="G35" s="117">
        <v>0</v>
      </c>
      <c r="H35" s="117">
        <v>0</v>
      </c>
      <c r="I35" s="117">
        <v>0</v>
      </c>
      <c r="J35" s="117">
        <v>0</v>
      </c>
      <c r="K35" s="117">
        <v>0</v>
      </c>
      <c r="L35" s="117">
        <v>0</v>
      </c>
      <c r="M35" s="117">
        <v>0</v>
      </c>
      <c r="N35" s="117">
        <v>0</v>
      </c>
      <c r="O35" s="117">
        <v>0</v>
      </c>
      <c r="P35" s="117">
        <v>0</v>
      </c>
      <c r="Q35" s="117">
        <v>0</v>
      </c>
      <c r="R35" s="117">
        <v>0</v>
      </c>
      <c r="S35" s="117">
        <v>0</v>
      </c>
      <c r="T35" s="117">
        <v>70</v>
      </c>
      <c r="U35" s="117">
        <v>0</v>
      </c>
      <c r="V35" s="108">
        <v>5227</v>
      </c>
    </row>
    <row r="36" spans="1:23">
      <c r="A36" s="116" t="s">
        <v>140</v>
      </c>
      <c r="B36" s="118">
        <v>141750</v>
      </c>
      <c r="C36" s="117">
        <v>50000</v>
      </c>
      <c r="D36" s="117">
        <v>43478</v>
      </c>
      <c r="E36" s="117">
        <v>75050</v>
      </c>
      <c r="F36" s="117">
        <v>29500</v>
      </c>
      <c r="G36" s="117">
        <v>12700</v>
      </c>
      <c r="H36" s="117">
        <v>8900</v>
      </c>
      <c r="I36" s="117">
        <v>5450</v>
      </c>
      <c r="J36" s="117">
        <v>12850</v>
      </c>
      <c r="K36" s="117">
        <v>6700</v>
      </c>
      <c r="L36" s="117">
        <v>3250</v>
      </c>
      <c r="M36" s="117">
        <v>1995</v>
      </c>
      <c r="N36" s="117">
        <v>10504</v>
      </c>
      <c r="O36" s="117">
        <v>46000</v>
      </c>
      <c r="P36" s="117">
        <v>2425</v>
      </c>
      <c r="Q36" s="117">
        <v>1483</v>
      </c>
      <c r="R36" s="117">
        <v>2451</v>
      </c>
      <c r="S36" s="117">
        <v>5215</v>
      </c>
      <c r="T36" s="117">
        <v>295</v>
      </c>
      <c r="U36" s="117">
        <v>861</v>
      </c>
      <c r="V36" s="108">
        <v>460857</v>
      </c>
    </row>
    <row r="37" spans="1:23">
      <c r="A37" s="214" t="s">
        <v>141</v>
      </c>
      <c r="B37" s="215">
        <v>21185</v>
      </c>
      <c r="C37" s="215">
        <v>15812</v>
      </c>
      <c r="D37" s="215">
        <v>47412</v>
      </c>
      <c r="E37" s="215">
        <v>4364</v>
      </c>
      <c r="F37" s="215">
        <v>9380</v>
      </c>
      <c r="G37" s="215">
        <v>23650</v>
      </c>
      <c r="H37" s="170">
        <v>6860</v>
      </c>
      <c r="I37" s="170">
        <v>0</v>
      </c>
      <c r="J37" s="170">
        <v>1000</v>
      </c>
      <c r="K37" s="170">
        <v>1400</v>
      </c>
      <c r="L37" s="170">
        <v>4200</v>
      </c>
      <c r="M37" s="215">
        <v>4007</v>
      </c>
      <c r="N37" s="215">
        <v>8235</v>
      </c>
      <c r="O37" s="170">
        <v>3600</v>
      </c>
      <c r="P37" s="215">
        <v>0</v>
      </c>
      <c r="Q37" s="215">
        <v>0</v>
      </c>
      <c r="R37" s="215">
        <v>1759</v>
      </c>
      <c r="S37" s="170">
        <v>2100</v>
      </c>
      <c r="T37" s="170">
        <v>500</v>
      </c>
      <c r="U37" s="215">
        <v>0</v>
      </c>
      <c r="V37" s="107">
        <v>155464</v>
      </c>
    </row>
    <row r="38" spans="1:23">
      <c r="A38" s="119" t="s">
        <v>373</v>
      </c>
      <c r="B38" s="117">
        <v>819</v>
      </c>
      <c r="C38" s="117">
        <v>9847</v>
      </c>
      <c r="D38" s="117">
        <v>0</v>
      </c>
      <c r="E38" s="117">
        <v>11414</v>
      </c>
      <c r="F38" s="117">
        <v>427</v>
      </c>
      <c r="G38" s="117">
        <v>0</v>
      </c>
      <c r="H38" s="117">
        <v>0</v>
      </c>
      <c r="I38" s="117">
        <v>5444</v>
      </c>
      <c r="J38" s="117">
        <v>7650</v>
      </c>
      <c r="K38" s="117">
        <v>2286</v>
      </c>
      <c r="L38" s="117">
        <v>237</v>
      </c>
      <c r="M38" s="117">
        <v>0</v>
      </c>
      <c r="N38" s="117">
        <v>0</v>
      </c>
      <c r="O38" s="117">
        <v>3237</v>
      </c>
      <c r="P38" s="117">
        <v>3249</v>
      </c>
      <c r="Q38" s="117">
        <v>4795</v>
      </c>
      <c r="R38" s="117">
        <v>21697</v>
      </c>
      <c r="S38" s="117">
        <v>0</v>
      </c>
      <c r="T38" s="117">
        <v>0</v>
      </c>
      <c r="U38" s="117">
        <v>0</v>
      </c>
      <c r="V38" s="108">
        <v>71102</v>
      </c>
    </row>
    <row r="39" spans="1:23">
      <c r="A39" s="116" t="s">
        <v>374</v>
      </c>
      <c r="B39" s="117">
        <v>0</v>
      </c>
      <c r="C39" s="117">
        <v>0</v>
      </c>
      <c r="D39" s="117">
        <v>0</v>
      </c>
      <c r="E39" s="117">
        <v>0</v>
      </c>
      <c r="F39" s="117">
        <v>0</v>
      </c>
      <c r="G39" s="117">
        <v>0</v>
      </c>
      <c r="H39" s="117">
        <v>0</v>
      </c>
      <c r="I39" s="117">
        <v>0</v>
      </c>
      <c r="J39" s="117">
        <v>0</v>
      </c>
      <c r="K39" s="117">
        <v>0</v>
      </c>
      <c r="L39" s="117">
        <v>0</v>
      </c>
      <c r="M39" s="117">
        <v>0</v>
      </c>
      <c r="N39" s="117">
        <v>0</v>
      </c>
      <c r="O39" s="117">
        <v>0</v>
      </c>
      <c r="P39" s="117">
        <v>0</v>
      </c>
      <c r="Q39" s="117">
        <v>0</v>
      </c>
      <c r="R39" s="117">
        <v>0</v>
      </c>
      <c r="S39" s="117">
        <v>0</v>
      </c>
      <c r="T39" s="117">
        <v>1592</v>
      </c>
      <c r="U39" s="117">
        <v>0</v>
      </c>
      <c r="V39" s="108">
        <v>1592</v>
      </c>
    </row>
    <row r="40" spans="1:23">
      <c r="A40" s="145" t="s">
        <v>375</v>
      </c>
      <c r="B40" s="123">
        <v>3934</v>
      </c>
      <c r="C40" s="123">
        <v>13600</v>
      </c>
      <c r="D40" s="123">
        <v>2307</v>
      </c>
      <c r="E40" s="123">
        <v>3425</v>
      </c>
      <c r="F40" s="123">
        <v>367</v>
      </c>
      <c r="G40" s="123">
        <v>37</v>
      </c>
      <c r="H40" s="123">
        <v>162</v>
      </c>
      <c r="I40" s="123">
        <v>0</v>
      </c>
      <c r="J40" s="123">
        <v>0</v>
      </c>
      <c r="K40" s="123">
        <v>0</v>
      </c>
      <c r="L40" s="123">
        <v>0</v>
      </c>
      <c r="M40" s="123">
        <v>0</v>
      </c>
      <c r="N40" s="123">
        <v>0</v>
      </c>
      <c r="O40" s="123">
        <v>0</v>
      </c>
      <c r="P40" s="123">
        <v>1213</v>
      </c>
      <c r="Q40" s="123">
        <v>755</v>
      </c>
      <c r="R40" s="123">
        <v>5698</v>
      </c>
      <c r="S40" s="123">
        <v>126</v>
      </c>
      <c r="T40" s="123">
        <v>0</v>
      </c>
      <c r="U40" s="123">
        <v>0</v>
      </c>
      <c r="V40" s="108">
        <v>31624</v>
      </c>
      <c r="W40" s="72"/>
    </row>
    <row r="41" spans="1:23">
      <c r="A41" s="120" t="s">
        <v>369</v>
      </c>
      <c r="B41" s="117">
        <v>2144</v>
      </c>
      <c r="C41" s="117">
        <v>2068</v>
      </c>
      <c r="D41" s="117">
        <v>0</v>
      </c>
      <c r="E41" s="117">
        <v>4223</v>
      </c>
      <c r="F41" s="117">
        <v>216</v>
      </c>
      <c r="G41" s="117">
        <v>0</v>
      </c>
      <c r="H41" s="117">
        <v>0</v>
      </c>
      <c r="I41" s="117">
        <v>0</v>
      </c>
      <c r="J41" s="117">
        <v>0</v>
      </c>
      <c r="K41" s="117">
        <v>0</v>
      </c>
      <c r="L41" s="117">
        <v>0</v>
      </c>
      <c r="M41" s="117">
        <v>0</v>
      </c>
      <c r="N41" s="117">
        <v>0</v>
      </c>
      <c r="O41" s="117">
        <v>0</v>
      </c>
      <c r="P41" s="117">
        <v>60</v>
      </c>
      <c r="Q41" s="117">
        <v>2</v>
      </c>
      <c r="R41" s="117">
        <v>650</v>
      </c>
      <c r="S41" s="117">
        <v>0</v>
      </c>
      <c r="T41" s="117">
        <v>0</v>
      </c>
      <c r="U41" s="117">
        <v>0</v>
      </c>
      <c r="V41" s="108">
        <v>9363</v>
      </c>
      <c r="W41" s="70"/>
    </row>
    <row r="42" spans="1:23">
      <c r="A42" s="120" t="s">
        <v>370</v>
      </c>
      <c r="B42" s="117">
        <v>1861</v>
      </c>
      <c r="C42" s="117">
        <v>2068</v>
      </c>
      <c r="D42" s="117">
        <v>0</v>
      </c>
      <c r="E42" s="117">
        <v>3964</v>
      </c>
      <c r="F42" s="117">
        <v>172</v>
      </c>
      <c r="G42" s="199">
        <v>0</v>
      </c>
      <c r="H42" s="199">
        <v>0</v>
      </c>
      <c r="I42" s="199">
        <v>0</v>
      </c>
      <c r="J42" s="199">
        <v>0</v>
      </c>
      <c r="K42" s="199">
        <v>0</v>
      </c>
      <c r="L42" s="199">
        <v>0</v>
      </c>
      <c r="M42" s="199">
        <v>0</v>
      </c>
      <c r="N42" s="199">
        <v>0</v>
      </c>
      <c r="O42" s="199">
        <v>0</v>
      </c>
      <c r="P42" s="332">
        <v>76</v>
      </c>
      <c r="Q42" s="332">
        <v>2</v>
      </c>
      <c r="R42" s="332">
        <v>682</v>
      </c>
      <c r="S42" s="117">
        <v>0</v>
      </c>
      <c r="T42" s="117">
        <v>0</v>
      </c>
      <c r="U42" s="117">
        <v>0</v>
      </c>
      <c r="V42" s="108">
        <v>8825</v>
      </c>
      <c r="W42" s="70"/>
    </row>
    <row r="43" spans="1:23">
      <c r="A43" s="120" t="s">
        <v>371</v>
      </c>
      <c r="B43" s="117">
        <v>7230</v>
      </c>
      <c r="C43" s="117">
        <v>2179</v>
      </c>
      <c r="D43" s="117">
        <v>2744</v>
      </c>
      <c r="E43" s="117">
        <v>6908</v>
      </c>
      <c r="F43" s="117">
        <v>1333</v>
      </c>
      <c r="G43" s="117">
        <v>0</v>
      </c>
      <c r="H43" s="117">
        <v>1305</v>
      </c>
      <c r="I43" s="117">
        <v>0</v>
      </c>
      <c r="J43" s="117">
        <v>0</v>
      </c>
      <c r="K43" s="117">
        <v>0</v>
      </c>
      <c r="L43" s="117">
        <v>0</v>
      </c>
      <c r="M43" s="117">
        <v>0</v>
      </c>
      <c r="N43" s="117">
        <v>0</v>
      </c>
      <c r="O43" s="117">
        <v>0</v>
      </c>
      <c r="P43" s="117">
        <v>0</v>
      </c>
      <c r="Q43" s="117">
        <v>0</v>
      </c>
      <c r="R43" s="117">
        <v>0</v>
      </c>
      <c r="S43" s="117">
        <v>938</v>
      </c>
      <c r="T43" s="117">
        <v>0</v>
      </c>
      <c r="U43" s="117">
        <v>0</v>
      </c>
      <c r="V43" s="108">
        <v>22637</v>
      </c>
      <c r="W43" s="72"/>
    </row>
    <row r="44" spans="1:23">
      <c r="A44" s="216" t="s">
        <v>372</v>
      </c>
      <c r="B44" s="170">
        <v>7362</v>
      </c>
      <c r="C44" s="170">
        <v>2179</v>
      </c>
      <c r="D44" s="170">
        <v>2684</v>
      </c>
      <c r="E44" s="170">
        <v>6759</v>
      </c>
      <c r="F44" s="170">
        <v>1486</v>
      </c>
      <c r="G44" s="170">
        <v>0</v>
      </c>
      <c r="H44" s="170">
        <v>1227</v>
      </c>
      <c r="I44" s="170">
        <v>0</v>
      </c>
      <c r="J44" s="170">
        <v>0</v>
      </c>
      <c r="K44" s="170">
        <v>0</v>
      </c>
      <c r="L44" s="170">
        <v>0</v>
      </c>
      <c r="M44" s="170">
        <v>0</v>
      </c>
      <c r="N44" s="170">
        <v>0</v>
      </c>
      <c r="O44" s="170">
        <v>0</v>
      </c>
      <c r="P44" s="170">
        <v>0</v>
      </c>
      <c r="Q44" s="170">
        <v>0</v>
      </c>
      <c r="R44" s="170">
        <v>0</v>
      </c>
      <c r="S44" s="170">
        <v>900</v>
      </c>
      <c r="T44" s="170">
        <v>0</v>
      </c>
      <c r="U44" s="170">
        <v>0</v>
      </c>
      <c r="V44" s="108">
        <v>22597</v>
      </c>
      <c r="W44" s="70"/>
    </row>
    <row r="45" spans="1:23">
      <c r="A45" s="120" t="s">
        <v>250</v>
      </c>
      <c r="B45" s="121">
        <v>0</v>
      </c>
      <c r="C45" s="121">
        <v>0</v>
      </c>
      <c r="D45" s="117">
        <v>18</v>
      </c>
      <c r="E45" s="121">
        <v>0</v>
      </c>
      <c r="F45" s="121">
        <v>0</v>
      </c>
      <c r="G45" s="121">
        <v>0</v>
      </c>
      <c r="H45" s="121">
        <v>0</v>
      </c>
      <c r="I45" s="121">
        <v>0</v>
      </c>
      <c r="J45" s="121">
        <v>0</v>
      </c>
      <c r="K45" s="121">
        <v>0</v>
      </c>
      <c r="L45" s="121">
        <v>0</v>
      </c>
      <c r="M45" s="121">
        <v>0</v>
      </c>
      <c r="N45" s="121">
        <v>0</v>
      </c>
      <c r="O45" s="121">
        <v>0</v>
      </c>
      <c r="P45" s="121">
        <v>0</v>
      </c>
      <c r="Q45" s="121">
        <v>0</v>
      </c>
      <c r="R45" s="121">
        <v>0</v>
      </c>
      <c r="S45" s="121">
        <v>0</v>
      </c>
      <c r="T45" s="121">
        <v>0</v>
      </c>
      <c r="U45" s="121">
        <v>0</v>
      </c>
      <c r="V45" s="108">
        <v>18</v>
      </c>
    </row>
    <row r="46" spans="1:23">
      <c r="A46" s="120" t="s">
        <v>376</v>
      </c>
      <c r="B46" s="121">
        <v>0</v>
      </c>
      <c r="C46" s="121">
        <v>0</v>
      </c>
      <c r="D46" s="121">
        <v>0</v>
      </c>
      <c r="E46" s="121">
        <v>0</v>
      </c>
      <c r="F46" s="332">
        <v>3213</v>
      </c>
      <c r="G46" s="332">
        <v>0</v>
      </c>
      <c r="H46" s="332">
        <v>354</v>
      </c>
      <c r="I46" s="332">
        <v>0</v>
      </c>
      <c r="J46" s="332">
        <v>0</v>
      </c>
      <c r="K46" s="332">
        <v>0</v>
      </c>
      <c r="L46" s="332">
        <v>0</v>
      </c>
      <c r="M46" s="332">
        <v>831</v>
      </c>
      <c r="N46" s="332">
        <v>411</v>
      </c>
      <c r="O46" s="332">
        <v>928</v>
      </c>
      <c r="P46" s="332">
        <v>0</v>
      </c>
      <c r="Q46" s="332">
        <v>0</v>
      </c>
      <c r="R46" s="332">
        <v>0</v>
      </c>
      <c r="S46" s="332">
        <v>0</v>
      </c>
      <c r="T46" s="332">
        <v>0</v>
      </c>
      <c r="U46" s="332">
        <v>0</v>
      </c>
      <c r="V46" s="108">
        <v>5737</v>
      </c>
      <c r="W46" s="70"/>
    </row>
    <row r="47" spans="1:23">
      <c r="A47" s="120" t="s">
        <v>378</v>
      </c>
      <c r="B47" s="121">
        <v>0</v>
      </c>
      <c r="C47" s="121">
        <v>0</v>
      </c>
      <c r="D47" s="121">
        <v>0</v>
      </c>
      <c r="E47" s="121">
        <v>0</v>
      </c>
      <c r="F47" s="332">
        <v>0</v>
      </c>
      <c r="G47" s="332">
        <v>0</v>
      </c>
      <c r="H47" s="332">
        <v>0</v>
      </c>
      <c r="I47" s="332">
        <v>0</v>
      </c>
      <c r="J47" s="332">
        <v>0</v>
      </c>
      <c r="K47" s="332">
        <v>0</v>
      </c>
      <c r="L47" s="332">
        <v>0</v>
      </c>
      <c r="M47" s="332">
        <v>0</v>
      </c>
      <c r="N47" s="332">
        <v>0</v>
      </c>
      <c r="O47" s="332">
        <v>0</v>
      </c>
      <c r="P47" s="332">
        <v>0</v>
      </c>
      <c r="Q47" s="332">
        <v>0</v>
      </c>
      <c r="R47" s="332">
        <v>0</v>
      </c>
      <c r="S47" s="332">
        <v>0</v>
      </c>
      <c r="T47" s="332">
        <v>0</v>
      </c>
      <c r="U47" s="332">
        <v>464</v>
      </c>
      <c r="V47" s="108">
        <v>464</v>
      </c>
      <c r="W47" s="72"/>
    </row>
    <row r="48" spans="1:23">
      <c r="A48" s="221" t="s">
        <v>377</v>
      </c>
      <c r="B48" s="117">
        <v>0</v>
      </c>
      <c r="C48" s="117">
        <v>0</v>
      </c>
      <c r="D48" s="117">
        <v>0</v>
      </c>
      <c r="E48" s="117">
        <v>0</v>
      </c>
      <c r="F48" s="117">
        <v>0</v>
      </c>
      <c r="G48" s="117">
        <v>0</v>
      </c>
      <c r="H48" s="117">
        <v>0</v>
      </c>
      <c r="I48" s="117">
        <v>0</v>
      </c>
      <c r="J48" s="117">
        <v>0</v>
      </c>
      <c r="K48" s="117">
        <v>0</v>
      </c>
      <c r="L48" s="117">
        <v>0</v>
      </c>
      <c r="M48" s="117">
        <v>217</v>
      </c>
      <c r="N48" s="117">
        <v>474</v>
      </c>
      <c r="O48" s="117">
        <v>0</v>
      </c>
      <c r="P48" s="117">
        <v>0</v>
      </c>
      <c r="Q48" s="117">
        <v>0</v>
      </c>
      <c r="R48" s="117">
        <v>0</v>
      </c>
      <c r="S48" s="117">
        <v>0</v>
      </c>
      <c r="T48" s="117">
        <v>0</v>
      </c>
      <c r="U48" s="117">
        <v>0</v>
      </c>
      <c r="V48" s="108">
        <v>691</v>
      </c>
      <c r="W48" s="70"/>
    </row>
    <row r="49" spans="1:23">
      <c r="A49" s="146" t="s">
        <v>379</v>
      </c>
      <c r="B49" s="333">
        <v>8564</v>
      </c>
      <c r="C49" s="333">
        <v>2415</v>
      </c>
      <c r="D49" s="333">
        <v>3053</v>
      </c>
      <c r="E49" s="333">
        <v>1730</v>
      </c>
      <c r="F49" s="333">
        <v>2183</v>
      </c>
      <c r="G49" s="333">
        <v>415</v>
      </c>
      <c r="H49" s="333">
        <v>615</v>
      </c>
      <c r="I49" s="333">
        <v>199</v>
      </c>
      <c r="J49" s="333">
        <v>744</v>
      </c>
      <c r="K49" s="333">
        <v>2554</v>
      </c>
      <c r="L49" s="333">
        <v>698</v>
      </c>
      <c r="M49" s="333">
        <v>0</v>
      </c>
      <c r="N49" s="333">
        <v>7</v>
      </c>
      <c r="O49" s="333">
        <v>2625</v>
      </c>
      <c r="P49" s="333">
        <v>0</v>
      </c>
      <c r="Q49" s="333">
        <v>0</v>
      </c>
      <c r="R49" s="333">
        <v>0</v>
      </c>
      <c r="S49" s="333">
        <v>210</v>
      </c>
      <c r="T49" s="333">
        <v>159</v>
      </c>
      <c r="U49" s="333">
        <v>168</v>
      </c>
      <c r="V49" s="108">
        <v>26339</v>
      </c>
    </row>
    <row r="50" spans="1:23">
      <c r="A50" s="153" t="s">
        <v>142</v>
      </c>
      <c r="B50" s="334">
        <v>0</v>
      </c>
      <c r="C50" s="334">
        <v>54700</v>
      </c>
      <c r="D50" s="334">
        <v>4500</v>
      </c>
      <c r="E50" s="334">
        <v>0</v>
      </c>
      <c r="F50" s="334">
        <v>2220</v>
      </c>
      <c r="G50" s="334">
        <v>243</v>
      </c>
      <c r="H50" s="334">
        <v>1038</v>
      </c>
      <c r="I50" s="334">
        <v>0</v>
      </c>
      <c r="J50" s="334">
        <v>0</v>
      </c>
      <c r="K50" s="334">
        <v>4800</v>
      </c>
      <c r="L50" s="334">
        <v>0</v>
      </c>
      <c r="M50" s="334">
        <v>0</v>
      </c>
      <c r="N50" s="334">
        <v>0</v>
      </c>
      <c r="O50" s="334">
        <v>3250</v>
      </c>
      <c r="P50" s="334">
        <v>0</v>
      </c>
      <c r="Q50" s="334">
        <v>0</v>
      </c>
      <c r="R50" s="334">
        <v>0</v>
      </c>
      <c r="S50" s="334">
        <v>0</v>
      </c>
      <c r="T50" s="334">
        <v>0</v>
      </c>
      <c r="U50" s="334">
        <v>0</v>
      </c>
      <c r="V50" s="108">
        <v>70751</v>
      </c>
      <c r="W50" s="70"/>
    </row>
    <row r="51" spans="1:23">
      <c r="A51" s="116" t="s">
        <v>380</v>
      </c>
      <c r="B51" s="335">
        <v>0</v>
      </c>
      <c r="C51" s="335">
        <v>0</v>
      </c>
      <c r="D51" s="335">
        <v>0</v>
      </c>
      <c r="E51" s="335">
        <v>0</v>
      </c>
      <c r="F51" s="335">
        <v>1873</v>
      </c>
      <c r="G51" s="335">
        <v>0</v>
      </c>
      <c r="H51" s="335">
        <v>0</v>
      </c>
      <c r="I51" s="335">
        <v>0</v>
      </c>
      <c r="J51" s="335">
        <v>0</v>
      </c>
      <c r="K51" s="335">
        <v>0</v>
      </c>
      <c r="L51" s="335">
        <v>0</v>
      </c>
      <c r="M51" s="335">
        <v>0</v>
      </c>
      <c r="N51" s="335">
        <v>0</v>
      </c>
      <c r="O51" s="335">
        <v>0</v>
      </c>
      <c r="P51" s="335">
        <v>0</v>
      </c>
      <c r="Q51" s="335">
        <v>0</v>
      </c>
      <c r="R51" s="335">
        <v>0</v>
      </c>
      <c r="S51" s="335">
        <v>0</v>
      </c>
      <c r="T51" s="335">
        <v>0</v>
      </c>
      <c r="U51" s="335">
        <v>0</v>
      </c>
      <c r="V51" s="108">
        <v>1873</v>
      </c>
      <c r="W51" s="70"/>
    </row>
    <row r="52" spans="1:23">
      <c r="A52" s="122" t="s">
        <v>381</v>
      </c>
      <c r="B52" s="333">
        <v>0</v>
      </c>
      <c r="C52" s="333">
        <v>0</v>
      </c>
      <c r="D52" s="333">
        <v>0</v>
      </c>
      <c r="E52" s="333">
        <v>0</v>
      </c>
      <c r="F52" s="333">
        <v>1464</v>
      </c>
      <c r="G52" s="333">
        <v>0</v>
      </c>
      <c r="H52" s="333">
        <v>0</v>
      </c>
      <c r="I52" s="333">
        <v>0</v>
      </c>
      <c r="J52" s="333">
        <v>0</v>
      </c>
      <c r="K52" s="333">
        <v>0</v>
      </c>
      <c r="L52" s="333">
        <v>0</v>
      </c>
      <c r="M52" s="333">
        <v>0</v>
      </c>
      <c r="N52" s="333">
        <v>0</v>
      </c>
      <c r="O52" s="333">
        <v>0</v>
      </c>
      <c r="P52" s="333">
        <v>0</v>
      </c>
      <c r="Q52" s="333">
        <v>0</v>
      </c>
      <c r="R52" s="333">
        <v>0</v>
      </c>
      <c r="S52" s="333">
        <v>0</v>
      </c>
      <c r="T52" s="333">
        <v>0</v>
      </c>
      <c r="U52" s="333">
        <v>0</v>
      </c>
      <c r="V52" s="108">
        <v>1464</v>
      </c>
      <c r="W52" s="70"/>
    </row>
    <row r="53" spans="1:23">
      <c r="A53" s="116" t="s">
        <v>382</v>
      </c>
      <c r="B53" s="335">
        <v>0</v>
      </c>
      <c r="C53" s="335">
        <v>0</v>
      </c>
      <c r="D53" s="335">
        <v>0</v>
      </c>
      <c r="E53" s="335">
        <v>0</v>
      </c>
      <c r="F53" s="335">
        <v>3213</v>
      </c>
      <c r="G53" s="335">
        <v>0</v>
      </c>
      <c r="H53" s="335">
        <v>0</v>
      </c>
      <c r="I53" s="335">
        <v>0</v>
      </c>
      <c r="J53" s="335">
        <v>0</v>
      </c>
      <c r="K53" s="335">
        <v>0</v>
      </c>
      <c r="L53" s="335">
        <v>0</v>
      </c>
      <c r="M53" s="335">
        <v>0</v>
      </c>
      <c r="N53" s="335">
        <v>0</v>
      </c>
      <c r="O53" s="335">
        <v>0</v>
      </c>
      <c r="P53" s="335">
        <v>0</v>
      </c>
      <c r="Q53" s="335">
        <v>0</v>
      </c>
      <c r="R53" s="335">
        <v>0</v>
      </c>
      <c r="S53" s="335">
        <v>0</v>
      </c>
      <c r="T53" s="335">
        <v>0</v>
      </c>
      <c r="U53" s="335">
        <v>0</v>
      </c>
      <c r="V53" s="108">
        <v>3213</v>
      </c>
      <c r="W53" s="70"/>
    </row>
    <row r="54" spans="1:23">
      <c r="A54" s="116" t="s">
        <v>383</v>
      </c>
      <c r="B54" s="335">
        <v>0</v>
      </c>
      <c r="C54" s="335">
        <v>0</v>
      </c>
      <c r="D54" s="335">
        <v>0</v>
      </c>
      <c r="E54" s="335">
        <v>0</v>
      </c>
      <c r="F54" s="335">
        <v>2597</v>
      </c>
      <c r="G54" s="335">
        <v>0</v>
      </c>
      <c r="H54" s="335">
        <v>0</v>
      </c>
      <c r="I54" s="335">
        <v>0</v>
      </c>
      <c r="J54" s="335">
        <v>0</v>
      </c>
      <c r="K54" s="335">
        <v>0</v>
      </c>
      <c r="L54" s="335">
        <v>0</v>
      </c>
      <c r="M54" s="335">
        <v>0</v>
      </c>
      <c r="N54" s="335">
        <v>0</v>
      </c>
      <c r="O54" s="335">
        <v>0</v>
      </c>
      <c r="P54" s="335">
        <v>0</v>
      </c>
      <c r="Q54" s="335">
        <v>0</v>
      </c>
      <c r="R54" s="335">
        <v>0</v>
      </c>
      <c r="S54" s="335">
        <v>0</v>
      </c>
      <c r="T54" s="335">
        <v>0</v>
      </c>
      <c r="U54" s="335">
        <v>0</v>
      </c>
      <c r="V54" s="108">
        <v>2597</v>
      </c>
      <c r="W54" s="70"/>
    </row>
    <row r="55" spans="1:23">
      <c r="A55" s="122" t="s">
        <v>384</v>
      </c>
      <c r="B55" s="333">
        <v>0</v>
      </c>
      <c r="C55" s="333">
        <v>0</v>
      </c>
      <c r="D55" s="333">
        <v>0</v>
      </c>
      <c r="E55" s="333">
        <v>0</v>
      </c>
      <c r="F55" s="333">
        <v>1663</v>
      </c>
      <c r="G55" s="333">
        <v>0</v>
      </c>
      <c r="H55" s="333">
        <v>0</v>
      </c>
      <c r="I55" s="333">
        <v>0</v>
      </c>
      <c r="J55" s="333">
        <v>0</v>
      </c>
      <c r="K55" s="333">
        <v>0</v>
      </c>
      <c r="L55" s="333">
        <v>0</v>
      </c>
      <c r="M55" s="333">
        <v>0</v>
      </c>
      <c r="N55" s="333">
        <v>0</v>
      </c>
      <c r="O55" s="333">
        <v>0</v>
      </c>
      <c r="P55" s="333">
        <v>0</v>
      </c>
      <c r="Q55" s="333">
        <v>0</v>
      </c>
      <c r="R55" s="333">
        <v>0</v>
      </c>
      <c r="S55" s="333">
        <v>0</v>
      </c>
      <c r="T55" s="333">
        <v>0</v>
      </c>
      <c r="U55" s="333">
        <v>0</v>
      </c>
      <c r="V55" s="108">
        <v>1663</v>
      </c>
      <c r="W55" s="70"/>
    </row>
    <row r="56" spans="1:23">
      <c r="A56" s="116" t="s">
        <v>248</v>
      </c>
      <c r="B56" s="335">
        <v>745</v>
      </c>
      <c r="C56" s="335">
        <v>0</v>
      </c>
      <c r="D56" s="335">
        <v>389</v>
      </c>
      <c r="E56" s="335">
        <v>0</v>
      </c>
      <c r="F56" s="335">
        <v>0</v>
      </c>
      <c r="G56" s="335">
        <v>0</v>
      </c>
      <c r="H56" s="335">
        <v>0</v>
      </c>
      <c r="I56" s="335">
        <v>0</v>
      </c>
      <c r="J56" s="335">
        <v>0</v>
      </c>
      <c r="K56" s="335">
        <v>0</v>
      </c>
      <c r="L56" s="335">
        <v>0</v>
      </c>
      <c r="M56" s="335">
        <v>531</v>
      </c>
      <c r="N56" s="335">
        <v>152</v>
      </c>
      <c r="O56" s="335">
        <v>0</v>
      </c>
      <c r="P56" s="335">
        <v>0</v>
      </c>
      <c r="Q56" s="335">
        <v>0</v>
      </c>
      <c r="R56" s="335">
        <v>0</v>
      </c>
      <c r="S56" s="335">
        <v>0</v>
      </c>
      <c r="T56" s="335">
        <v>0</v>
      </c>
      <c r="U56" s="335">
        <v>0</v>
      </c>
      <c r="V56" s="108">
        <v>1817</v>
      </c>
      <c r="W56" s="70"/>
    </row>
    <row r="57" spans="1:23">
      <c r="A57" s="122" t="s">
        <v>385</v>
      </c>
      <c r="B57" s="333">
        <v>0</v>
      </c>
      <c r="C57" s="333">
        <v>0</v>
      </c>
      <c r="D57" s="333">
        <v>0</v>
      </c>
      <c r="E57" s="333">
        <v>0</v>
      </c>
      <c r="F57" s="333">
        <v>0</v>
      </c>
      <c r="G57" s="333">
        <v>0</v>
      </c>
      <c r="H57" s="333">
        <v>140</v>
      </c>
      <c r="I57" s="333">
        <v>0</v>
      </c>
      <c r="J57" s="333">
        <v>0</v>
      </c>
      <c r="K57" s="333">
        <v>0</v>
      </c>
      <c r="L57" s="333">
        <v>0</v>
      </c>
      <c r="M57" s="333">
        <v>65</v>
      </c>
      <c r="N57" s="333">
        <v>0</v>
      </c>
      <c r="O57" s="333">
        <v>0</v>
      </c>
      <c r="P57" s="333">
        <v>0</v>
      </c>
      <c r="Q57" s="333">
        <v>0</v>
      </c>
      <c r="R57" s="333">
        <v>0</v>
      </c>
      <c r="S57" s="333">
        <v>0</v>
      </c>
      <c r="T57" s="333">
        <v>0</v>
      </c>
      <c r="U57" s="333">
        <v>0</v>
      </c>
      <c r="V57" s="108">
        <v>205</v>
      </c>
      <c r="W57" s="70"/>
    </row>
    <row r="58" spans="1:23">
      <c r="A58" s="116" t="s">
        <v>386</v>
      </c>
      <c r="B58" s="335">
        <v>0</v>
      </c>
      <c r="C58" s="335">
        <v>0</v>
      </c>
      <c r="D58" s="335">
        <v>1234</v>
      </c>
      <c r="E58" s="335">
        <v>0</v>
      </c>
      <c r="F58" s="335">
        <v>0</v>
      </c>
      <c r="G58" s="335">
        <v>0</v>
      </c>
      <c r="H58" s="335">
        <v>0</v>
      </c>
      <c r="I58" s="335">
        <v>0</v>
      </c>
      <c r="J58" s="335">
        <v>0</v>
      </c>
      <c r="K58" s="335">
        <v>0</v>
      </c>
      <c r="L58" s="335">
        <v>0</v>
      </c>
      <c r="M58" s="335">
        <v>0</v>
      </c>
      <c r="N58" s="335">
        <v>0</v>
      </c>
      <c r="O58" s="335">
        <v>0</v>
      </c>
      <c r="P58" s="335">
        <v>0</v>
      </c>
      <c r="Q58" s="335">
        <v>0</v>
      </c>
      <c r="R58" s="335">
        <v>0</v>
      </c>
      <c r="S58" s="335">
        <v>0</v>
      </c>
      <c r="T58" s="335">
        <v>0</v>
      </c>
      <c r="U58" s="335">
        <v>0</v>
      </c>
      <c r="V58" s="108">
        <v>1234</v>
      </c>
      <c r="W58" s="70"/>
    </row>
    <row r="59" spans="1:23">
      <c r="A59" s="116" t="s">
        <v>387</v>
      </c>
      <c r="B59" s="335">
        <v>149</v>
      </c>
      <c r="C59" s="335">
        <v>0</v>
      </c>
      <c r="D59" s="335">
        <v>2458</v>
      </c>
      <c r="E59" s="335">
        <v>0</v>
      </c>
      <c r="F59" s="335">
        <v>0</v>
      </c>
      <c r="G59" s="335">
        <v>0</v>
      </c>
      <c r="H59" s="335">
        <v>828</v>
      </c>
      <c r="I59" s="335">
        <v>0</v>
      </c>
      <c r="J59" s="335">
        <v>0</v>
      </c>
      <c r="K59" s="335">
        <v>0</v>
      </c>
      <c r="L59" s="335">
        <v>0</v>
      </c>
      <c r="M59" s="335">
        <v>0</v>
      </c>
      <c r="N59" s="335">
        <v>0</v>
      </c>
      <c r="O59" s="335">
        <v>0</v>
      </c>
      <c r="P59" s="335">
        <v>0</v>
      </c>
      <c r="Q59" s="335">
        <v>0</v>
      </c>
      <c r="R59" s="335">
        <v>0</v>
      </c>
      <c r="S59" s="335">
        <v>110</v>
      </c>
      <c r="T59" s="335">
        <v>0</v>
      </c>
      <c r="U59" s="335">
        <v>0</v>
      </c>
      <c r="V59" s="108">
        <v>3545</v>
      </c>
      <c r="W59" s="70"/>
    </row>
    <row r="60" spans="1:23">
      <c r="A60" s="116" t="s">
        <v>391</v>
      </c>
      <c r="B60" s="335">
        <v>23</v>
      </c>
      <c r="C60" s="335">
        <v>0</v>
      </c>
      <c r="D60" s="335">
        <v>1209</v>
      </c>
      <c r="E60" s="335">
        <v>0</v>
      </c>
      <c r="F60" s="335">
        <v>0</v>
      </c>
      <c r="G60" s="335">
        <v>165</v>
      </c>
      <c r="H60" s="335">
        <v>0</v>
      </c>
      <c r="I60" s="335">
        <v>97</v>
      </c>
      <c r="J60" s="335">
        <v>0</v>
      </c>
      <c r="K60" s="335">
        <v>0</v>
      </c>
      <c r="L60" s="335">
        <v>0</v>
      </c>
      <c r="M60" s="335">
        <v>128</v>
      </c>
      <c r="N60" s="335">
        <v>420</v>
      </c>
      <c r="O60" s="335">
        <v>38</v>
      </c>
      <c r="P60" s="335">
        <v>0</v>
      </c>
      <c r="Q60" s="335">
        <v>0</v>
      </c>
      <c r="R60" s="335">
        <v>0</v>
      </c>
      <c r="S60" s="335">
        <v>0</v>
      </c>
      <c r="T60" s="335">
        <v>0</v>
      </c>
      <c r="U60" s="335">
        <v>0</v>
      </c>
      <c r="V60" s="108">
        <v>2080</v>
      </c>
      <c r="W60" s="70"/>
    </row>
    <row r="61" spans="1:23">
      <c r="A61" s="116" t="s">
        <v>388</v>
      </c>
      <c r="B61" s="335">
        <v>54</v>
      </c>
      <c r="C61" s="335">
        <v>0</v>
      </c>
      <c r="D61" s="335">
        <v>0</v>
      </c>
      <c r="E61" s="335">
        <v>0</v>
      </c>
      <c r="F61" s="335">
        <v>0</v>
      </c>
      <c r="G61" s="335">
        <v>0</v>
      </c>
      <c r="H61" s="335">
        <v>0</v>
      </c>
      <c r="I61" s="335">
        <v>0</v>
      </c>
      <c r="J61" s="335">
        <v>0</v>
      </c>
      <c r="K61" s="335">
        <v>0</v>
      </c>
      <c r="L61" s="335">
        <v>0</v>
      </c>
      <c r="M61" s="335">
        <v>38</v>
      </c>
      <c r="N61" s="335">
        <v>47</v>
      </c>
      <c r="O61" s="335">
        <v>0</v>
      </c>
      <c r="P61" s="335">
        <v>0</v>
      </c>
      <c r="Q61" s="335">
        <v>0</v>
      </c>
      <c r="R61" s="335">
        <v>0</v>
      </c>
      <c r="S61" s="335">
        <v>0</v>
      </c>
      <c r="T61" s="335">
        <v>0</v>
      </c>
      <c r="U61" s="335">
        <v>0</v>
      </c>
      <c r="V61" s="108">
        <v>139</v>
      </c>
      <c r="W61" s="70"/>
    </row>
    <row r="62" spans="1:23">
      <c r="A62" s="116" t="s">
        <v>389</v>
      </c>
      <c r="B62" s="335">
        <v>274</v>
      </c>
      <c r="C62" s="335">
        <v>0</v>
      </c>
      <c r="D62" s="335">
        <v>539</v>
      </c>
      <c r="E62" s="335">
        <v>0</v>
      </c>
      <c r="F62" s="335">
        <v>0</v>
      </c>
      <c r="G62" s="335">
        <v>2073</v>
      </c>
      <c r="H62" s="335">
        <v>0</v>
      </c>
      <c r="I62" s="335">
        <v>0</v>
      </c>
      <c r="J62" s="335">
        <v>0</v>
      </c>
      <c r="K62" s="335">
        <v>0</v>
      </c>
      <c r="L62" s="335">
        <v>0</v>
      </c>
      <c r="M62" s="335">
        <v>0</v>
      </c>
      <c r="N62" s="335">
        <v>54</v>
      </c>
      <c r="O62" s="335">
        <v>640</v>
      </c>
      <c r="P62" s="335">
        <v>0</v>
      </c>
      <c r="Q62" s="335">
        <v>0</v>
      </c>
      <c r="R62" s="335">
        <v>0</v>
      </c>
      <c r="S62" s="335">
        <v>0</v>
      </c>
      <c r="T62" s="335">
        <v>0</v>
      </c>
      <c r="U62" s="335">
        <v>0</v>
      </c>
      <c r="V62" s="108">
        <v>3580</v>
      </c>
      <c r="W62" s="70"/>
    </row>
    <row r="63" spans="1:23">
      <c r="A63" s="116" t="s">
        <v>393</v>
      </c>
      <c r="B63" s="335">
        <v>869</v>
      </c>
      <c r="C63" s="335">
        <v>792</v>
      </c>
      <c r="D63" s="335">
        <v>13117</v>
      </c>
      <c r="E63" s="335">
        <v>20518</v>
      </c>
      <c r="F63" s="335">
        <v>0</v>
      </c>
      <c r="G63" s="335">
        <v>0</v>
      </c>
      <c r="H63" s="335">
        <v>0</v>
      </c>
      <c r="I63" s="335">
        <v>0</v>
      </c>
      <c r="J63" s="335">
        <v>0</v>
      </c>
      <c r="K63" s="335">
        <v>0</v>
      </c>
      <c r="L63" s="335">
        <v>0</v>
      </c>
      <c r="M63" s="335">
        <v>0</v>
      </c>
      <c r="N63" s="335">
        <v>0</v>
      </c>
      <c r="O63" s="335">
        <v>234</v>
      </c>
      <c r="P63" s="335">
        <v>0</v>
      </c>
      <c r="Q63" s="335">
        <v>0</v>
      </c>
      <c r="R63" s="335">
        <v>0</v>
      </c>
      <c r="S63" s="335">
        <v>0</v>
      </c>
      <c r="T63" s="335">
        <v>73</v>
      </c>
      <c r="U63" s="335">
        <v>0</v>
      </c>
      <c r="V63" s="108">
        <v>35603</v>
      </c>
      <c r="W63" s="70"/>
    </row>
    <row r="64" spans="1:23">
      <c r="A64" s="116" t="s">
        <v>394</v>
      </c>
      <c r="B64" s="335">
        <v>12072</v>
      </c>
      <c r="C64" s="335">
        <v>5347</v>
      </c>
      <c r="D64" s="335">
        <v>408</v>
      </c>
      <c r="E64" s="335">
        <v>0</v>
      </c>
      <c r="F64" s="335">
        <v>0</v>
      </c>
      <c r="G64" s="335">
        <v>3924</v>
      </c>
      <c r="H64" s="335">
        <v>1732</v>
      </c>
      <c r="I64" s="335">
        <v>0</v>
      </c>
      <c r="J64" s="335">
        <v>0</v>
      </c>
      <c r="K64" s="335">
        <v>0</v>
      </c>
      <c r="L64" s="335">
        <v>0</v>
      </c>
      <c r="M64" s="335">
        <v>0</v>
      </c>
      <c r="N64" s="335">
        <v>0</v>
      </c>
      <c r="O64" s="335">
        <v>0</v>
      </c>
      <c r="P64" s="335">
        <v>0</v>
      </c>
      <c r="Q64" s="335">
        <v>0</v>
      </c>
      <c r="R64" s="335">
        <v>0</v>
      </c>
      <c r="S64" s="335">
        <v>403</v>
      </c>
      <c r="T64" s="335">
        <v>0</v>
      </c>
      <c r="U64" s="335">
        <v>0</v>
      </c>
      <c r="V64" s="108">
        <v>23886</v>
      </c>
      <c r="W64" s="70"/>
    </row>
    <row r="65" spans="1:23">
      <c r="A65" s="116" t="s">
        <v>392</v>
      </c>
      <c r="B65" s="335">
        <v>1467</v>
      </c>
      <c r="C65" s="335">
        <v>368</v>
      </c>
      <c r="D65" s="335">
        <v>0</v>
      </c>
      <c r="E65" s="335">
        <v>0</v>
      </c>
      <c r="F65" s="335">
        <v>0</v>
      </c>
      <c r="G65" s="335">
        <v>232</v>
      </c>
      <c r="H65" s="335">
        <v>244</v>
      </c>
      <c r="I65" s="335">
        <v>0</v>
      </c>
      <c r="J65" s="335">
        <v>0</v>
      </c>
      <c r="K65" s="335">
        <v>0</v>
      </c>
      <c r="L65" s="335">
        <v>0</v>
      </c>
      <c r="M65" s="335">
        <v>90</v>
      </c>
      <c r="N65" s="335">
        <v>54</v>
      </c>
      <c r="O65" s="335">
        <v>87</v>
      </c>
      <c r="P65" s="335">
        <v>0</v>
      </c>
      <c r="Q65" s="335">
        <v>0</v>
      </c>
      <c r="R65" s="335">
        <v>0</v>
      </c>
      <c r="S65" s="335">
        <v>0</v>
      </c>
      <c r="T65" s="335">
        <v>0</v>
      </c>
      <c r="U65" s="335">
        <v>0</v>
      </c>
      <c r="V65" s="108">
        <v>2542</v>
      </c>
      <c r="W65" s="70"/>
    </row>
    <row r="66" spans="1:23">
      <c r="A66" s="116" t="s">
        <v>390</v>
      </c>
      <c r="B66" s="335">
        <v>1507</v>
      </c>
      <c r="C66" s="335">
        <v>0</v>
      </c>
      <c r="D66" s="335">
        <v>1030</v>
      </c>
      <c r="E66" s="335">
        <v>0</v>
      </c>
      <c r="F66" s="335">
        <v>9642</v>
      </c>
      <c r="G66" s="335">
        <v>0</v>
      </c>
      <c r="H66" s="335">
        <v>2368</v>
      </c>
      <c r="I66" s="335">
        <v>0</v>
      </c>
      <c r="J66" s="335">
        <v>0</v>
      </c>
      <c r="K66" s="335">
        <v>0</v>
      </c>
      <c r="L66" s="335">
        <v>0</v>
      </c>
      <c r="M66" s="335">
        <v>0</v>
      </c>
      <c r="N66" s="335">
        <v>0</v>
      </c>
      <c r="O66" s="335">
        <v>0</v>
      </c>
      <c r="P66" s="335">
        <v>0</v>
      </c>
      <c r="Q66" s="335">
        <v>0</v>
      </c>
      <c r="R66" s="335">
        <v>0</v>
      </c>
      <c r="S66" s="335">
        <v>0</v>
      </c>
      <c r="T66" s="335">
        <v>1004</v>
      </c>
      <c r="U66" s="335">
        <v>0</v>
      </c>
      <c r="V66" s="108">
        <v>15551</v>
      </c>
      <c r="W66" s="70"/>
    </row>
    <row r="67" spans="1:23">
      <c r="A67" s="116" t="s">
        <v>240</v>
      </c>
      <c r="B67" s="335">
        <v>0</v>
      </c>
      <c r="C67" s="335">
        <v>0</v>
      </c>
      <c r="D67" s="335">
        <v>3270</v>
      </c>
      <c r="E67" s="335">
        <v>0</v>
      </c>
      <c r="F67" s="335">
        <v>0</v>
      </c>
      <c r="G67" s="335">
        <v>0</v>
      </c>
      <c r="H67" s="335">
        <v>0</v>
      </c>
      <c r="I67" s="335">
        <v>0</v>
      </c>
      <c r="J67" s="335">
        <v>0</v>
      </c>
      <c r="K67" s="335">
        <v>0</v>
      </c>
      <c r="L67" s="335">
        <v>0</v>
      </c>
      <c r="M67" s="335">
        <v>0</v>
      </c>
      <c r="N67" s="335">
        <v>0</v>
      </c>
      <c r="O67" s="335">
        <v>0</v>
      </c>
      <c r="P67" s="335">
        <v>0</v>
      </c>
      <c r="Q67" s="335">
        <v>0</v>
      </c>
      <c r="R67" s="335">
        <v>0</v>
      </c>
      <c r="S67" s="335">
        <v>0</v>
      </c>
      <c r="T67" s="335">
        <v>0</v>
      </c>
      <c r="U67" s="335">
        <v>0</v>
      </c>
      <c r="V67" s="108">
        <v>3270</v>
      </c>
      <c r="W67" s="70"/>
    </row>
    <row r="68" spans="1:23">
      <c r="A68" s="198" t="s">
        <v>395</v>
      </c>
      <c r="B68" s="334">
        <v>4825</v>
      </c>
      <c r="C68" s="334">
        <v>2600</v>
      </c>
      <c r="D68" s="334">
        <v>17361</v>
      </c>
      <c r="E68" s="334">
        <v>3980</v>
      </c>
      <c r="F68" s="334">
        <v>4678</v>
      </c>
      <c r="G68" s="334">
        <v>3664</v>
      </c>
      <c r="H68" s="334">
        <v>1594</v>
      </c>
      <c r="I68" s="334">
        <v>0</v>
      </c>
      <c r="J68" s="334">
        <v>0</v>
      </c>
      <c r="K68" s="334">
        <v>0</v>
      </c>
      <c r="L68" s="334">
        <v>0</v>
      </c>
      <c r="M68" s="334">
        <v>0</v>
      </c>
      <c r="N68" s="334">
        <v>0</v>
      </c>
      <c r="O68" s="334">
        <v>133</v>
      </c>
      <c r="P68" s="334">
        <v>20</v>
      </c>
      <c r="Q68" s="334">
        <v>195</v>
      </c>
      <c r="R68" s="334">
        <v>50</v>
      </c>
      <c r="S68" s="334">
        <v>107</v>
      </c>
      <c r="T68" s="334">
        <v>0</v>
      </c>
      <c r="U68" s="334">
        <v>135</v>
      </c>
      <c r="V68" s="108">
        <v>39342</v>
      </c>
      <c r="W68" s="72"/>
    </row>
    <row r="69" spans="1:23">
      <c r="A69" s="165" t="s">
        <v>396</v>
      </c>
      <c r="B69" s="117">
        <v>21026.428</v>
      </c>
      <c r="C69" s="117">
        <v>4176</v>
      </c>
      <c r="D69" s="117">
        <v>19068.819</v>
      </c>
      <c r="E69" s="117">
        <v>29000</v>
      </c>
      <c r="F69" s="117">
        <v>5237.9490000000005</v>
      </c>
      <c r="G69" s="117">
        <v>4423.366</v>
      </c>
      <c r="H69" s="117">
        <v>373</v>
      </c>
      <c r="I69" s="117">
        <v>6451.3090000000002</v>
      </c>
      <c r="J69" s="117">
        <v>1030.4480000000001</v>
      </c>
      <c r="K69" s="117">
        <v>133.96699999999998</v>
      </c>
      <c r="L69" s="117">
        <v>1737.9779999999998</v>
      </c>
      <c r="M69" s="117">
        <v>2763.587</v>
      </c>
      <c r="N69" s="117">
        <v>9400.3019999999997</v>
      </c>
      <c r="O69" s="117">
        <v>15300.267</v>
      </c>
      <c r="P69" s="117">
        <v>0</v>
      </c>
      <c r="Q69" s="117">
        <v>0</v>
      </c>
      <c r="R69" s="117">
        <v>0</v>
      </c>
      <c r="S69" s="117">
        <v>2282.4789999999998</v>
      </c>
      <c r="T69" s="117">
        <v>1450</v>
      </c>
      <c r="U69" s="117">
        <v>0</v>
      </c>
      <c r="V69" s="108">
        <v>123855.89899999999</v>
      </c>
      <c r="W69" s="70"/>
    </row>
    <row r="70" spans="1:23">
      <c r="A70" s="166" t="s">
        <v>243</v>
      </c>
      <c r="B70" s="123">
        <v>17134</v>
      </c>
      <c r="C70" s="123">
        <v>784</v>
      </c>
      <c r="D70" s="123">
        <v>0</v>
      </c>
      <c r="E70" s="123">
        <v>0</v>
      </c>
      <c r="F70" s="123">
        <v>450</v>
      </c>
      <c r="G70" s="123">
        <v>5795</v>
      </c>
      <c r="H70" s="123">
        <v>1695</v>
      </c>
      <c r="I70" s="123">
        <v>0</v>
      </c>
      <c r="J70" s="123">
        <v>0</v>
      </c>
      <c r="K70" s="123">
        <v>0</v>
      </c>
      <c r="L70" s="123">
        <v>0</v>
      </c>
      <c r="M70" s="123">
        <v>0</v>
      </c>
      <c r="N70" s="123">
        <v>0</v>
      </c>
      <c r="O70" s="123">
        <v>0</v>
      </c>
      <c r="P70" s="123">
        <v>0</v>
      </c>
      <c r="Q70" s="123">
        <v>0</v>
      </c>
      <c r="R70" s="123">
        <v>0</v>
      </c>
      <c r="S70" s="123">
        <v>0</v>
      </c>
      <c r="T70" s="123">
        <v>0</v>
      </c>
      <c r="U70" s="123">
        <v>0</v>
      </c>
      <c r="V70" s="108">
        <v>25858</v>
      </c>
      <c r="W70" s="70"/>
    </row>
    <row r="71" spans="1:23">
      <c r="A71" s="167" t="s">
        <v>397</v>
      </c>
      <c r="B71" s="117">
        <v>138282</v>
      </c>
      <c r="C71" s="117">
        <v>10777</v>
      </c>
      <c r="D71" s="117">
        <v>9840</v>
      </c>
      <c r="E71" s="117">
        <v>17325</v>
      </c>
      <c r="F71" s="117">
        <v>0</v>
      </c>
      <c r="G71" s="117">
        <v>60704</v>
      </c>
      <c r="H71" s="117">
        <v>2148</v>
      </c>
      <c r="I71" s="117">
        <v>0</v>
      </c>
      <c r="J71" s="117">
        <v>67</v>
      </c>
      <c r="K71" s="117">
        <v>970</v>
      </c>
      <c r="L71" s="117">
        <v>0</v>
      </c>
      <c r="M71" s="117">
        <v>0</v>
      </c>
      <c r="N71" s="117">
        <v>2020</v>
      </c>
      <c r="O71" s="117">
        <v>4000</v>
      </c>
      <c r="P71" s="117">
        <v>0</v>
      </c>
      <c r="Q71" s="117">
        <v>0</v>
      </c>
      <c r="R71" s="117">
        <v>0</v>
      </c>
      <c r="S71" s="117">
        <v>3200</v>
      </c>
      <c r="T71" s="117">
        <v>160</v>
      </c>
      <c r="U71" s="117">
        <v>0</v>
      </c>
      <c r="V71" s="108">
        <v>249493</v>
      </c>
      <c r="W71" s="70"/>
    </row>
    <row r="72" spans="1:23">
      <c r="A72" s="168" t="s">
        <v>398</v>
      </c>
      <c r="B72" s="123">
        <v>138282</v>
      </c>
      <c r="C72" s="123">
        <v>10777</v>
      </c>
      <c r="D72" s="123">
        <v>9840</v>
      </c>
      <c r="E72" s="123">
        <v>17325</v>
      </c>
      <c r="F72" s="123">
        <v>0</v>
      </c>
      <c r="G72" s="123">
        <v>60704</v>
      </c>
      <c r="H72" s="123">
        <v>2148</v>
      </c>
      <c r="I72" s="123">
        <v>0</v>
      </c>
      <c r="J72" s="123">
        <v>67</v>
      </c>
      <c r="K72" s="123">
        <v>970</v>
      </c>
      <c r="L72" s="123">
        <v>0</v>
      </c>
      <c r="M72" s="123">
        <v>0</v>
      </c>
      <c r="N72" s="123">
        <v>2020</v>
      </c>
      <c r="O72" s="123">
        <v>4000</v>
      </c>
      <c r="P72" s="123">
        <v>0</v>
      </c>
      <c r="Q72" s="123">
        <v>0</v>
      </c>
      <c r="R72" s="123">
        <v>0</v>
      </c>
      <c r="S72" s="123">
        <v>3200</v>
      </c>
      <c r="T72" s="123">
        <v>160</v>
      </c>
      <c r="U72" s="123">
        <v>0</v>
      </c>
      <c r="V72" s="108">
        <v>249493</v>
      </c>
      <c r="W72" s="70"/>
    </row>
    <row r="73" spans="1:23">
      <c r="A73" s="166" t="s">
        <v>399</v>
      </c>
      <c r="B73" s="123">
        <v>20100</v>
      </c>
      <c r="C73" s="123">
        <v>6500</v>
      </c>
      <c r="D73" s="123">
        <v>17521</v>
      </c>
      <c r="E73" s="123">
        <v>2700</v>
      </c>
      <c r="F73" s="123">
        <v>0</v>
      </c>
      <c r="G73" s="123">
        <v>2017</v>
      </c>
      <c r="H73" s="123">
        <v>3268</v>
      </c>
      <c r="I73" s="123">
        <v>214</v>
      </c>
      <c r="J73" s="123">
        <v>323</v>
      </c>
      <c r="K73" s="123">
        <v>937</v>
      </c>
      <c r="L73" s="123">
        <v>265</v>
      </c>
      <c r="M73" s="123">
        <v>0</v>
      </c>
      <c r="N73" s="123">
        <v>0</v>
      </c>
      <c r="O73" s="123">
        <v>6261</v>
      </c>
      <c r="P73" s="123">
        <v>2264</v>
      </c>
      <c r="Q73" s="123">
        <v>1643</v>
      </c>
      <c r="R73" s="123">
        <v>6727</v>
      </c>
      <c r="S73" s="123">
        <v>40</v>
      </c>
      <c r="T73" s="123">
        <v>150</v>
      </c>
      <c r="U73" s="123">
        <v>260</v>
      </c>
      <c r="V73" s="108">
        <v>71190</v>
      </c>
      <c r="W73" s="70"/>
    </row>
    <row r="74" spans="1:23">
      <c r="A74" s="165" t="s">
        <v>400</v>
      </c>
      <c r="B74" s="117">
        <v>122524</v>
      </c>
      <c r="C74" s="117">
        <v>66777</v>
      </c>
      <c r="D74" s="117">
        <v>383155</v>
      </c>
      <c r="E74" s="117">
        <v>0</v>
      </c>
      <c r="F74" s="117">
        <v>234941</v>
      </c>
      <c r="G74" s="117">
        <v>409517</v>
      </c>
      <c r="H74" s="117">
        <v>76239</v>
      </c>
      <c r="I74" s="117">
        <v>5013</v>
      </c>
      <c r="J74" s="117">
        <v>8841</v>
      </c>
      <c r="K74" s="117">
        <v>65277</v>
      </c>
      <c r="L74" s="117">
        <v>0</v>
      </c>
      <c r="M74" s="117">
        <v>0</v>
      </c>
      <c r="N74" s="117">
        <v>0</v>
      </c>
      <c r="O74" s="117">
        <v>986</v>
      </c>
      <c r="P74" s="117">
        <v>0</v>
      </c>
      <c r="Q74" s="117">
        <v>0</v>
      </c>
      <c r="R74" s="117">
        <v>0</v>
      </c>
      <c r="S74" s="117">
        <v>25383</v>
      </c>
      <c r="T74" s="117">
        <v>21218</v>
      </c>
      <c r="U74" s="117">
        <v>0</v>
      </c>
      <c r="V74" s="108">
        <v>1419871</v>
      </c>
      <c r="W74" s="70"/>
    </row>
    <row r="75" spans="1:23">
      <c r="A75" s="169" t="s">
        <v>401</v>
      </c>
      <c r="B75" s="170">
        <v>151468</v>
      </c>
      <c r="C75" s="170">
        <v>0</v>
      </c>
      <c r="D75" s="170">
        <v>111730</v>
      </c>
      <c r="E75" s="170">
        <v>1904</v>
      </c>
      <c r="F75" s="170">
        <v>19160</v>
      </c>
      <c r="G75" s="170">
        <v>0</v>
      </c>
      <c r="H75" s="170">
        <v>1377</v>
      </c>
      <c r="I75" s="170">
        <v>432</v>
      </c>
      <c r="J75" s="170">
        <v>796</v>
      </c>
      <c r="K75" s="170">
        <v>5218</v>
      </c>
      <c r="L75" s="170">
        <v>0</v>
      </c>
      <c r="M75" s="170">
        <v>0</v>
      </c>
      <c r="N75" s="170">
        <v>0</v>
      </c>
      <c r="O75" s="170">
        <v>266</v>
      </c>
      <c r="P75" s="170">
        <v>0</v>
      </c>
      <c r="Q75" s="170">
        <v>0</v>
      </c>
      <c r="R75" s="170">
        <v>0</v>
      </c>
      <c r="S75" s="170">
        <v>1927</v>
      </c>
      <c r="T75" s="170">
        <v>1697</v>
      </c>
      <c r="U75" s="170">
        <v>461</v>
      </c>
      <c r="V75" s="108">
        <v>296436</v>
      </c>
      <c r="W75" s="70"/>
    </row>
    <row r="76" spans="1:23">
      <c r="A76" s="165"/>
      <c r="B76" s="117"/>
      <c r="C76" s="117"/>
      <c r="D76" s="117"/>
      <c r="E76" s="117"/>
      <c r="F76" s="117"/>
      <c r="G76" s="117"/>
      <c r="H76" s="117"/>
      <c r="I76" s="117"/>
      <c r="J76" s="117"/>
      <c r="K76" s="117"/>
      <c r="L76" s="117"/>
      <c r="M76" s="117"/>
      <c r="N76" s="117"/>
      <c r="O76" s="117"/>
      <c r="P76" s="117"/>
      <c r="Q76" s="117"/>
      <c r="R76" s="117"/>
      <c r="S76" s="117"/>
      <c r="T76" s="117"/>
      <c r="U76" s="117"/>
      <c r="V76" s="108"/>
      <c r="W76" s="70"/>
    </row>
    <row r="77" spans="1:23">
      <c r="A77" s="56" t="s">
        <v>427</v>
      </c>
      <c r="B77" s="56" t="s">
        <v>426</v>
      </c>
      <c r="C77" s="56"/>
      <c r="D77" s="56"/>
      <c r="E77" s="56"/>
      <c r="F77" s="56"/>
      <c r="G77" s="56"/>
      <c r="H77" s="56"/>
      <c r="I77" s="56"/>
      <c r="J77" s="56"/>
      <c r="K77" s="56"/>
      <c r="L77" s="56"/>
      <c r="M77" s="56"/>
      <c r="N77" s="56"/>
      <c r="O77" s="56"/>
      <c r="P77" s="56"/>
      <c r="Q77" s="56"/>
      <c r="R77" s="56"/>
      <c r="S77" s="56"/>
      <c r="T77" s="56"/>
      <c r="U77" s="56"/>
    </row>
    <row r="78" spans="1:23">
      <c r="A78" s="57"/>
      <c r="B78" s="59" t="s">
        <v>441</v>
      </c>
      <c r="C78" s="57"/>
      <c r="D78" s="57"/>
      <c r="E78" s="57"/>
      <c r="F78" s="57"/>
      <c r="G78" s="57"/>
      <c r="H78" s="57"/>
      <c r="I78" s="57"/>
      <c r="J78" s="57"/>
      <c r="K78" s="57"/>
      <c r="L78" s="57"/>
      <c r="M78" s="57"/>
      <c r="N78" s="57"/>
      <c r="O78" s="57"/>
      <c r="P78" s="57"/>
      <c r="Q78" s="57"/>
      <c r="R78" s="57"/>
      <c r="S78" s="57"/>
      <c r="T78" s="57"/>
      <c r="U78" s="57"/>
    </row>
    <row r="79" spans="1:23">
      <c r="A79" s="181"/>
      <c r="B79" s="181" t="s">
        <v>107</v>
      </c>
      <c r="C79" s="181" t="s">
        <v>109</v>
      </c>
      <c r="D79" s="181" t="s">
        <v>110</v>
      </c>
      <c r="E79" s="181" t="s">
        <v>112</v>
      </c>
      <c r="F79" s="181" t="s">
        <v>113</v>
      </c>
      <c r="G79" s="181" t="s">
        <v>114</v>
      </c>
      <c r="H79" s="181" t="s">
        <v>115</v>
      </c>
      <c r="I79" s="181" t="s">
        <v>103</v>
      </c>
      <c r="J79" s="181" t="s">
        <v>104</v>
      </c>
      <c r="K79" s="181" t="s">
        <v>105</v>
      </c>
      <c r="L79" s="181" t="s">
        <v>106</v>
      </c>
      <c r="M79" s="181" t="s">
        <v>99</v>
      </c>
      <c r="N79" s="181" t="s">
        <v>101</v>
      </c>
      <c r="O79" s="181" t="s">
        <v>117</v>
      </c>
      <c r="P79" s="181" t="s">
        <v>118</v>
      </c>
      <c r="Q79" s="181" t="s">
        <v>119</v>
      </c>
      <c r="R79" s="181" t="s">
        <v>120</v>
      </c>
      <c r="S79" s="181" t="s">
        <v>121</v>
      </c>
      <c r="T79" s="181" t="s">
        <v>122</v>
      </c>
      <c r="U79" s="181" t="s">
        <v>123</v>
      </c>
      <c r="V79" s="24"/>
    </row>
    <row r="80" spans="1:23">
      <c r="A80" s="24" t="s">
        <v>233</v>
      </c>
      <c r="B80" s="189">
        <v>73299.925784129999</v>
      </c>
      <c r="C80" s="189">
        <v>23600</v>
      </c>
      <c r="D80" s="189">
        <v>14732.222</v>
      </c>
      <c r="E80" s="189">
        <v>22784</v>
      </c>
      <c r="F80" s="189">
        <v>3500</v>
      </c>
      <c r="G80" s="189">
        <v>10900</v>
      </c>
      <c r="H80" s="189">
        <v>7586.7822497400002</v>
      </c>
      <c r="I80" s="189"/>
      <c r="J80" s="189">
        <v>70</v>
      </c>
      <c r="K80" s="189">
        <v>1380</v>
      </c>
      <c r="L80" s="189">
        <v>510</v>
      </c>
      <c r="M80" s="189">
        <v>400</v>
      </c>
      <c r="N80" s="189">
        <v>1000</v>
      </c>
      <c r="O80" s="189">
        <v>500</v>
      </c>
      <c r="P80" s="189"/>
      <c r="Q80" s="189"/>
      <c r="R80" s="189">
        <v>54</v>
      </c>
      <c r="S80" s="189">
        <v>150</v>
      </c>
      <c r="T80" s="189">
        <v>5</v>
      </c>
      <c r="U80" s="189">
        <v>260</v>
      </c>
      <c r="V80" s="72">
        <v>160731.93003387001</v>
      </c>
    </row>
    <row r="81" spans="1:23">
      <c r="A81" s="24" t="s">
        <v>403</v>
      </c>
      <c r="B81" s="189"/>
      <c r="C81" s="189"/>
      <c r="D81" s="189"/>
      <c r="E81" s="189">
        <v>4800</v>
      </c>
      <c r="F81" s="189"/>
      <c r="G81" s="189"/>
      <c r="H81" s="189"/>
      <c r="I81" s="189"/>
      <c r="J81" s="189"/>
      <c r="K81" s="189"/>
      <c r="L81" s="189"/>
      <c r="M81" s="189"/>
      <c r="N81" s="189"/>
      <c r="O81" s="189"/>
      <c r="P81" s="189"/>
      <c r="Q81" s="189"/>
      <c r="R81" s="189"/>
      <c r="S81" s="189"/>
      <c r="T81" s="189">
        <v>10</v>
      </c>
      <c r="U81" s="189"/>
      <c r="V81" s="72">
        <v>4810</v>
      </c>
    </row>
    <row r="82" spans="1:23">
      <c r="A82" s="24" t="s">
        <v>404</v>
      </c>
      <c r="B82" s="189">
        <v>70501</v>
      </c>
      <c r="C82" s="189">
        <v>26500</v>
      </c>
      <c r="D82" s="189">
        <v>13708.682000000001</v>
      </c>
      <c r="E82" s="189">
        <v>38956</v>
      </c>
      <c r="F82" s="189">
        <v>7000</v>
      </c>
      <c r="G82" s="189">
        <v>5700</v>
      </c>
      <c r="H82" s="189">
        <v>3430.0981345199998</v>
      </c>
      <c r="I82" s="189">
        <v>1904.8340000000001</v>
      </c>
      <c r="J82" s="189">
        <v>4525.098</v>
      </c>
      <c r="K82" s="189">
        <v>3654.413</v>
      </c>
      <c r="L82" s="189">
        <v>2722.4090000000001</v>
      </c>
      <c r="M82" s="189">
        <v>1000</v>
      </c>
      <c r="N82" s="189">
        <v>4000</v>
      </c>
      <c r="O82" s="189">
        <v>4120</v>
      </c>
      <c r="P82" s="189">
        <v>1662</v>
      </c>
      <c r="Q82" s="189">
        <v>1719</v>
      </c>
      <c r="R82" s="189">
        <v>1840</v>
      </c>
      <c r="S82" s="189">
        <v>1000</v>
      </c>
      <c r="T82" s="189">
        <v>140.26402640000001</v>
      </c>
      <c r="U82" s="189">
        <v>507.64921678000002</v>
      </c>
      <c r="V82" s="72">
        <v>194591.44737770001</v>
      </c>
    </row>
    <row r="83" spans="1:23">
      <c r="A83" s="217" t="s">
        <v>405</v>
      </c>
      <c r="B83" s="194">
        <v>10464</v>
      </c>
      <c r="C83" s="194">
        <v>2920</v>
      </c>
      <c r="D83" s="194">
        <v>17635.3</v>
      </c>
      <c r="E83" s="194"/>
      <c r="F83" s="194"/>
      <c r="G83" s="194">
        <v>5200</v>
      </c>
      <c r="H83" s="194">
        <v>2271</v>
      </c>
      <c r="I83" s="194"/>
      <c r="J83" s="194"/>
      <c r="K83" s="194">
        <v>250</v>
      </c>
      <c r="L83" s="194">
        <v>100</v>
      </c>
      <c r="M83" s="194">
        <v>400</v>
      </c>
      <c r="N83" s="194">
        <v>1600</v>
      </c>
      <c r="O83" s="194">
        <v>40</v>
      </c>
      <c r="P83" s="194"/>
      <c r="Q83" s="194"/>
      <c r="R83" s="194"/>
      <c r="S83" s="194"/>
      <c r="T83" s="194">
        <v>54.455445539999999</v>
      </c>
      <c r="U83" s="194"/>
      <c r="V83" s="72">
        <v>40934.755445540002</v>
      </c>
    </row>
    <row r="84" spans="1:23">
      <c r="A84" s="24" t="s">
        <v>373</v>
      </c>
      <c r="B84" s="222">
        <v>1296.6278335699999</v>
      </c>
      <c r="C84" s="222">
        <v>8000</v>
      </c>
      <c r="D84" s="222"/>
      <c r="E84" s="222">
        <v>6426.3509999999997</v>
      </c>
      <c r="F84" s="222">
        <v>198.3</v>
      </c>
      <c r="G84" s="222"/>
      <c r="H84" s="222"/>
      <c r="I84" s="222">
        <v>5315</v>
      </c>
      <c r="J84" s="222">
        <v>6795</v>
      </c>
      <c r="K84" s="222">
        <v>1972</v>
      </c>
      <c r="L84" s="222">
        <v>237</v>
      </c>
      <c r="M84" s="222"/>
      <c r="N84" s="222"/>
      <c r="O84" s="222">
        <v>2400</v>
      </c>
      <c r="P84" s="222"/>
      <c r="Q84" s="222"/>
      <c r="R84" s="222"/>
      <c r="S84" s="222"/>
      <c r="T84" s="222"/>
      <c r="U84" s="222"/>
      <c r="V84" s="72">
        <v>32640.278833569999</v>
      </c>
    </row>
    <row r="85" spans="1:23">
      <c r="A85" s="179" t="s">
        <v>375</v>
      </c>
      <c r="B85" s="336">
        <v>4036</v>
      </c>
      <c r="C85" s="336">
        <v>13600</v>
      </c>
      <c r="D85" s="336">
        <v>1938.1020000000001</v>
      </c>
      <c r="E85" s="336">
        <v>3500</v>
      </c>
      <c r="F85" s="336">
        <v>536.5</v>
      </c>
      <c r="G85" s="336">
        <v>43</v>
      </c>
      <c r="H85" s="336">
        <v>134.25</v>
      </c>
      <c r="I85" s="336"/>
      <c r="J85" s="336"/>
      <c r="K85" s="336"/>
      <c r="L85" s="336"/>
      <c r="M85" s="336"/>
      <c r="N85" s="336"/>
      <c r="O85" s="336"/>
      <c r="P85" s="336"/>
      <c r="Q85" s="336"/>
      <c r="R85" s="336"/>
      <c r="S85" s="336">
        <v>128</v>
      </c>
      <c r="T85" s="336">
        <v>1608.13508419</v>
      </c>
      <c r="U85" s="336"/>
      <c r="V85" s="72">
        <v>25523.987084189997</v>
      </c>
    </row>
    <row r="86" spans="1:23">
      <c r="A86" s="40" t="s">
        <v>164</v>
      </c>
      <c r="B86" s="222">
        <v>8393</v>
      </c>
      <c r="C86" s="222">
        <v>1800</v>
      </c>
      <c r="D86" s="222">
        <v>2954</v>
      </c>
      <c r="E86" s="222">
        <v>4212</v>
      </c>
      <c r="F86" s="222">
        <v>1323.1</v>
      </c>
      <c r="G86" s="222"/>
      <c r="H86" s="222">
        <v>1395</v>
      </c>
      <c r="I86" s="222"/>
      <c r="J86" s="222"/>
      <c r="K86" s="222"/>
      <c r="L86" s="222"/>
      <c r="M86" s="222"/>
      <c r="N86" s="222"/>
      <c r="O86" s="222"/>
      <c r="P86" s="222"/>
      <c r="Q86" s="222"/>
      <c r="R86" s="222"/>
      <c r="S86" s="222">
        <v>900</v>
      </c>
      <c r="T86" s="222"/>
      <c r="U86" s="222"/>
      <c r="V86" s="72">
        <v>20977.1</v>
      </c>
    </row>
    <row r="87" spans="1:23">
      <c r="A87" s="218" t="s">
        <v>228</v>
      </c>
      <c r="B87" s="337">
        <v>1457.70490909</v>
      </c>
      <c r="C87" s="337">
        <v>1700</v>
      </c>
      <c r="D87" s="337"/>
      <c r="E87" s="337">
        <v>1744.12401899</v>
      </c>
      <c r="F87" s="337">
        <v>150</v>
      </c>
      <c r="G87" s="337"/>
      <c r="H87" s="337"/>
      <c r="I87" s="337"/>
      <c r="J87" s="337"/>
      <c r="K87" s="337"/>
      <c r="L87" s="337"/>
      <c r="M87" s="337"/>
      <c r="N87" s="337"/>
      <c r="O87" s="337"/>
      <c r="P87" s="337">
        <v>4931.3999999999996</v>
      </c>
      <c r="Q87" s="337">
        <v>5540.4</v>
      </c>
      <c r="R87" s="337">
        <v>24000.400000000001</v>
      </c>
      <c r="S87" s="337"/>
      <c r="T87" s="337"/>
      <c r="U87" s="337"/>
      <c r="V87" s="72">
        <v>39524.028928079999</v>
      </c>
      <c r="W87" s="39"/>
    </row>
    <row r="88" spans="1:23">
      <c r="A88" s="24" t="s">
        <v>409</v>
      </c>
      <c r="B88" s="189"/>
      <c r="C88" s="189"/>
      <c r="D88" s="189">
        <v>12</v>
      </c>
      <c r="E88" s="189"/>
      <c r="F88" s="189">
        <v>1870.4163879</v>
      </c>
      <c r="G88" s="189"/>
      <c r="H88" s="189"/>
      <c r="I88" s="189"/>
      <c r="J88" s="189"/>
      <c r="K88" s="189"/>
      <c r="L88" s="189"/>
      <c r="M88" s="189"/>
      <c r="N88" s="189"/>
      <c r="O88" s="205">
        <v>693.57142850000002</v>
      </c>
      <c r="P88" s="189"/>
      <c r="Q88" s="189"/>
      <c r="R88" s="189"/>
      <c r="S88" s="189"/>
      <c r="T88" s="189"/>
      <c r="U88" s="189"/>
      <c r="V88" s="72">
        <v>2575.9878164000002</v>
      </c>
    </row>
    <row r="89" spans="1:23">
      <c r="A89" s="24" t="s">
        <v>410</v>
      </c>
      <c r="B89" s="189"/>
      <c r="C89" s="189"/>
      <c r="D89" s="189">
        <v>3402</v>
      </c>
      <c r="E89" s="189"/>
      <c r="F89" s="189">
        <v>707.34870520000004</v>
      </c>
      <c r="G89" s="189">
        <v>620</v>
      </c>
      <c r="H89" s="189">
        <v>615.78599922000001</v>
      </c>
      <c r="I89" s="189"/>
      <c r="J89" s="189"/>
      <c r="K89" s="189"/>
      <c r="L89" s="189"/>
      <c r="M89" s="189">
        <v>320</v>
      </c>
      <c r="N89" s="189">
        <v>518</v>
      </c>
      <c r="O89" s="205">
        <v>456</v>
      </c>
      <c r="P89" s="189"/>
      <c r="Q89" s="189"/>
      <c r="R89" s="189"/>
      <c r="S89" s="189"/>
      <c r="T89" s="189"/>
      <c r="U89" s="189"/>
      <c r="V89" s="72">
        <v>6639.1347044200002</v>
      </c>
    </row>
    <row r="90" spans="1:23">
      <c r="A90" s="179" t="s">
        <v>408</v>
      </c>
      <c r="B90" s="190"/>
      <c r="C90" s="190"/>
      <c r="D90" s="190">
        <v>270</v>
      </c>
      <c r="E90" s="190"/>
      <c r="F90" s="190"/>
      <c r="G90" s="190">
        <v>3381</v>
      </c>
      <c r="H90" s="190"/>
      <c r="I90" s="190"/>
      <c r="J90" s="190"/>
      <c r="K90" s="190"/>
      <c r="L90" s="190"/>
      <c r="M90" s="190"/>
      <c r="N90" s="190"/>
      <c r="O90" s="190">
        <v>471.99999989999998</v>
      </c>
      <c r="P90" s="190"/>
      <c r="Q90" s="190"/>
      <c r="R90" s="190"/>
      <c r="S90" s="190"/>
      <c r="T90" s="190"/>
      <c r="U90" s="190"/>
      <c r="V90" s="72">
        <v>4122.9999999000001</v>
      </c>
    </row>
    <row r="91" spans="1:23">
      <c r="A91" s="24" t="s">
        <v>411</v>
      </c>
      <c r="B91" s="189"/>
      <c r="C91" s="189"/>
      <c r="D91" s="189"/>
      <c r="E91" s="189"/>
      <c r="F91" s="189"/>
      <c r="G91" s="189"/>
      <c r="H91" s="189"/>
      <c r="I91" s="189"/>
      <c r="J91" s="189"/>
      <c r="K91" s="189"/>
      <c r="L91" s="189"/>
      <c r="M91" s="189">
        <v>212.00000001000001</v>
      </c>
      <c r="N91" s="189">
        <v>137.00000001000001</v>
      </c>
      <c r="O91" s="189"/>
      <c r="P91" s="189"/>
      <c r="Q91" s="189"/>
      <c r="R91" s="189"/>
      <c r="S91" s="189"/>
      <c r="T91" s="189"/>
      <c r="U91" s="189"/>
      <c r="V91" s="72">
        <v>349.00000002000002</v>
      </c>
    </row>
    <row r="92" spans="1:23">
      <c r="A92" s="179" t="s">
        <v>413</v>
      </c>
      <c r="B92" s="190"/>
      <c r="C92" s="190"/>
      <c r="D92" s="190"/>
      <c r="E92" s="190"/>
      <c r="F92" s="190"/>
      <c r="G92" s="190"/>
      <c r="H92" s="190"/>
      <c r="I92" s="190"/>
      <c r="J92" s="190"/>
      <c r="K92" s="190"/>
      <c r="L92" s="190"/>
      <c r="M92" s="190"/>
      <c r="N92" s="190"/>
      <c r="O92" s="190"/>
      <c r="P92" s="190"/>
      <c r="Q92" s="190"/>
      <c r="R92" s="190"/>
      <c r="S92" s="190"/>
      <c r="T92" s="190"/>
      <c r="U92" s="190">
        <v>660</v>
      </c>
      <c r="V92" s="72">
        <v>660</v>
      </c>
    </row>
    <row r="93" spans="1:23">
      <c r="A93" s="24" t="s">
        <v>406</v>
      </c>
      <c r="B93" s="189"/>
      <c r="C93" s="189"/>
      <c r="D93" s="189"/>
      <c r="E93" s="189"/>
      <c r="F93" s="189"/>
      <c r="G93" s="189"/>
      <c r="H93" s="189"/>
      <c r="I93" s="189"/>
      <c r="J93" s="189"/>
      <c r="K93" s="189"/>
      <c r="L93" s="189"/>
      <c r="M93" s="189"/>
      <c r="N93" s="189">
        <v>430</v>
      </c>
      <c r="O93" s="189"/>
      <c r="P93" s="189"/>
      <c r="Q93" s="189"/>
      <c r="R93" s="189"/>
      <c r="S93" s="189"/>
      <c r="T93" s="189"/>
      <c r="U93" s="189"/>
      <c r="V93" s="72">
        <v>430</v>
      </c>
    </row>
    <row r="94" spans="1:23">
      <c r="A94" s="179" t="s">
        <v>407</v>
      </c>
      <c r="B94" s="190"/>
      <c r="C94" s="190"/>
      <c r="D94" s="190"/>
      <c r="E94" s="190"/>
      <c r="F94" s="190"/>
      <c r="G94" s="190"/>
      <c r="H94" s="190"/>
      <c r="I94" s="190"/>
      <c r="J94" s="190"/>
      <c r="K94" s="190"/>
      <c r="L94" s="190"/>
      <c r="M94" s="338">
        <v>520</v>
      </c>
      <c r="N94" s="190"/>
      <c r="O94" s="190"/>
      <c r="P94" s="190"/>
      <c r="Q94" s="190"/>
      <c r="R94" s="190"/>
      <c r="S94" s="190"/>
      <c r="T94" s="190"/>
      <c r="U94" s="190"/>
      <c r="V94" s="72">
        <v>520</v>
      </c>
      <c r="W94" s="72"/>
    </row>
    <row r="95" spans="1:23">
      <c r="A95" s="204" t="s">
        <v>238</v>
      </c>
      <c r="B95" s="192">
        <v>7935</v>
      </c>
      <c r="C95" s="192">
        <v>2549</v>
      </c>
      <c r="D95" s="192">
        <v>4637.0009769999997</v>
      </c>
      <c r="E95" s="192">
        <v>1586</v>
      </c>
      <c r="F95" s="192">
        <v>923</v>
      </c>
      <c r="G95" s="192">
        <v>540</v>
      </c>
      <c r="H95" s="192">
        <v>275.2637939</v>
      </c>
      <c r="I95" s="192">
        <v>258</v>
      </c>
      <c r="J95" s="192">
        <v>537</v>
      </c>
      <c r="K95" s="192">
        <v>2623</v>
      </c>
      <c r="L95" s="192">
        <v>591</v>
      </c>
      <c r="M95" s="192">
        <v>265.44000240000003</v>
      </c>
      <c r="N95" s="192">
        <v>457.9599915</v>
      </c>
      <c r="O95" s="192">
        <v>3028</v>
      </c>
      <c r="P95" s="192"/>
      <c r="Q95" s="192">
        <v>40.002998349999999</v>
      </c>
      <c r="R95" s="192">
        <v>36.299999239999998</v>
      </c>
      <c r="S95" s="192">
        <v>190</v>
      </c>
      <c r="T95" s="192">
        <v>0.21600000999999999</v>
      </c>
      <c r="U95" s="192">
        <v>148.6499939</v>
      </c>
      <c r="V95" s="72">
        <v>26620.833756299999</v>
      </c>
    </row>
    <row r="96" spans="1:23">
      <c r="A96" s="180" t="s">
        <v>142</v>
      </c>
      <c r="B96" s="193"/>
      <c r="C96" s="206">
        <v>61761.000011999997</v>
      </c>
      <c r="D96" s="193">
        <v>7149</v>
      </c>
      <c r="E96" s="193">
        <v>7126.9500749999997</v>
      </c>
      <c r="F96" s="193"/>
      <c r="G96" s="193">
        <v>486</v>
      </c>
      <c r="H96" s="193"/>
      <c r="I96" s="193"/>
      <c r="J96" s="193"/>
      <c r="K96" s="193">
        <v>6835</v>
      </c>
      <c r="L96" s="193"/>
      <c r="M96" s="193"/>
      <c r="N96" s="193"/>
      <c r="O96" s="193">
        <v>4384</v>
      </c>
      <c r="P96" s="193"/>
      <c r="Q96" s="193"/>
      <c r="R96" s="193"/>
      <c r="S96" s="193"/>
      <c r="T96" s="193"/>
      <c r="U96" s="193"/>
      <c r="V96" s="72">
        <v>87741.950087000005</v>
      </c>
    </row>
    <row r="97" spans="1:22">
      <c r="A97" s="24" t="s">
        <v>412</v>
      </c>
      <c r="B97" s="189">
        <v>5567.9000029999997</v>
      </c>
      <c r="C97" s="189"/>
      <c r="D97" s="189"/>
      <c r="E97" s="189"/>
      <c r="F97" s="189">
        <v>451.35998540000003</v>
      </c>
      <c r="G97" s="189"/>
      <c r="H97" s="189"/>
      <c r="I97" s="189"/>
      <c r="J97" s="189"/>
      <c r="K97" s="189"/>
      <c r="L97" s="189"/>
      <c r="M97" s="189"/>
      <c r="N97" s="189"/>
      <c r="O97" s="189"/>
      <c r="P97" s="189"/>
      <c r="Q97" s="189"/>
      <c r="R97" s="189"/>
      <c r="S97" s="189"/>
      <c r="T97" s="189"/>
      <c r="U97" s="189"/>
      <c r="V97" s="72">
        <v>6019.2599884000001</v>
      </c>
    </row>
    <row r="98" spans="1:22">
      <c r="A98" s="24" t="s">
        <v>380</v>
      </c>
      <c r="B98" s="189"/>
      <c r="C98" s="189"/>
      <c r="D98" s="189"/>
      <c r="E98" s="189"/>
      <c r="F98" s="189">
        <v>5322.0000006</v>
      </c>
      <c r="G98" s="189"/>
      <c r="H98" s="189"/>
      <c r="I98" s="189"/>
      <c r="J98" s="189"/>
      <c r="K98" s="189"/>
      <c r="L98" s="189"/>
      <c r="M98" s="189"/>
      <c r="N98" s="189"/>
      <c r="O98" s="189"/>
      <c r="P98" s="189"/>
      <c r="Q98" s="189"/>
      <c r="R98" s="189"/>
      <c r="S98" s="189"/>
      <c r="T98" s="189"/>
      <c r="U98" s="189"/>
      <c r="V98" s="72">
        <v>5322.0000006</v>
      </c>
    </row>
    <row r="99" spans="1:22">
      <c r="A99" s="179" t="s">
        <v>381</v>
      </c>
      <c r="B99" s="190">
        <v>3844.7000010000002</v>
      </c>
      <c r="C99" s="190"/>
      <c r="D99" s="190"/>
      <c r="E99" s="190"/>
      <c r="F99" s="190">
        <v>1840</v>
      </c>
      <c r="G99" s="190"/>
      <c r="H99" s="190"/>
      <c r="I99" s="190"/>
      <c r="J99" s="190"/>
      <c r="K99" s="190"/>
      <c r="L99" s="190"/>
      <c r="M99" s="190"/>
      <c r="N99" s="190"/>
      <c r="O99" s="190"/>
      <c r="P99" s="190"/>
      <c r="Q99" s="190"/>
      <c r="R99" s="190"/>
      <c r="S99" s="190"/>
      <c r="T99" s="190"/>
      <c r="U99" s="190"/>
      <c r="V99" s="72">
        <v>5684.7000010000002</v>
      </c>
    </row>
    <row r="100" spans="1:22">
      <c r="A100" s="24" t="s">
        <v>382</v>
      </c>
      <c r="B100" s="189">
        <v>110</v>
      </c>
      <c r="C100" s="189"/>
      <c r="D100" s="189"/>
      <c r="E100" s="189">
        <v>4317.7899779999998</v>
      </c>
      <c r="F100" s="189">
        <v>6650.3693792000004</v>
      </c>
      <c r="G100" s="189"/>
      <c r="H100" s="189"/>
      <c r="I100" s="189"/>
      <c r="J100" s="189"/>
      <c r="K100" s="189"/>
      <c r="L100" s="189"/>
      <c r="M100" s="189"/>
      <c r="N100" s="189"/>
      <c r="O100" s="189">
        <v>277.42857140000001</v>
      </c>
      <c r="P100" s="189"/>
      <c r="Q100" s="189"/>
      <c r="R100" s="189"/>
      <c r="S100" s="189"/>
      <c r="T100" s="189"/>
      <c r="U100" s="189"/>
      <c r="V100" s="72">
        <v>11355.5879286</v>
      </c>
    </row>
    <row r="101" spans="1:22">
      <c r="A101" s="24" t="s">
        <v>383</v>
      </c>
      <c r="B101" s="189">
        <v>5835.7999980000004</v>
      </c>
      <c r="C101" s="189"/>
      <c r="D101" s="189"/>
      <c r="E101" s="189"/>
      <c r="F101" s="189">
        <v>2122.0461156000001</v>
      </c>
      <c r="G101" s="189"/>
      <c r="H101" s="189"/>
      <c r="I101" s="189"/>
      <c r="J101" s="189"/>
      <c r="K101" s="189"/>
      <c r="L101" s="189"/>
      <c r="M101" s="189"/>
      <c r="N101" s="189">
        <v>259</v>
      </c>
      <c r="O101" s="189"/>
      <c r="P101" s="189"/>
      <c r="Q101" s="189"/>
      <c r="R101" s="189"/>
      <c r="S101" s="189"/>
      <c r="T101" s="189"/>
      <c r="U101" s="189"/>
      <c r="V101" s="72">
        <v>8216.8461136000005</v>
      </c>
    </row>
    <row r="102" spans="1:22">
      <c r="A102" s="179" t="s">
        <v>384</v>
      </c>
      <c r="B102" s="190">
        <v>7703.8000101999996</v>
      </c>
      <c r="C102" s="190"/>
      <c r="D102" s="190"/>
      <c r="E102" s="190"/>
      <c r="F102" s="190">
        <v>4450.2999879999998</v>
      </c>
      <c r="G102" s="190"/>
      <c r="H102" s="190"/>
      <c r="I102" s="190"/>
      <c r="J102" s="190"/>
      <c r="K102" s="190"/>
      <c r="L102" s="190"/>
      <c r="M102" s="190"/>
      <c r="N102" s="190">
        <v>410</v>
      </c>
      <c r="O102" s="190"/>
      <c r="P102" s="190"/>
      <c r="Q102" s="190"/>
      <c r="R102" s="190"/>
      <c r="S102" s="190"/>
      <c r="T102" s="190"/>
      <c r="U102" s="190"/>
      <c r="V102" s="72">
        <v>12564.099998199999</v>
      </c>
    </row>
    <row r="103" spans="1:22">
      <c r="A103" s="24" t="s">
        <v>385</v>
      </c>
      <c r="B103" s="189"/>
      <c r="C103" s="189"/>
      <c r="D103" s="189">
        <v>268.99999995000002</v>
      </c>
      <c r="E103" s="189"/>
      <c r="F103" s="189"/>
      <c r="G103" s="189"/>
      <c r="H103" s="189">
        <v>140</v>
      </c>
      <c r="I103" s="189"/>
      <c r="J103" s="189"/>
      <c r="K103" s="189"/>
      <c r="L103" s="189"/>
      <c r="M103" s="189"/>
      <c r="N103" s="189"/>
      <c r="O103" s="189"/>
      <c r="P103" s="189"/>
      <c r="Q103" s="189"/>
      <c r="R103" s="189"/>
      <c r="S103" s="189"/>
      <c r="T103" s="189"/>
      <c r="U103" s="189"/>
      <c r="V103" s="72">
        <v>408.99999995000002</v>
      </c>
    </row>
    <row r="104" spans="1:22">
      <c r="A104" s="24" t="s">
        <v>248</v>
      </c>
      <c r="B104" s="189">
        <v>1059.38999838</v>
      </c>
      <c r="C104" s="189"/>
      <c r="D104" s="189">
        <v>68</v>
      </c>
      <c r="E104" s="189"/>
      <c r="F104" s="189"/>
      <c r="G104" s="189"/>
      <c r="H104" s="189"/>
      <c r="I104" s="189"/>
      <c r="J104" s="189"/>
      <c r="K104" s="189"/>
      <c r="L104" s="189"/>
      <c r="M104" s="189"/>
      <c r="N104" s="189"/>
      <c r="O104" s="189"/>
      <c r="P104" s="189"/>
      <c r="Q104" s="189"/>
      <c r="R104" s="189"/>
      <c r="S104" s="189"/>
      <c r="T104" s="189"/>
      <c r="U104" s="189"/>
      <c r="V104" s="72">
        <v>1127.38999838</v>
      </c>
    </row>
    <row r="105" spans="1:22">
      <c r="A105" s="179" t="s">
        <v>414</v>
      </c>
      <c r="B105" s="190"/>
      <c r="C105" s="190"/>
      <c r="D105" s="190"/>
      <c r="E105" s="190"/>
      <c r="F105" s="190"/>
      <c r="G105" s="190"/>
      <c r="H105" s="190"/>
      <c r="I105" s="190"/>
      <c r="J105" s="190"/>
      <c r="K105" s="190"/>
      <c r="L105" s="190"/>
      <c r="M105" s="190"/>
      <c r="N105" s="190"/>
      <c r="O105" s="190"/>
      <c r="P105" s="190"/>
      <c r="Q105" s="190"/>
      <c r="R105" s="190"/>
      <c r="S105" s="190"/>
      <c r="T105" s="190"/>
      <c r="U105" s="190">
        <v>672</v>
      </c>
      <c r="V105" s="72">
        <v>672</v>
      </c>
    </row>
    <row r="106" spans="1:22">
      <c r="A106" s="24" t="s">
        <v>386</v>
      </c>
      <c r="B106" s="189">
        <v>1993.8290024400001</v>
      </c>
      <c r="C106" s="189"/>
      <c r="D106" s="189">
        <v>57</v>
      </c>
      <c r="E106" s="189"/>
      <c r="F106" s="189"/>
      <c r="G106" s="189"/>
      <c r="H106" s="189"/>
      <c r="I106" s="189"/>
      <c r="J106" s="189"/>
      <c r="K106" s="189"/>
      <c r="L106" s="189"/>
      <c r="M106" s="189"/>
      <c r="N106" s="189"/>
      <c r="O106" s="189"/>
      <c r="P106" s="189"/>
      <c r="Q106" s="189"/>
      <c r="R106" s="189"/>
      <c r="S106" s="189"/>
      <c r="T106" s="189"/>
      <c r="U106" s="189">
        <v>94</v>
      </c>
      <c r="V106" s="72">
        <v>2144.8290024400003</v>
      </c>
    </row>
    <row r="107" spans="1:22">
      <c r="A107" s="24" t="s">
        <v>387</v>
      </c>
      <c r="B107" s="189">
        <v>1120.1699980799999</v>
      </c>
      <c r="C107" s="189"/>
      <c r="D107" s="189"/>
      <c r="E107" s="189"/>
      <c r="F107" s="189"/>
      <c r="G107" s="189"/>
      <c r="H107" s="189">
        <v>781.10000032000005</v>
      </c>
      <c r="I107" s="189"/>
      <c r="J107" s="189"/>
      <c r="K107" s="189"/>
      <c r="L107" s="189"/>
      <c r="M107" s="189"/>
      <c r="N107" s="189"/>
      <c r="O107" s="189"/>
      <c r="P107" s="189"/>
      <c r="Q107" s="189"/>
      <c r="R107" s="189"/>
      <c r="S107" s="189"/>
      <c r="T107" s="189"/>
      <c r="U107" s="189"/>
      <c r="V107" s="72">
        <v>1901.2699984000001</v>
      </c>
    </row>
    <row r="108" spans="1:22">
      <c r="A108" s="24" t="s">
        <v>391</v>
      </c>
      <c r="B108" s="189">
        <v>281.06000087000001</v>
      </c>
      <c r="C108" s="189">
        <v>199</v>
      </c>
      <c r="D108" s="189">
        <v>931</v>
      </c>
      <c r="E108" s="189"/>
      <c r="F108" s="189"/>
      <c r="G108" s="189">
        <v>40</v>
      </c>
      <c r="H108" s="189">
        <v>50</v>
      </c>
      <c r="I108" s="189"/>
      <c r="J108" s="189">
        <v>53.748001100000003</v>
      </c>
      <c r="K108" s="189">
        <v>57.041000369999999</v>
      </c>
      <c r="L108" s="189"/>
      <c r="M108" s="189"/>
      <c r="N108" s="189"/>
      <c r="O108" s="189">
        <v>232</v>
      </c>
      <c r="P108" s="189"/>
      <c r="Q108" s="189"/>
      <c r="R108" s="189"/>
      <c r="S108" s="189"/>
      <c r="T108" s="189"/>
      <c r="U108" s="189"/>
      <c r="V108" s="72">
        <v>1843.84900234</v>
      </c>
    </row>
    <row r="109" spans="1:22">
      <c r="A109" s="24" t="s">
        <v>388</v>
      </c>
      <c r="B109" s="189">
        <v>3671.6880017399999</v>
      </c>
      <c r="C109" s="189"/>
      <c r="D109" s="189">
        <v>465</v>
      </c>
      <c r="E109" s="189"/>
      <c r="F109" s="189"/>
      <c r="G109" s="189">
        <v>1957.5000001999999</v>
      </c>
      <c r="H109" s="189"/>
      <c r="I109" s="189"/>
      <c r="J109" s="189"/>
      <c r="K109" s="189"/>
      <c r="L109" s="189"/>
      <c r="M109" s="189"/>
      <c r="N109" s="189"/>
      <c r="O109" s="189"/>
      <c r="P109" s="189"/>
      <c r="Q109" s="189"/>
      <c r="R109" s="189"/>
      <c r="S109" s="189"/>
      <c r="T109" s="189"/>
      <c r="U109" s="189"/>
      <c r="V109" s="72">
        <v>6094.1880019399996</v>
      </c>
    </row>
    <row r="110" spans="1:22">
      <c r="A110" s="24" t="s">
        <v>389</v>
      </c>
      <c r="B110" s="189">
        <v>5511.9999564</v>
      </c>
      <c r="C110" s="189"/>
      <c r="D110" s="189">
        <v>14848.100037</v>
      </c>
      <c r="E110" s="189"/>
      <c r="F110" s="189"/>
      <c r="G110" s="189">
        <v>2232.0000000999999</v>
      </c>
      <c r="H110" s="189">
        <v>965</v>
      </c>
      <c r="I110" s="189"/>
      <c r="J110" s="189"/>
      <c r="K110" s="189"/>
      <c r="L110" s="189"/>
      <c r="M110" s="189">
        <v>23.200000760000002</v>
      </c>
      <c r="N110" s="189"/>
      <c r="O110" s="205">
        <v>640</v>
      </c>
      <c r="P110" s="189"/>
      <c r="Q110" s="189"/>
      <c r="R110" s="189"/>
      <c r="S110" s="189"/>
      <c r="T110" s="189"/>
      <c r="U110" s="189"/>
      <c r="V110" s="72">
        <v>24220.29999426</v>
      </c>
    </row>
    <row r="111" spans="1:22">
      <c r="A111" s="24" t="s">
        <v>393</v>
      </c>
      <c r="B111" s="189"/>
      <c r="C111" s="189">
        <v>792</v>
      </c>
      <c r="D111" s="189"/>
      <c r="E111" s="189">
        <v>24498.5600013</v>
      </c>
      <c r="F111" s="189"/>
      <c r="G111" s="189"/>
      <c r="H111" s="189"/>
      <c r="I111" s="189"/>
      <c r="J111" s="189"/>
      <c r="K111" s="189">
        <v>267</v>
      </c>
      <c r="L111" s="189"/>
      <c r="M111" s="189"/>
      <c r="N111" s="189"/>
      <c r="O111" s="205">
        <v>234</v>
      </c>
      <c r="P111" s="189"/>
      <c r="Q111" s="189"/>
      <c r="R111" s="189"/>
      <c r="S111" s="189"/>
      <c r="T111" s="189">
        <v>99</v>
      </c>
      <c r="U111" s="189"/>
      <c r="V111" s="72">
        <v>25890.5600013</v>
      </c>
    </row>
    <row r="112" spans="1:22">
      <c r="A112" s="24" t="s">
        <v>394</v>
      </c>
      <c r="B112" s="189"/>
      <c r="C112" s="189">
        <v>5346.9999995999997</v>
      </c>
      <c r="D112" s="189">
        <v>910</v>
      </c>
      <c r="E112" s="189"/>
      <c r="F112" s="189"/>
      <c r="G112" s="189">
        <v>6160.0000005000002</v>
      </c>
      <c r="H112" s="189">
        <v>3287.2000121999999</v>
      </c>
      <c r="I112" s="189"/>
      <c r="J112" s="189"/>
      <c r="K112" s="189"/>
      <c r="L112" s="189"/>
      <c r="M112" s="189"/>
      <c r="N112" s="189"/>
      <c r="O112" s="189"/>
      <c r="P112" s="189"/>
      <c r="Q112" s="189"/>
      <c r="R112" s="189"/>
      <c r="S112" s="189"/>
      <c r="T112" s="189"/>
      <c r="U112" s="189"/>
      <c r="V112" s="72">
        <v>15704.2000123</v>
      </c>
    </row>
    <row r="113" spans="1:23">
      <c r="A113" s="24" t="s">
        <v>392</v>
      </c>
      <c r="B113" s="189">
        <v>3102.90800008</v>
      </c>
      <c r="C113" s="205">
        <v>437.00000010000002</v>
      </c>
      <c r="D113" s="189"/>
      <c r="E113" s="189"/>
      <c r="F113" s="189"/>
      <c r="G113" s="189">
        <v>602.79999882000004</v>
      </c>
      <c r="H113" s="189">
        <v>242</v>
      </c>
      <c r="I113" s="189"/>
      <c r="J113" s="189"/>
      <c r="K113" s="189"/>
      <c r="L113" s="189"/>
      <c r="M113" s="189"/>
      <c r="N113" s="189"/>
      <c r="O113" s="189">
        <v>87</v>
      </c>
      <c r="P113" s="189"/>
      <c r="Q113" s="189"/>
      <c r="R113" s="189"/>
      <c r="S113" s="189"/>
      <c r="T113" s="189"/>
      <c r="U113" s="189"/>
      <c r="V113" s="72">
        <v>4471.7079990000002</v>
      </c>
    </row>
    <row r="114" spans="1:23">
      <c r="A114" s="179" t="s">
        <v>390</v>
      </c>
      <c r="B114" s="190">
        <v>6677.0999892</v>
      </c>
      <c r="C114" s="190">
        <v>414</v>
      </c>
      <c r="D114" s="190">
        <v>13694.999999400001</v>
      </c>
      <c r="E114" s="190"/>
      <c r="F114" s="190">
        <v>2016.3670044</v>
      </c>
      <c r="G114" s="190"/>
      <c r="H114" s="190">
        <v>2499</v>
      </c>
      <c r="I114" s="190"/>
      <c r="J114" s="190"/>
      <c r="K114" s="190"/>
      <c r="L114" s="190"/>
      <c r="M114" s="190"/>
      <c r="N114" s="190"/>
      <c r="O114" s="190"/>
      <c r="P114" s="190"/>
      <c r="Q114" s="190"/>
      <c r="R114" s="190"/>
      <c r="S114" s="190"/>
      <c r="T114" s="190">
        <v>850</v>
      </c>
      <c r="U114" s="190"/>
      <c r="V114" s="72">
        <v>26151.466992999998</v>
      </c>
    </row>
    <row r="115" spans="1:23">
      <c r="A115" s="202" t="s">
        <v>252</v>
      </c>
      <c r="B115" s="189">
        <v>8881.2998050000006</v>
      </c>
      <c r="C115" s="189">
        <v>1873.599976</v>
      </c>
      <c r="D115" s="189"/>
      <c r="E115" s="189">
        <v>4292</v>
      </c>
      <c r="F115" s="189">
        <v>6998</v>
      </c>
      <c r="G115" s="189">
        <v>4350</v>
      </c>
      <c r="H115" s="189">
        <v>1244</v>
      </c>
      <c r="I115" s="189"/>
      <c r="J115" s="189"/>
      <c r="K115" s="189"/>
      <c r="L115" s="189"/>
      <c r="M115" s="189">
        <v>57.900001529999997</v>
      </c>
      <c r="N115" s="189">
        <v>184.9400024</v>
      </c>
      <c r="O115" s="189">
        <v>320</v>
      </c>
      <c r="P115" s="189">
        <v>20</v>
      </c>
      <c r="Q115" s="189">
        <v>195</v>
      </c>
      <c r="R115" s="189">
        <v>50</v>
      </c>
      <c r="S115" s="189">
        <v>135</v>
      </c>
      <c r="T115" s="189"/>
      <c r="U115" s="189">
        <v>155</v>
      </c>
      <c r="V115" s="72">
        <v>28756.73978493</v>
      </c>
    </row>
    <row r="116" spans="1:23">
      <c r="A116" s="202" t="s">
        <v>415</v>
      </c>
      <c r="B116" s="189">
        <v>3993.3000489999999</v>
      </c>
      <c r="C116" s="189"/>
      <c r="D116" s="189"/>
      <c r="E116" s="189"/>
      <c r="F116" s="189"/>
      <c r="G116" s="189"/>
      <c r="H116" s="189"/>
      <c r="I116" s="189"/>
      <c r="J116" s="189"/>
      <c r="K116" s="189"/>
      <c r="L116" s="189"/>
      <c r="M116" s="189"/>
      <c r="N116" s="189"/>
      <c r="O116" s="189"/>
      <c r="P116" s="189"/>
      <c r="Q116" s="189"/>
      <c r="R116" s="189"/>
      <c r="S116" s="189"/>
      <c r="T116" s="189"/>
      <c r="U116" s="189"/>
      <c r="V116" s="72">
        <v>3993.3000489999999</v>
      </c>
    </row>
    <row r="117" spans="1:23">
      <c r="A117" s="202" t="s">
        <v>416</v>
      </c>
      <c r="B117" s="189"/>
      <c r="C117" s="189"/>
      <c r="D117" s="189"/>
      <c r="E117" s="189"/>
      <c r="F117" s="189"/>
      <c r="G117" s="189"/>
      <c r="H117" s="189"/>
      <c r="I117" s="189"/>
      <c r="J117" s="189"/>
      <c r="K117" s="189"/>
      <c r="L117" s="189"/>
      <c r="M117" s="189">
        <v>190.5</v>
      </c>
      <c r="N117" s="189"/>
      <c r="O117" s="189"/>
      <c r="P117" s="189"/>
      <c r="Q117" s="189"/>
      <c r="R117" s="189"/>
      <c r="S117" s="189"/>
      <c r="T117" s="189"/>
      <c r="U117" s="189"/>
      <c r="V117" s="72">
        <v>190.5</v>
      </c>
    </row>
    <row r="118" spans="1:23">
      <c r="A118" s="202" t="s">
        <v>417</v>
      </c>
      <c r="B118" s="189"/>
      <c r="C118" s="189"/>
      <c r="D118" s="189"/>
      <c r="E118" s="189"/>
      <c r="F118" s="189"/>
      <c r="G118" s="189"/>
      <c r="H118" s="189"/>
      <c r="I118" s="189"/>
      <c r="J118" s="189"/>
      <c r="K118" s="189"/>
      <c r="L118" s="189"/>
      <c r="M118" s="189"/>
      <c r="N118" s="189">
        <v>315.89999390000003</v>
      </c>
      <c r="O118" s="189"/>
      <c r="P118" s="189"/>
      <c r="Q118" s="189"/>
      <c r="R118" s="189"/>
      <c r="S118" s="189"/>
      <c r="T118" s="189"/>
      <c r="U118" s="189"/>
      <c r="V118" s="72">
        <v>315.89999390000003</v>
      </c>
    </row>
    <row r="119" spans="1:23">
      <c r="A119" s="202" t="s">
        <v>418</v>
      </c>
      <c r="B119" s="189"/>
      <c r="C119" s="189"/>
      <c r="D119" s="189"/>
      <c r="E119" s="189"/>
      <c r="F119" s="189"/>
      <c r="G119" s="189"/>
      <c r="H119" s="189"/>
      <c r="I119" s="189"/>
      <c r="J119" s="189"/>
      <c r="K119" s="189"/>
      <c r="L119" s="189"/>
      <c r="M119" s="189"/>
      <c r="N119" s="189"/>
      <c r="O119" s="189">
        <v>2921</v>
      </c>
      <c r="P119" s="189"/>
      <c r="Q119" s="189"/>
      <c r="R119" s="189"/>
      <c r="S119" s="189"/>
      <c r="T119" s="189"/>
      <c r="U119" s="189"/>
      <c r="V119" s="72">
        <v>2921</v>
      </c>
    </row>
    <row r="120" spans="1:23">
      <c r="A120" s="202" t="s">
        <v>419</v>
      </c>
      <c r="B120" s="189"/>
      <c r="C120" s="189">
        <v>4660.3999020000001</v>
      </c>
      <c r="D120" s="189"/>
      <c r="E120" s="189"/>
      <c r="F120" s="189"/>
      <c r="G120" s="189"/>
      <c r="H120" s="189"/>
      <c r="I120" s="189"/>
      <c r="J120" s="189"/>
      <c r="K120" s="189"/>
      <c r="L120" s="189"/>
      <c r="M120" s="189"/>
      <c r="N120" s="189"/>
      <c r="O120" s="189"/>
      <c r="P120" s="189"/>
      <c r="Q120" s="189"/>
      <c r="R120" s="189"/>
      <c r="S120" s="189"/>
      <c r="T120" s="189"/>
      <c r="U120" s="189"/>
      <c r="V120" s="72">
        <v>4660.3999020000001</v>
      </c>
    </row>
    <row r="121" spans="1:23">
      <c r="A121" s="203" t="s">
        <v>420</v>
      </c>
      <c r="B121" s="194"/>
      <c r="C121" s="194"/>
      <c r="D121" s="194">
        <v>7307.1940000000004</v>
      </c>
      <c r="E121" s="194"/>
      <c r="F121" s="194"/>
      <c r="G121" s="194"/>
      <c r="H121" s="194"/>
      <c r="I121" s="194"/>
      <c r="J121" s="194"/>
      <c r="K121" s="194"/>
      <c r="L121" s="194"/>
      <c r="M121" s="194"/>
      <c r="N121" s="194"/>
      <c r="O121" s="194"/>
      <c r="P121" s="194"/>
      <c r="Q121" s="194"/>
      <c r="R121" s="194"/>
      <c r="S121" s="194"/>
      <c r="T121" s="194"/>
      <c r="U121" s="194"/>
      <c r="V121" s="72">
        <v>7307.1940000000004</v>
      </c>
      <c r="W121" s="72"/>
    </row>
    <row r="122" spans="1:23">
      <c r="A122" s="136" t="s">
        <v>79</v>
      </c>
      <c r="B122" s="190">
        <v>500</v>
      </c>
      <c r="C122" s="190"/>
      <c r="D122" s="190"/>
      <c r="E122" s="190"/>
      <c r="F122" s="190"/>
      <c r="G122" s="190"/>
      <c r="H122" s="190"/>
      <c r="I122" s="190"/>
      <c r="J122" s="190"/>
      <c r="K122" s="190"/>
      <c r="L122" s="190"/>
      <c r="M122" s="190"/>
      <c r="N122" s="190"/>
      <c r="O122" s="190"/>
      <c r="P122" s="190"/>
      <c r="Q122" s="190"/>
      <c r="R122" s="190"/>
      <c r="S122" s="190"/>
      <c r="T122" s="190"/>
      <c r="U122" s="190"/>
      <c r="V122" s="72">
        <v>500</v>
      </c>
    </row>
    <row r="123" spans="1:23">
      <c r="A123" s="195" t="s">
        <v>227</v>
      </c>
      <c r="B123" s="192"/>
      <c r="C123" s="192"/>
      <c r="D123" s="192">
        <v>410</v>
      </c>
      <c r="E123" s="192">
        <v>500</v>
      </c>
      <c r="F123" s="192">
        <v>111</v>
      </c>
      <c r="G123" s="192"/>
      <c r="H123" s="192">
        <v>410</v>
      </c>
      <c r="I123" s="192"/>
      <c r="J123" s="192"/>
      <c r="K123" s="192"/>
      <c r="L123" s="192"/>
      <c r="M123" s="192"/>
      <c r="N123" s="192"/>
      <c r="O123" s="192"/>
      <c r="P123" s="192"/>
      <c r="Q123" s="192"/>
      <c r="R123" s="192"/>
      <c r="S123" s="192"/>
      <c r="T123" s="192"/>
      <c r="U123" s="192"/>
      <c r="V123" s="72">
        <v>1431</v>
      </c>
    </row>
    <row r="124" spans="1:23">
      <c r="A124" s="201" t="s">
        <v>144</v>
      </c>
      <c r="B124" s="193">
        <v>1361</v>
      </c>
      <c r="C124" s="193">
        <v>3400</v>
      </c>
      <c r="D124" s="193">
        <v>1217.8117649999999</v>
      </c>
      <c r="E124" s="193">
        <v>1600</v>
      </c>
      <c r="F124" s="193"/>
      <c r="G124" s="193">
        <v>700</v>
      </c>
      <c r="H124" s="193">
        <v>981.9999924</v>
      </c>
      <c r="I124" s="193"/>
      <c r="J124" s="193"/>
      <c r="K124" s="193"/>
      <c r="L124" s="193"/>
      <c r="M124" s="193"/>
      <c r="N124" s="193"/>
      <c r="O124" s="193">
        <v>2150</v>
      </c>
      <c r="P124" s="193">
        <v>1424</v>
      </c>
      <c r="Q124" s="193">
        <v>1296</v>
      </c>
      <c r="R124" s="193">
        <v>3584</v>
      </c>
      <c r="S124" s="193">
        <v>10</v>
      </c>
      <c r="T124" s="193">
        <v>36.799999999999997</v>
      </c>
      <c r="U124" s="193">
        <v>60</v>
      </c>
      <c r="V124" s="72">
        <v>17821.611757399998</v>
      </c>
    </row>
    <row r="125" spans="1:23">
      <c r="A125" s="24"/>
      <c r="B125" s="72">
        <v>238599.20334018001</v>
      </c>
      <c r="C125" s="72">
        <v>159552.9998897</v>
      </c>
      <c r="D125" s="72">
        <v>106616.41277835</v>
      </c>
      <c r="E125" s="72">
        <v>126343.77507328999</v>
      </c>
      <c r="F125" s="72">
        <v>46170.107566300001</v>
      </c>
      <c r="G125" s="72">
        <v>42912.299999620009</v>
      </c>
      <c r="H125" s="72">
        <v>26308.480182299994</v>
      </c>
      <c r="I125" s="72">
        <v>7477.8339999999998</v>
      </c>
      <c r="J125" s="72">
        <v>11980.846001100001</v>
      </c>
      <c r="K125" s="72">
        <v>17038.454000370002</v>
      </c>
      <c r="L125" s="72">
        <v>4160.4089999999997</v>
      </c>
      <c r="M125" s="72">
        <v>3389.0400046999998</v>
      </c>
      <c r="N125" s="72">
        <v>9312.7999878100018</v>
      </c>
      <c r="O125" s="72">
        <v>22954.999999799998</v>
      </c>
      <c r="P125" s="72">
        <v>8037.4</v>
      </c>
      <c r="Q125" s="72">
        <v>8790.4029983500004</v>
      </c>
      <c r="R125" s="72">
        <v>29564.699999240001</v>
      </c>
      <c r="S125" s="72">
        <v>2513</v>
      </c>
      <c r="T125" s="72">
        <v>2803.8705561400002</v>
      </c>
      <c r="U125" s="72">
        <v>2557.2992106800002</v>
      </c>
      <c r="V125" s="72">
        <v>877084.33458792989</v>
      </c>
    </row>
    <row r="126" spans="1:23">
      <c r="A126" s="177"/>
      <c r="B126" s="72"/>
      <c r="C126" s="72"/>
      <c r="D126" s="72"/>
      <c r="E126" s="72"/>
      <c r="F126" s="72"/>
      <c r="G126" s="72"/>
      <c r="H126" s="72"/>
      <c r="I126" s="72"/>
      <c r="J126" s="72"/>
      <c r="K126" s="72"/>
      <c r="L126" s="72"/>
      <c r="M126" s="72"/>
      <c r="N126" s="72"/>
      <c r="O126" s="72"/>
      <c r="P126" s="72"/>
      <c r="Q126" s="72"/>
      <c r="R126" s="72"/>
      <c r="S126" s="72"/>
      <c r="T126" s="72"/>
      <c r="U126" s="72"/>
      <c r="V126" s="72"/>
    </row>
    <row r="127" spans="1:23">
      <c r="A127" s="56"/>
      <c r="B127" s="56" t="s">
        <v>436</v>
      </c>
      <c r="C127" s="56"/>
      <c r="D127" s="56"/>
      <c r="E127" s="56"/>
      <c r="F127" s="56"/>
      <c r="G127" s="56"/>
      <c r="H127" s="56"/>
      <c r="I127" s="56"/>
      <c r="J127" s="56"/>
      <c r="K127" s="56"/>
      <c r="L127" s="56"/>
      <c r="M127" s="56"/>
      <c r="N127" s="56"/>
      <c r="O127" s="56"/>
      <c r="P127" s="56"/>
      <c r="Q127" s="56"/>
      <c r="R127" s="56"/>
      <c r="S127" s="56"/>
      <c r="T127" s="56"/>
      <c r="U127" s="56"/>
      <c r="V127" s="72"/>
    </row>
    <row r="128" spans="1:23">
      <c r="A128" s="181"/>
      <c r="B128" s="181" t="s">
        <v>107</v>
      </c>
      <c r="C128" s="181" t="s">
        <v>109</v>
      </c>
      <c r="D128" s="181" t="s">
        <v>110</v>
      </c>
      <c r="E128" s="181" t="s">
        <v>112</v>
      </c>
      <c r="F128" s="181" t="s">
        <v>113</v>
      </c>
      <c r="G128" s="181" t="s">
        <v>114</v>
      </c>
      <c r="H128" s="181" t="s">
        <v>115</v>
      </c>
      <c r="I128" s="181" t="s">
        <v>103</v>
      </c>
      <c r="J128" s="181" t="s">
        <v>104</v>
      </c>
      <c r="K128" s="181" t="s">
        <v>105</v>
      </c>
      <c r="L128" s="181" t="s">
        <v>106</v>
      </c>
      <c r="M128" s="181" t="s">
        <v>99</v>
      </c>
      <c r="N128" s="181" t="s">
        <v>101</v>
      </c>
      <c r="O128" s="181" t="s">
        <v>117</v>
      </c>
      <c r="P128" s="181" t="s">
        <v>118</v>
      </c>
      <c r="Q128" s="181" t="s">
        <v>119</v>
      </c>
      <c r="R128" s="181" t="s">
        <v>120</v>
      </c>
      <c r="S128" s="181" t="s">
        <v>121</v>
      </c>
      <c r="T128" s="181" t="s">
        <v>122</v>
      </c>
      <c r="U128" s="181" t="s">
        <v>123</v>
      </c>
      <c r="V128" s="72"/>
    </row>
    <row r="129" spans="1:22">
      <c r="A129" s="177" t="s">
        <v>393</v>
      </c>
      <c r="B129" s="189"/>
      <c r="C129" s="111"/>
      <c r="D129" s="189"/>
      <c r="E129" s="189"/>
      <c r="F129" s="189"/>
      <c r="G129" s="189"/>
      <c r="H129" s="189"/>
      <c r="I129" s="189"/>
      <c r="J129" s="189"/>
      <c r="K129" s="189"/>
      <c r="L129" s="189"/>
      <c r="M129" s="189"/>
      <c r="N129" s="189"/>
      <c r="O129" s="189"/>
      <c r="P129" s="189"/>
      <c r="Q129" s="189"/>
      <c r="R129" s="189"/>
      <c r="S129" s="189">
        <v>1350</v>
      </c>
      <c r="T129" s="189"/>
      <c r="U129" s="189"/>
      <c r="V129" s="72"/>
    </row>
    <row r="130" spans="1:22">
      <c r="A130" s="177" t="s">
        <v>392</v>
      </c>
      <c r="B130" s="189"/>
      <c r="C130" s="189">
        <v>5500</v>
      </c>
      <c r="D130" s="189"/>
      <c r="E130" s="189"/>
      <c r="F130" s="189"/>
      <c r="G130" s="189"/>
      <c r="H130" s="189"/>
      <c r="I130" s="189"/>
      <c r="J130" s="189"/>
      <c r="K130" s="189"/>
      <c r="L130" s="189"/>
      <c r="M130" s="189"/>
      <c r="N130" s="189"/>
      <c r="O130" s="189"/>
      <c r="P130" s="189"/>
      <c r="Q130" s="189"/>
      <c r="R130" s="189"/>
      <c r="S130" s="189"/>
      <c r="T130" s="189"/>
      <c r="U130" s="189"/>
      <c r="V130" s="72"/>
    </row>
    <row r="131" spans="1:22">
      <c r="A131" s="200" t="s">
        <v>248</v>
      </c>
      <c r="B131" s="194"/>
      <c r="C131" s="194">
        <v>2600</v>
      </c>
      <c r="D131" s="194"/>
      <c r="E131" s="194"/>
      <c r="F131" s="194"/>
      <c r="G131" s="194"/>
      <c r="H131" s="194"/>
      <c r="I131" s="194"/>
      <c r="J131" s="194"/>
      <c r="K131" s="194"/>
      <c r="L131" s="194"/>
      <c r="M131" s="194"/>
      <c r="N131" s="194"/>
      <c r="O131" s="194"/>
      <c r="P131" s="194"/>
      <c r="Q131" s="194"/>
      <c r="R131" s="194"/>
      <c r="S131" s="194"/>
      <c r="T131" s="194"/>
      <c r="U131" s="194"/>
      <c r="V131" s="72">
        <f>SUM(B129:U131)</f>
        <v>9450</v>
      </c>
    </row>
    <row r="132" spans="1:22">
      <c r="A132" s="177" t="s">
        <v>437</v>
      </c>
      <c r="B132" s="189">
        <v>1500</v>
      </c>
      <c r="C132" s="189">
        <v>1500</v>
      </c>
      <c r="D132" s="189">
        <v>800</v>
      </c>
      <c r="E132" s="189"/>
      <c r="F132" s="189"/>
      <c r="G132" s="189"/>
      <c r="H132" s="189"/>
      <c r="I132" s="189"/>
      <c r="J132" s="189"/>
      <c r="K132" s="189">
        <v>400</v>
      </c>
      <c r="L132" s="189"/>
      <c r="M132" s="189"/>
      <c r="N132" s="189"/>
      <c r="O132" s="189">
        <v>300</v>
      </c>
      <c r="P132" s="189"/>
      <c r="Q132" s="189">
        <v>100</v>
      </c>
      <c r="R132" s="189">
        <v>400</v>
      </c>
      <c r="S132" s="189"/>
      <c r="T132" s="189"/>
      <c r="U132" s="189"/>
      <c r="V132" s="72"/>
    </row>
    <row r="133" spans="1:22">
      <c r="A133" s="177" t="s">
        <v>438</v>
      </c>
      <c r="B133" s="189"/>
      <c r="C133" s="189"/>
      <c r="D133" s="189"/>
      <c r="E133" s="189"/>
      <c r="F133" s="189"/>
      <c r="G133" s="189"/>
      <c r="H133" s="189"/>
      <c r="I133" s="189"/>
      <c r="J133" s="189"/>
      <c r="K133" s="189"/>
      <c r="L133" s="189"/>
      <c r="M133" s="189"/>
      <c r="N133" s="189"/>
      <c r="O133" s="189">
        <v>300</v>
      </c>
      <c r="P133" s="189"/>
      <c r="Q133" s="189"/>
      <c r="R133" s="189"/>
      <c r="S133" s="189"/>
      <c r="T133" s="189"/>
      <c r="U133" s="189"/>
      <c r="V133" s="72"/>
    </row>
    <row r="134" spans="1:22">
      <c r="A134" s="177" t="s">
        <v>439</v>
      </c>
      <c r="B134" s="189"/>
      <c r="C134" s="189"/>
      <c r="D134" s="189"/>
      <c r="E134" s="189"/>
      <c r="F134" s="189"/>
      <c r="G134" s="189"/>
      <c r="H134" s="189"/>
      <c r="I134" s="189"/>
      <c r="J134" s="189"/>
      <c r="K134" s="189"/>
      <c r="L134" s="189"/>
      <c r="M134" s="189"/>
      <c r="N134" s="189"/>
      <c r="O134" s="189">
        <v>100</v>
      </c>
      <c r="P134" s="189"/>
      <c r="Q134" s="189"/>
      <c r="R134" s="189"/>
      <c r="S134" s="189"/>
      <c r="T134" s="189"/>
      <c r="U134" s="189"/>
      <c r="V134" s="72"/>
    </row>
    <row r="135" spans="1:22">
      <c r="A135" s="200" t="s">
        <v>440</v>
      </c>
      <c r="B135" s="194"/>
      <c r="C135" s="194"/>
      <c r="D135" s="194"/>
      <c r="E135" s="194"/>
      <c r="F135" s="194"/>
      <c r="G135" s="194"/>
      <c r="H135" s="194"/>
      <c r="I135" s="194"/>
      <c r="J135" s="194"/>
      <c r="K135" s="194"/>
      <c r="L135" s="194"/>
      <c r="M135" s="194"/>
      <c r="N135" s="194"/>
      <c r="O135" s="194">
        <v>100</v>
      </c>
      <c r="P135" s="194"/>
      <c r="Q135" s="194"/>
      <c r="R135" s="194"/>
      <c r="S135" s="194"/>
      <c r="T135" s="194"/>
      <c r="U135" s="194"/>
      <c r="V135" s="72">
        <f>SUM(B132:U135)</f>
        <v>5500</v>
      </c>
    </row>
    <row r="136" spans="1:22">
      <c r="A136" s="177"/>
      <c r="B136" s="72"/>
      <c r="C136" s="72"/>
      <c r="D136" s="72"/>
      <c r="E136" s="72"/>
      <c r="F136" s="72"/>
      <c r="G136" s="72"/>
      <c r="H136" s="72"/>
      <c r="I136" s="72"/>
      <c r="J136" s="72"/>
      <c r="K136" s="72"/>
      <c r="L136" s="72"/>
      <c r="M136" s="72"/>
      <c r="N136" s="72"/>
      <c r="O136" s="72"/>
      <c r="P136" s="72"/>
      <c r="Q136" s="72"/>
      <c r="R136" s="72"/>
      <c r="S136" s="72"/>
      <c r="T136" s="72"/>
      <c r="U136" s="72"/>
      <c r="V136" s="72"/>
    </row>
    <row r="137" spans="1:22">
      <c r="A137" s="176" t="s">
        <v>425</v>
      </c>
      <c r="B137" s="175"/>
      <c r="C137" s="175"/>
      <c r="D137" s="175"/>
      <c r="E137" s="175"/>
      <c r="F137" s="175"/>
      <c r="G137" s="175"/>
      <c r="H137" s="175"/>
      <c r="I137" s="175"/>
      <c r="J137" s="175"/>
      <c r="K137" s="175"/>
      <c r="L137" s="175"/>
      <c r="M137" s="175"/>
      <c r="N137" s="175"/>
      <c r="O137" s="175"/>
      <c r="P137" s="175"/>
      <c r="Q137" s="175"/>
      <c r="R137" s="175"/>
      <c r="S137" s="175"/>
      <c r="T137" s="175"/>
      <c r="U137" s="175"/>
      <c r="V137" s="24"/>
    </row>
    <row r="138" spans="1:22">
      <c r="A138" s="25"/>
      <c r="B138" s="24"/>
      <c r="C138" s="24"/>
      <c r="D138" s="24"/>
      <c r="E138" s="24"/>
      <c r="F138" s="24"/>
      <c r="G138" s="24"/>
      <c r="H138" s="24"/>
      <c r="I138" s="24"/>
      <c r="J138" s="24"/>
      <c r="K138" s="24"/>
      <c r="L138" s="24"/>
      <c r="M138" s="24"/>
      <c r="N138" s="24"/>
      <c r="O138" s="24"/>
      <c r="P138" s="24"/>
      <c r="Q138" s="24"/>
      <c r="R138" s="24"/>
      <c r="S138" s="24"/>
      <c r="T138" s="24"/>
      <c r="U138" s="24"/>
      <c r="V138" s="24"/>
    </row>
    <row r="139" spans="1:22">
      <c r="A139" s="57"/>
      <c r="B139" s="590">
        <v>2020</v>
      </c>
      <c r="C139" s="590"/>
      <c r="D139" s="590"/>
      <c r="E139" s="590" t="s">
        <v>421</v>
      </c>
      <c r="F139" s="590"/>
      <c r="G139" s="590"/>
      <c r="H139" s="591" t="s">
        <v>422</v>
      </c>
      <c r="I139" s="591"/>
      <c r="J139" s="591"/>
      <c r="K139" s="57"/>
      <c r="L139" s="590">
        <v>2020</v>
      </c>
      <c r="M139" s="590"/>
      <c r="N139" s="590"/>
      <c r="O139" s="590" t="s">
        <v>421</v>
      </c>
      <c r="P139" s="590"/>
      <c r="Q139" s="590"/>
      <c r="R139" s="591" t="s">
        <v>422</v>
      </c>
      <c r="S139" s="591"/>
      <c r="T139" s="591"/>
    </row>
    <row r="140" spans="1:22">
      <c r="A140" s="57"/>
      <c r="B140" s="22" t="s">
        <v>409</v>
      </c>
      <c r="D140" s="72">
        <v>2575.9878164000002</v>
      </c>
      <c r="G140" s="70"/>
      <c r="H140" s="55" t="s">
        <v>250</v>
      </c>
      <c r="J140" s="70">
        <v>0.02</v>
      </c>
      <c r="K140" s="57"/>
      <c r="L140" s="22" t="s">
        <v>386</v>
      </c>
      <c r="N140" s="72">
        <v>2144.8290024400003</v>
      </c>
      <c r="O140" s="22" t="s">
        <v>386</v>
      </c>
      <c r="Q140" s="72">
        <v>1234</v>
      </c>
      <c r="R140" s="55" t="s">
        <v>145</v>
      </c>
      <c r="T140" s="70">
        <v>0.69</v>
      </c>
    </row>
    <row r="141" spans="1:22">
      <c r="A141" s="57"/>
      <c r="B141" s="22" t="s">
        <v>410</v>
      </c>
      <c r="D141" s="72">
        <v>6639.1347044200002</v>
      </c>
      <c r="G141" s="70"/>
      <c r="H141" s="55" t="s">
        <v>251</v>
      </c>
      <c r="J141" s="70">
        <v>0.46</v>
      </c>
      <c r="K141" s="57"/>
      <c r="L141" s="22" t="s">
        <v>387</v>
      </c>
      <c r="N141" s="72">
        <v>1901.2699984000001</v>
      </c>
      <c r="O141" s="22" t="s">
        <v>387</v>
      </c>
      <c r="Q141" s="72">
        <v>3545</v>
      </c>
      <c r="R141" s="55" t="s">
        <v>239</v>
      </c>
      <c r="T141" s="70">
        <v>78.760000000000005</v>
      </c>
    </row>
    <row r="142" spans="1:22">
      <c r="A142" s="57"/>
      <c r="B142" s="133" t="s">
        <v>408</v>
      </c>
      <c r="C142" s="133"/>
      <c r="D142" s="184">
        <v>4122.9999999000001</v>
      </c>
      <c r="E142" s="133" t="s">
        <v>376</v>
      </c>
      <c r="F142" s="133"/>
      <c r="G142" s="184">
        <v>5737</v>
      </c>
      <c r="H142" s="172" t="s">
        <v>246</v>
      </c>
      <c r="I142" s="133"/>
      <c r="J142" s="135">
        <v>5.7299999999999995</v>
      </c>
      <c r="K142" s="57"/>
      <c r="L142" s="22" t="s">
        <v>390</v>
      </c>
      <c r="N142" s="72">
        <v>26151.466992999998</v>
      </c>
      <c r="O142" s="22" t="s">
        <v>390</v>
      </c>
      <c r="Q142" s="72">
        <v>15551</v>
      </c>
      <c r="R142" s="55" t="s">
        <v>240</v>
      </c>
      <c r="T142" s="70">
        <v>3.27</v>
      </c>
    </row>
    <row r="143" spans="1:22">
      <c r="A143" s="57"/>
      <c r="B143" s="22" t="s">
        <v>411</v>
      </c>
      <c r="D143" s="72">
        <v>349.00000002000002</v>
      </c>
      <c r="G143" s="70"/>
      <c r="H143" s="55"/>
      <c r="J143" s="70"/>
      <c r="K143" s="57"/>
      <c r="L143" s="22" t="s">
        <v>388</v>
      </c>
      <c r="N143" s="72">
        <v>6094.1880019399996</v>
      </c>
      <c r="O143" s="22" t="s">
        <v>388</v>
      </c>
      <c r="Q143" s="72">
        <v>139</v>
      </c>
      <c r="R143" s="55" t="s">
        <v>241</v>
      </c>
      <c r="T143" s="70">
        <v>4.78</v>
      </c>
    </row>
    <row r="144" spans="1:22">
      <c r="A144" s="57"/>
      <c r="B144" s="133" t="s">
        <v>413</v>
      </c>
      <c r="C144" s="133"/>
      <c r="D144" s="184">
        <v>660</v>
      </c>
      <c r="E144" s="133" t="s">
        <v>378</v>
      </c>
      <c r="F144" s="133"/>
      <c r="G144" s="184">
        <v>464</v>
      </c>
      <c r="H144" s="172"/>
      <c r="I144" s="133"/>
      <c r="J144" s="135"/>
      <c r="K144" s="57"/>
      <c r="L144" s="22" t="s">
        <v>389</v>
      </c>
      <c r="N144" s="72">
        <v>24220.29999426</v>
      </c>
      <c r="O144" s="22" t="s">
        <v>389</v>
      </c>
      <c r="Q144" s="72">
        <v>3580</v>
      </c>
      <c r="R144" s="55" t="s">
        <v>242</v>
      </c>
      <c r="T144" s="70">
        <v>4.63</v>
      </c>
    </row>
    <row r="145" spans="1:20">
      <c r="A145" s="57"/>
      <c r="B145" s="22" t="s">
        <v>406</v>
      </c>
      <c r="D145" s="72">
        <v>430</v>
      </c>
      <c r="E145" s="22" t="s">
        <v>377</v>
      </c>
      <c r="G145" s="72">
        <v>691</v>
      </c>
      <c r="H145" s="55"/>
      <c r="J145" s="70"/>
      <c r="K145" s="57"/>
      <c r="L145" s="22" t="s">
        <v>393</v>
      </c>
      <c r="N145" s="72">
        <v>25890.5600013</v>
      </c>
      <c r="O145" s="22" t="s">
        <v>393</v>
      </c>
      <c r="Q145" s="72">
        <v>35603</v>
      </c>
      <c r="R145" s="55"/>
      <c r="T145" s="70"/>
    </row>
    <row r="146" spans="1:20">
      <c r="A146" s="57"/>
      <c r="B146" s="133" t="s">
        <v>407</v>
      </c>
      <c r="C146" s="133"/>
      <c r="D146" s="184">
        <v>520</v>
      </c>
      <c r="E146" s="133"/>
      <c r="F146" s="133"/>
      <c r="G146" s="135"/>
      <c r="H146" s="172"/>
      <c r="I146" s="133"/>
      <c r="J146" s="70"/>
      <c r="K146" s="57"/>
      <c r="L146" s="22" t="s">
        <v>394</v>
      </c>
      <c r="N146" s="72">
        <v>15704.2000123</v>
      </c>
      <c r="O146" s="22" t="s">
        <v>394</v>
      </c>
      <c r="Q146" s="72">
        <v>23886</v>
      </c>
      <c r="R146" s="55"/>
      <c r="T146" s="70"/>
    </row>
    <row r="147" spans="1:20">
      <c r="A147" s="57"/>
      <c r="B147" s="163"/>
      <c r="C147" s="147"/>
      <c r="D147" s="185">
        <f>SUM(D140:D146)</f>
        <v>15297.12252074</v>
      </c>
      <c r="E147" s="163"/>
      <c r="F147" s="163"/>
      <c r="G147" s="185">
        <f>SUM(G141:G146)</f>
        <v>6892</v>
      </c>
      <c r="H147" s="182"/>
      <c r="I147" s="147"/>
      <c r="J147" s="185">
        <f>SUM(J140:J146)*1000</f>
        <v>6210</v>
      </c>
      <c r="K147" s="57"/>
      <c r="L147" s="22" t="s">
        <v>392</v>
      </c>
      <c r="N147" s="72">
        <v>4471.7079990000002</v>
      </c>
      <c r="O147" s="22" t="s">
        <v>392</v>
      </c>
      <c r="Q147" s="72">
        <v>2542</v>
      </c>
      <c r="R147" s="55"/>
      <c r="T147" s="70"/>
    </row>
    <row r="148" spans="1:20">
      <c r="A148" s="57"/>
      <c r="B148" s="164" t="s">
        <v>238</v>
      </c>
      <c r="C148" s="147"/>
      <c r="D148" s="186">
        <v>26620.833756299999</v>
      </c>
      <c r="E148" s="164" t="s">
        <v>379</v>
      </c>
      <c r="F148" s="164"/>
      <c r="G148" s="186">
        <v>26339</v>
      </c>
      <c r="H148" s="183" t="s">
        <v>238</v>
      </c>
      <c r="I148" s="164"/>
      <c r="J148" s="186">
        <f>26.33*1000</f>
        <v>26330</v>
      </c>
      <c r="K148" s="57"/>
      <c r="L148" s="22" t="s">
        <v>391</v>
      </c>
      <c r="N148" s="72">
        <v>1843.84900234</v>
      </c>
      <c r="O148" s="22" t="s">
        <v>391</v>
      </c>
      <c r="Q148" s="72">
        <v>2080</v>
      </c>
      <c r="R148" s="55"/>
      <c r="T148" s="70"/>
    </row>
    <row r="149" spans="1:20">
      <c r="A149" s="57"/>
      <c r="B149" s="22" t="s">
        <v>412</v>
      </c>
      <c r="D149" s="72">
        <v>6019.2599884000001</v>
      </c>
      <c r="G149" s="70"/>
      <c r="H149" s="55" t="s">
        <v>249</v>
      </c>
      <c r="J149" s="70">
        <v>3.34</v>
      </c>
      <c r="K149" s="57"/>
      <c r="N149" s="70"/>
      <c r="O149" s="22" t="s">
        <v>240</v>
      </c>
      <c r="Q149" s="72">
        <v>3270</v>
      </c>
      <c r="R149" s="55"/>
      <c r="T149" s="70"/>
    </row>
    <row r="150" spans="1:20">
      <c r="A150" s="57"/>
      <c r="B150" s="22" t="s">
        <v>380</v>
      </c>
      <c r="D150" s="72">
        <v>5322.0000006</v>
      </c>
      <c r="E150" s="22" t="s">
        <v>380</v>
      </c>
      <c r="G150" s="72">
        <v>1873</v>
      </c>
      <c r="H150" s="55"/>
      <c r="J150" s="70"/>
      <c r="K150" s="57"/>
      <c r="L150" s="147"/>
      <c r="M150" s="147"/>
      <c r="N150" s="187">
        <f>SUM(N140:N148)</f>
        <v>108422.37100498</v>
      </c>
      <c r="O150" s="147"/>
      <c r="P150" s="147"/>
      <c r="Q150" s="187">
        <f>SUM(Q140:Q149)</f>
        <v>91430</v>
      </c>
      <c r="R150" s="182"/>
      <c r="S150" s="147"/>
      <c r="T150" s="188">
        <f>SUM(T140:T149)*1000</f>
        <v>92130</v>
      </c>
    </row>
    <row r="151" spans="1:20">
      <c r="A151" s="57"/>
      <c r="B151" s="133" t="s">
        <v>381</v>
      </c>
      <c r="C151" s="133"/>
      <c r="D151" s="184">
        <v>5684.7000010000002</v>
      </c>
      <c r="E151" s="133" t="s">
        <v>381</v>
      </c>
      <c r="F151" s="133"/>
      <c r="G151" s="184">
        <v>1464</v>
      </c>
      <c r="H151" s="172"/>
      <c r="I151" s="133"/>
      <c r="J151" s="135"/>
      <c r="K151" s="57"/>
      <c r="L151" s="22" t="s">
        <v>252</v>
      </c>
      <c r="N151" s="72">
        <v>28756.73978493</v>
      </c>
      <c r="O151" s="22" t="s">
        <v>395</v>
      </c>
      <c r="Q151" s="72">
        <v>39342</v>
      </c>
      <c r="R151" s="55" t="s">
        <v>252</v>
      </c>
      <c r="T151" s="22">
        <v>0</v>
      </c>
    </row>
    <row r="152" spans="1:20">
      <c r="A152" s="57"/>
      <c r="B152" s="22" t="s">
        <v>382</v>
      </c>
      <c r="D152" s="72">
        <v>11355.5879286</v>
      </c>
      <c r="E152" s="22" t="s">
        <v>382</v>
      </c>
      <c r="G152" s="72">
        <v>3213</v>
      </c>
      <c r="H152" s="55" t="s">
        <v>245</v>
      </c>
      <c r="J152" s="70">
        <v>7.54</v>
      </c>
      <c r="K152" s="57"/>
      <c r="L152" s="22" t="s">
        <v>415</v>
      </c>
      <c r="N152" s="72">
        <v>3993.3000489999999</v>
      </c>
    </row>
    <row r="153" spans="1:20">
      <c r="A153" s="57"/>
      <c r="B153" s="22" t="s">
        <v>383</v>
      </c>
      <c r="D153" s="72">
        <v>8216.8461136000005</v>
      </c>
      <c r="E153" s="22" t="s">
        <v>383</v>
      </c>
      <c r="G153" s="72">
        <v>2597</v>
      </c>
      <c r="H153" s="55"/>
      <c r="J153" s="70"/>
      <c r="K153" s="57"/>
      <c r="L153" s="22" t="s">
        <v>416</v>
      </c>
      <c r="N153" s="72">
        <v>190.5</v>
      </c>
    </row>
    <row r="154" spans="1:20">
      <c r="A154" s="57"/>
      <c r="B154" s="133" t="s">
        <v>384</v>
      </c>
      <c r="C154" s="133"/>
      <c r="D154" s="184">
        <v>12564.099998199999</v>
      </c>
      <c r="E154" s="133" t="s">
        <v>384</v>
      </c>
      <c r="F154" s="133"/>
      <c r="G154" s="184">
        <v>1663</v>
      </c>
      <c r="H154" s="172"/>
      <c r="I154" s="133"/>
      <c r="J154" s="135"/>
      <c r="K154" s="57"/>
      <c r="L154" s="22" t="s">
        <v>417</v>
      </c>
      <c r="N154" s="72">
        <v>315.89999390000003</v>
      </c>
    </row>
    <row r="155" spans="1:20">
      <c r="A155" s="57"/>
      <c r="B155" s="22" t="s">
        <v>385</v>
      </c>
      <c r="D155" s="72">
        <v>408.99999995000002</v>
      </c>
      <c r="E155" s="22" t="s">
        <v>385</v>
      </c>
      <c r="G155" s="72">
        <v>205</v>
      </c>
      <c r="H155" s="55" t="s">
        <v>247</v>
      </c>
      <c r="J155" s="70">
        <v>0.21000000000000002</v>
      </c>
      <c r="K155" s="57"/>
      <c r="L155" s="22" t="s">
        <v>418</v>
      </c>
      <c r="N155" s="72">
        <v>2921</v>
      </c>
    </row>
    <row r="156" spans="1:20">
      <c r="A156" s="57"/>
      <c r="B156" s="22" t="s">
        <v>248</v>
      </c>
      <c r="D156" s="72">
        <v>1127.38999838</v>
      </c>
      <c r="E156" s="22" t="s">
        <v>248</v>
      </c>
      <c r="G156" s="72">
        <v>1817</v>
      </c>
      <c r="H156" s="55" t="s">
        <v>248</v>
      </c>
      <c r="J156" s="70">
        <v>1.81</v>
      </c>
      <c r="K156" s="57"/>
      <c r="L156" s="22" t="s">
        <v>419</v>
      </c>
      <c r="N156" s="72">
        <v>4660.3999020000001</v>
      </c>
    </row>
    <row r="157" spans="1:20">
      <c r="A157" s="57"/>
      <c r="B157" s="133" t="s">
        <v>414</v>
      </c>
      <c r="C157" s="133"/>
      <c r="D157" s="184">
        <v>672</v>
      </c>
      <c r="E157" s="133"/>
      <c r="F157" s="133"/>
      <c r="G157" s="135"/>
      <c r="H157" s="133"/>
      <c r="I157" s="133"/>
      <c r="J157" s="135"/>
      <c r="K157" s="57"/>
      <c r="L157" s="22" t="s">
        <v>420</v>
      </c>
      <c r="N157" s="72">
        <v>7307.1940000000004</v>
      </c>
    </row>
    <row r="158" spans="1:20">
      <c r="A158" s="57"/>
      <c r="B158" s="163"/>
      <c r="C158" s="147"/>
      <c r="D158" s="185">
        <f>SUM(D149:D157)</f>
        <v>51370.884028729997</v>
      </c>
      <c r="E158" s="163"/>
      <c r="F158" s="163"/>
      <c r="G158" s="185">
        <f>SUM(G149:G157)</f>
        <v>12832</v>
      </c>
      <c r="H158" s="147"/>
      <c r="I158" s="147"/>
      <c r="J158" s="187">
        <f>SUM(J149:J157)*1000</f>
        <v>12900</v>
      </c>
      <c r="K158" s="57"/>
      <c r="L158" s="147"/>
      <c r="M158" s="147"/>
      <c r="N158" s="187">
        <f>SUM(N151:N157)</f>
        <v>48145.03372983</v>
      </c>
      <c r="O158" s="147"/>
      <c r="P158" s="147"/>
      <c r="Q158" s="147"/>
      <c r="R158" s="147"/>
      <c r="S158" s="147"/>
      <c r="T158" s="147"/>
    </row>
    <row r="159" spans="1:20">
      <c r="N159" s="72">
        <f>SUM(D147,D158,N150)</f>
        <v>175090.37755445001</v>
      </c>
      <c r="Q159" s="72">
        <f>SUM(G147,G158,Q150)</f>
        <v>111154</v>
      </c>
    </row>
    <row r="160" spans="1:20">
      <c r="N160" s="72"/>
      <c r="Q160" s="72"/>
    </row>
    <row r="161" spans="1:22">
      <c r="A161" s="3"/>
      <c r="B161" s="3" t="s">
        <v>107</v>
      </c>
      <c r="C161" s="3" t="s">
        <v>109</v>
      </c>
      <c r="D161" s="3" t="s">
        <v>110</v>
      </c>
      <c r="E161" s="3" t="s">
        <v>112</v>
      </c>
      <c r="F161" s="3" t="s">
        <v>113</v>
      </c>
      <c r="G161" s="3" t="s">
        <v>114</v>
      </c>
      <c r="H161" s="3" t="s">
        <v>115</v>
      </c>
      <c r="I161" s="3" t="s">
        <v>103</v>
      </c>
      <c r="J161" s="3" t="s">
        <v>104</v>
      </c>
      <c r="K161" s="3" t="s">
        <v>105</v>
      </c>
      <c r="L161" s="3" t="s">
        <v>106</v>
      </c>
      <c r="M161" s="3" t="s">
        <v>99</v>
      </c>
      <c r="N161" s="3" t="s">
        <v>101</v>
      </c>
      <c r="O161" s="3" t="s">
        <v>117</v>
      </c>
      <c r="P161" s="3" t="s">
        <v>118</v>
      </c>
      <c r="Q161" s="3" t="s">
        <v>119</v>
      </c>
      <c r="R161" s="3" t="s">
        <v>120</v>
      </c>
      <c r="S161" s="3" t="s">
        <v>121</v>
      </c>
      <c r="T161" s="3" t="s">
        <v>122</v>
      </c>
      <c r="U161" s="3" t="s">
        <v>123</v>
      </c>
    </row>
    <row r="162" spans="1:22">
      <c r="A162" s="3" t="s">
        <v>443</v>
      </c>
      <c r="B162" s="209"/>
      <c r="C162" s="208"/>
      <c r="D162" s="208"/>
      <c r="E162" s="208"/>
      <c r="F162" s="208"/>
      <c r="G162" s="208"/>
      <c r="H162" s="208"/>
      <c r="I162" s="208"/>
      <c r="J162" s="208"/>
      <c r="K162" s="208"/>
      <c r="L162" s="208"/>
      <c r="M162" s="208"/>
      <c r="N162" s="208"/>
      <c r="O162" s="210"/>
      <c r="P162" s="208"/>
      <c r="Q162" s="208"/>
      <c r="R162" s="210"/>
      <c r="S162" s="210"/>
      <c r="T162" s="210"/>
      <c r="U162" s="210"/>
      <c r="V162" s="72"/>
    </row>
    <row r="163" spans="1:22">
      <c r="A163" s="119" t="s">
        <v>373</v>
      </c>
      <c r="B163" s="211">
        <v>819</v>
      </c>
      <c r="C163" s="211">
        <v>9847</v>
      </c>
      <c r="D163" s="211">
        <v>0</v>
      </c>
      <c r="E163" s="211">
        <v>11414</v>
      </c>
      <c r="F163" s="211">
        <v>427</v>
      </c>
      <c r="G163" s="211">
        <v>0</v>
      </c>
      <c r="H163" s="211">
        <v>0</v>
      </c>
      <c r="I163" s="211">
        <v>5444</v>
      </c>
      <c r="J163" s="211">
        <v>7650</v>
      </c>
      <c r="K163" s="211">
        <v>2286</v>
      </c>
      <c r="L163" s="211">
        <v>237</v>
      </c>
      <c r="M163" s="211">
        <v>0</v>
      </c>
      <c r="N163" s="211">
        <v>0</v>
      </c>
      <c r="O163" s="211">
        <v>3237</v>
      </c>
      <c r="P163" s="211">
        <v>3249</v>
      </c>
      <c r="Q163" s="211">
        <v>4795</v>
      </c>
      <c r="R163" s="211">
        <v>21697</v>
      </c>
      <c r="S163" s="211">
        <v>0</v>
      </c>
      <c r="T163" s="211">
        <v>0</v>
      </c>
      <c r="U163" s="211">
        <v>0</v>
      </c>
      <c r="V163" s="72">
        <f>SUM(B163:U163)</f>
        <v>71102</v>
      </c>
    </row>
    <row r="164" spans="1:22">
      <c r="A164" s="119" t="s">
        <v>375</v>
      </c>
      <c r="B164" s="211">
        <v>3934</v>
      </c>
      <c r="C164" s="211">
        <v>13600</v>
      </c>
      <c r="D164" s="211">
        <v>2307</v>
      </c>
      <c r="E164" s="211">
        <v>3425</v>
      </c>
      <c r="F164" s="211">
        <v>367</v>
      </c>
      <c r="G164" s="211">
        <v>37</v>
      </c>
      <c r="H164" s="211">
        <v>162</v>
      </c>
      <c r="I164" s="211">
        <v>0</v>
      </c>
      <c r="J164" s="211">
        <v>0</v>
      </c>
      <c r="K164" s="211">
        <v>0</v>
      </c>
      <c r="L164" s="211">
        <v>0</v>
      </c>
      <c r="M164" s="211">
        <v>0</v>
      </c>
      <c r="N164" s="211">
        <v>0</v>
      </c>
      <c r="O164" s="211">
        <v>0</v>
      </c>
      <c r="P164" s="211">
        <v>1213</v>
      </c>
      <c r="Q164" s="211">
        <v>755</v>
      </c>
      <c r="R164" s="211">
        <v>5698</v>
      </c>
      <c r="S164" s="211">
        <v>126</v>
      </c>
      <c r="T164" s="72">
        <f>T39</f>
        <v>1592</v>
      </c>
      <c r="U164" s="211">
        <v>0</v>
      </c>
      <c r="V164" s="72">
        <f>SUM(B164:U164)</f>
        <v>33216</v>
      </c>
    </row>
    <row r="165" spans="1:22">
      <c r="A165" s="120" t="s">
        <v>445</v>
      </c>
      <c r="B165" s="211">
        <v>7230</v>
      </c>
      <c r="C165" s="211">
        <v>2179</v>
      </c>
      <c r="D165" s="211">
        <v>2744</v>
      </c>
      <c r="E165" s="211">
        <v>6908</v>
      </c>
      <c r="F165" s="211">
        <v>1333</v>
      </c>
      <c r="G165" s="211">
        <v>0</v>
      </c>
      <c r="H165" s="211">
        <v>1305</v>
      </c>
      <c r="I165" s="211">
        <v>0</v>
      </c>
      <c r="J165" s="211">
        <v>0</v>
      </c>
      <c r="K165" s="211">
        <v>0</v>
      </c>
      <c r="L165" s="211">
        <v>0</v>
      </c>
      <c r="M165" s="211">
        <v>0</v>
      </c>
      <c r="N165" s="211">
        <v>0</v>
      </c>
      <c r="O165" s="211">
        <v>0</v>
      </c>
      <c r="P165" s="211">
        <v>0</v>
      </c>
      <c r="Q165" s="211">
        <v>0</v>
      </c>
      <c r="R165" s="211">
        <v>0</v>
      </c>
      <c r="S165" s="211">
        <v>938</v>
      </c>
      <c r="T165" s="211">
        <v>0</v>
      </c>
      <c r="U165" s="211">
        <v>0</v>
      </c>
      <c r="V165" s="72">
        <f>SUM(B165:U165)</f>
        <v>22637</v>
      </c>
    </row>
    <row r="166" spans="1:22">
      <c r="A166" s="120" t="s">
        <v>446</v>
      </c>
      <c r="B166" s="211">
        <v>2144</v>
      </c>
      <c r="C166" s="211">
        <v>2068</v>
      </c>
      <c r="D166" s="211">
        <v>0</v>
      </c>
      <c r="E166" s="211">
        <v>4223</v>
      </c>
      <c r="F166" s="211">
        <v>216</v>
      </c>
      <c r="G166" s="211">
        <v>0</v>
      </c>
      <c r="H166" s="211">
        <v>0</v>
      </c>
      <c r="I166" s="211">
        <v>0</v>
      </c>
      <c r="J166" s="211">
        <v>0</v>
      </c>
      <c r="K166" s="211">
        <v>0</v>
      </c>
      <c r="L166" s="211">
        <v>0</v>
      </c>
      <c r="M166" s="211">
        <v>0</v>
      </c>
      <c r="N166" s="211">
        <v>0</v>
      </c>
      <c r="O166" s="211">
        <v>0</v>
      </c>
      <c r="P166" s="211">
        <v>60</v>
      </c>
      <c r="Q166" s="211">
        <v>2</v>
      </c>
      <c r="R166" s="211">
        <v>650</v>
      </c>
      <c r="S166" s="211">
        <v>0</v>
      </c>
      <c r="T166" s="211">
        <v>0</v>
      </c>
      <c r="U166" s="211">
        <v>0</v>
      </c>
      <c r="V166" s="72">
        <f>SUM(B166:U166)</f>
        <v>9363</v>
      </c>
    </row>
    <row r="167" spans="1:22">
      <c r="A167" s="120"/>
      <c r="B167" s="72">
        <f t="shared" ref="B167:U167" si="6">SUM(B163:B166)</f>
        <v>14127</v>
      </c>
      <c r="C167" s="72">
        <f t="shared" si="6"/>
        <v>27694</v>
      </c>
      <c r="D167" s="72">
        <f t="shared" si="6"/>
        <v>5051</v>
      </c>
      <c r="E167" s="72">
        <f t="shared" si="6"/>
        <v>25970</v>
      </c>
      <c r="F167" s="72">
        <f t="shared" si="6"/>
        <v>2343</v>
      </c>
      <c r="G167" s="72">
        <f t="shared" si="6"/>
        <v>37</v>
      </c>
      <c r="H167" s="72">
        <f t="shared" si="6"/>
        <v>1467</v>
      </c>
      <c r="I167" s="72">
        <f t="shared" si="6"/>
        <v>5444</v>
      </c>
      <c r="J167" s="72">
        <f t="shared" si="6"/>
        <v>7650</v>
      </c>
      <c r="K167" s="72">
        <f t="shared" si="6"/>
        <v>2286</v>
      </c>
      <c r="L167" s="72">
        <f t="shared" si="6"/>
        <v>237</v>
      </c>
      <c r="M167" s="72">
        <f t="shared" si="6"/>
        <v>0</v>
      </c>
      <c r="N167" s="72">
        <f t="shared" si="6"/>
        <v>0</v>
      </c>
      <c r="O167" s="72">
        <f t="shared" si="6"/>
        <v>3237</v>
      </c>
      <c r="P167" s="72">
        <f t="shared" si="6"/>
        <v>4522</v>
      </c>
      <c r="Q167" s="72">
        <f t="shared" si="6"/>
        <v>5552</v>
      </c>
      <c r="R167" s="72">
        <f t="shared" si="6"/>
        <v>28045</v>
      </c>
      <c r="S167" s="72">
        <f t="shared" si="6"/>
        <v>1064</v>
      </c>
      <c r="T167" s="72">
        <f t="shared" si="6"/>
        <v>1592</v>
      </c>
      <c r="U167" s="72">
        <f t="shared" si="6"/>
        <v>0</v>
      </c>
      <c r="V167" s="72">
        <f>SUM(B167:U167)</f>
        <v>136318</v>
      </c>
    </row>
    <row r="168" spans="1:22">
      <c r="A168" s="3" t="s">
        <v>442</v>
      </c>
      <c r="B168" s="3"/>
      <c r="C168" s="3"/>
      <c r="D168" s="3"/>
      <c r="E168" s="3"/>
      <c r="F168" s="3"/>
      <c r="G168" s="3"/>
      <c r="H168" s="3"/>
      <c r="I168" s="3"/>
      <c r="J168" s="3"/>
      <c r="K168" s="3"/>
      <c r="L168" s="3"/>
      <c r="M168" s="3"/>
      <c r="N168" s="3"/>
      <c r="O168" s="3"/>
      <c r="P168" s="3"/>
      <c r="Q168" s="3"/>
      <c r="R168" s="21"/>
      <c r="S168" s="3"/>
      <c r="T168" s="3"/>
      <c r="U168" s="3"/>
    </row>
    <row r="169" spans="1:22">
      <c r="A169" s="24" t="s">
        <v>373</v>
      </c>
      <c r="B169" s="72">
        <v>1296.6278335699999</v>
      </c>
      <c r="C169" s="72">
        <v>8000</v>
      </c>
      <c r="D169" s="72"/>
      <c r="E169" s="72">
        <v>6426.3509999999997</v>
      </c>
      <c r="F169" s="72">
        <v>198.3</v>
      </c>
      <c r="G169" s="72"/>
      <c r="H169" s="72"/>
      <c r="I169" s="72">
        <v>5315</v>
      </c>
      <c r="J169" s="72">
        <v>6795</v>
      </c>
      <c r="K169" s="72">
        <v>1972</v>
      </c>
      <c r="L169" s="72">
        <v>237</v>
      </c>
      <c r="M169" s="72"/>
      <c r="N169" s="72"/>
      <c r="O169" s="72">
        <v>2400</v>
      </c>
      <c r="P169" s="72"/>
      <c r="Q169" s="72"/>
      <c r="R169" s="72"/>
      <c r="S169" s="72"/>
      <c r="T169" s="72"/>
      <c r="U169" s="72"/>
      <c r="V169" s="72">
        <f>SUM(B169:U169)</f>
        <v>32640.278833569999</v>
      </c>
    </row>
    <row r="170" spans="1:22">
      <c r="A170" s="24" t="s">
        <v>375</v>
      </c>
      <c r="B170" s="72">
        <v>4036</v>
      </c>
      <c r="C170" s="72">
        <v>13600</v>
      </c>
      <c r="D170" s="72">
        <v>1938.1020000000001</v>
      </c>
      <c r="E170" s="72">
        <v>3500</v>
      </c>
      <c r="F170" s="72">
        <v>536.5</v>
      </c>
      <c r="G170" s="72">
        <v>43</v>
      </c>
      <c r="H170" s="72">
        <v>134.25</v>
      </c>
      <c r="I170" s="72"/>
      <c r="J170" s="72"/>
      <c r="K170" s="72"/>
      <c r="L170" s="72"/>
      <c r="M170" s="72"/>
      <c r="N170" s="72"/>
      <c r="O170" s="72"/>
      <c r="P170" s="72"/>
      <c r="Q170" s="72"/>
      <c r="R170" s="72"/>
      <c r="S170" s="72">
        <v>128</v>
      </c>
      <c r="T170" s="72">
        <v>1608.13508419</v>
      </c>
      <c r="U170" s="72"/>
      <c r="V170" s="72">
        <f>SUM(B170:U170)</f>
        <v>25523.987084189997</v>
      </c>
    </row>
    <row r="171" spans="1:22">
      <c r="A171" s="40" t="s">
        <v>164</v>
      </c>
      <c r="B171" s="72">
        <v>8393</v>
      </c>
      <c r="C171" s="72">
        <v>1800</v>
      </c>
      <c r="D171" s="72">
        <v>2954</v>
      </c>
      <c r="E171" s="72">
        <v>4212</v>
      </c>
      <c r="F171" s="72">
        <v>1323.1</v>
      </c>
      <c r="G171" s="72"/>
      <c r="H171" s="72">
        <v>1395</v>
      </c>
      <c r="I171" s="72"/>
      <c r="J171" s="72"/>
      <c r="K171" s="72"/>
      <c r="L171" s="72"/>
      <c r="M171" s="72"/>
      <c r="N171" s="72"/>
      <c r="O171" s="72"/>
      <c r="P171" s="72"/>
      <c r="Q171" s="72"/>
      <c r="R171" s="72"/>
      <c r="S171" s="72">
        <v>900</v>
      </c>
      <c r="T171" s="72"/>
      <c r="U171" s="72"/>
      <c r="V171" s="72">
        <f>SUM(B171:U171)</f>
        <v>20977.1</v>
      </c>
    </row>
    <row r="172" spans="1:22">
      <c r="A172" s="40" t="s">
        <v>228</v>
      </c>
      <c r="B172" s="72">
        <v>1457.70490909</v>
      </c>
      <c r="C172" s="72">
        <v>1700</v>
      </c>
      <c r="D172" s="72"/>
      <c r="E172" s="72">
        <v>1744.12401899</v>
      </c>
      <c r="F172" s="72">
        <v>150</v>
      </c>
      <c r="G172" s="72"/>
      <c r="H172" s="72"/>
      <c r="I172" s="72"/>
      <c r="J172" s="72"/>
      <c r="K172" s="72"/>
      <c r="L172" s="72"/>
      <c r="M172" s="72"/>
      <c r="N172" s="72"/>
      <c r="O172" s="72"/>
      <c r="P172" s="72">
        <v>4931.3999999999996</v>
      </c>
      <c r="Q172" s="72">
        <v>5540.4</v>
      </c>
      <c r="R172" s="72">
        <v>24000.400000000001</v>
      </c>
      <c r="S172" s="72"/>
      <c r="T172" s="72"/>
      <c r="U172" s="72"/>
      <c r="V172" s="72">
        <f>SUM(B172:U172)</f>
        <v>39524.028928079999</v>
      </c>
    </row>
    <row r="173" spans="1:22">
      <c r="A173" s="88"/>
      <c r="B173" s="72">
        <f t="shared" ref="B173:U173" si="7">SUM(B169:B172)</f>
        <v>15183.332742660001</v>
      </c>
      <c r="C173" s="72">
        <f t="shared" si="7"/>
        <v>25100</v>
      </c>
      <c r="D173" s="72">
        <f t="shared" si="7"/>
        <v>4892.1019999999999</v>
      </c>
      <c r="E173" s="72">
        <f t="shared" si="7"/>
        <v>15882.475018989999</v>
      </c>
      <c r="F173" s="72">
        <f t="shared" si="7"/>
        <v>2207.8999999999996</v>
      </c>
      <c r="G173" s="72">
        <f t="shared" si="7"/>
        <v>43</v>
      </c>
      <c r="H173" s="72">
        <f t="shared" si="7"/>
        <v>1529.25</v>
      </c>
      <c r="I173" s="72">
        <f t="shared" si="7"/>
        <v>5315</v>
      </c>
      <c r="J173" s="72">
        <f t="shared" si="7"/>
        <v>6795</v>
      </c>
      <c r="K173" s="72">
        <f t="shared" si="7"/>
        <v>1972</v>
      </c>
      <c r="L173" s="72">
        <f t="shared" si="7"/>
        <v>237</v>
      </c>
      <c r="M173" s="72">
        <f t="shared" si="7"/>
        <v>0</v>
      </c>
      <c r="N173" s="72">
        <f t="shared" si="7"/>
        <v>0</v>
      </c>
      <c r="O173" s="72">
        <f t="shared" si="7"/>
        <v>2400</v>
      </c>
      <c r="P173" s="72">
        <f t="shared" si="7"/>
        <v>4931.3999999999996</v>
      </c>
      <c r="Q173" s="72">
        <f t="shared" si="7"/>
        <v>5540.4</v>
      </c>
      <c r="R173" s="72">
        <f t="shared" si="7"/>
        <v>24000.400000000001</v>
      </c>
      <c r="S173" s="72">
        <f t="shared" si="7"/>
        <v>1028</v>
      </c>
      <c r="T173" s="72">
        <f t="shared" si="7"/>
        <v>1608.13508419</v>
      </c>
      <c r="U173" s="72">
        <f t="shared" si="7"/>
        <v>0</v>
      </c>
      <c r="V173" s="72">
        <f>SUM(B173:U173)</f>
        <v>118665.39484584</v>
      </c>
    </row>
    <row r="174" spans="1:22">
      <c r="A174" s="207" t="s">
        <v>444</v>
      </c>
      <c r="B174" s="212"/>
      <c r="C174" s="212"/>
      <c r="D174" s="212"/>
      <c r="E174" s="212"/>
      <c r="F174" s="212"/>
      <c r="G174" s="212"/>
      <c r="H174" s="212"/>
      <c r="I174" s="212"/>
      <c r="J174" s="212"/>
      <c r="K174" s="212"/>
      <c r="L174" s="212"/>
      <c r="M174" s="212"/>
      <c r="N174" s="212"/>
      <c r="O174" s="212"/>
      <c r="P174" s="212"/>
      <c r="Q174" s="212"/>
      <c r="R174" s="21"/>
      <c r="S174" s="212"/>
      <c r="T174" s="212"/>
      <c r="U174" s="212"/>
      <c r="V174" s="108"/>
    </row>
    <row r="175" spans="1:22">
      <c r="A175" s="119" t="s">
        <v>373</v>
      </c>
      <c r="B175" s="72">
        <f t="shared" ref="B175:V175" si="8">B163-B169</f>
        <v>-477.62783356999989</v>
      </c>
      <c r="C175" s="72">
        <f t="shared" si="8"/>
        <v>1847</v>
      </c>
      <c r="D175" s="72">
        <f t="shared" si="8"/>
        <v>0</v>
      </c>
      <c r="E175" s="72">
        <f t="shared" si="8"/>
        <v>4987.6490000000003</v>
      </c>
      <c r="F175" s="72">
        <f t="shared" si="8"/>
        <v>228.7</v>
      </c>
      <c r="G175" s="72">
        <f t="shared" si="8"/>
        <v>0</v>
      </c>
      <c r="H175" s="72">
        <f t="shared" si="8"/>
        <v>0</v>
      </c>
      <c r="I175" s="72">
        <f t="shared" si="8"/>
        <v>129</v>
      </c>
      <c r="J175" s="72">
        <f t="shared" si="8"/>
        <v>855</v>
      </c>
      <c r="K175" s="72">
        <f t="shared" si="8"/>
        <v>314</v>
      </c>
      <c r="L175" s="72">
        <f t="shared" si="8"/>
        <v>0</v>
      </c>
      <c r="M175" s="72">
        <f t="shared" si="8"/>
        <v>0</v>
      </c>
      <c r="N175" s="72">
        <f t="shared" si="8"/>
        <v>0</v>
      </c>
      <c r="O175" s="72">
        <f t="shared" si="8"/>
        <v>837</v>
      </c>
      <c r="P175" s="72">
        <f t="shared" si="8"/>
        <v>3249</v>
      </c>
      <c r="Q175" s="72">
        <f t="shared" si="8"/>
        <v>4795</v>
      </c>
      <c r="R175" s="72">
        <f t="shared" si="8"/>
        <v>21697</v>
      </c>
      <c r="S175" s="72">
        <f t="shared" si="8"/>
        <v>0</v>
      </c>
      <c r="T175" s="72">
        <f t="shared" si="8"/>
        <v>0</v>
      </c>
      <c r="U175" s="72">
        <f t="shared" si="8"/>
        <v>0</v>
      </c>
      <c r="V175" s="72">
        <f t="shared" si="8"/>
        <v>38461.721166429998</v>
      </c>
    </row>
    <row r="176" spans="1:22">
      <c r="A176" s="119" t="s">
        <v>375</v>
      </c>
      <c r="B176" s="72">
        <f t="shared" ref="B176:V176" si="9">B164-B170</f>
        <v>-102</v>
      </c>
      <c r="C176" s="72">
        <f t="shared" si="9"/>
        <v>0</v>
      </c>
      <c r="D176" s="72">
        <f t="shared" si="9"/>
        <v>368.89799999999991</v>
      </c>
      <c r="E176" s="72">
        <f t="shared" si="9"/>
        <v>-75</v>
      </c>
      <c r="F176" s="72">
        <f t="shared" si="9"/>
        <v>-169.5</v>
      </c>
      <c r="G176" s="72">
        <f t="shared" si="9"/>
        <v>-6</v>
      </c>
      <c r="H176" s="72">
        <f t="shared" si="9"/>
        <v>27.75</v>
      </c>
      <c r="I176" s="72">
        <f t="shared" si="9"/>
        <v>0</v>
      </c>
      <c r="J176" s="72">
        <f t="shared" si="9"/>
        <v>0</v>
      </c>
      <c r="K176" s="72">
        <f t="shared" si="9"/>
        <v>0</v>
      </c>
      <c r="L176" s="72">
        <f t="shared" si="9"/>
        <v>0</v>
      </c>
      <c r="M176" s="72">
        <f t="shared" si="9"/>
        <v>0</v>
      </c>
      <c r="N176" s="72">
        <f t="shared" si="9"/>
        <v>0</v>
      </c>
      <c r="O176" s="72">
        <f t="shared" si="9"/>
        <v>0</v>
      </c>
      <c r="P176" s="72">
        <f t="shared" si="9"/>
        <v>1213</v>
      </c>
      <c r="Q176" s="72">
        <f t="shared" si="9"/>
        <v>755</v>
      </c>
      <c r="R176" s="72">
        <f t="shared" si="9"/>
        <v>5698</v>
      </c>
      <c r="S176" s="72">
        <f t="shared" si="9"/>
        <v>-2</v>
      </c>
      <c r="T176" s="72">
        <f t="shared" si="9"/>
        <v>-16.135084190000043</v>
      </c>
      <c r="U176" s="72">
        <f t="shared" si="9"/>
        <v>0</v>
      </c>
      <c r="V176" s="72">
        <f t="shared" si="9"/>
        <v>7692.0129158100026</v>
      </c>
    </row>
    <row r="177" spans="1:22">
      <c r="A177" s="120" t="s">
        <v>445</v>
      </c>
      <c r="B177" s="72">
        <f t="shared" ref="B177:V177" si="10">B165-B171</f>
        <v>-1163</v>
      </c>
      <c r="C177" s="72">
        <f t="shared" si="10"/>
        <v>379</v>
      </c>
      <c r="D177" s="72">
        <f t="shared" si="10"/>
        <v>-210</v>
      </c>
      <c r="E177" s="72">
        <f t="shared" si="10"/>
        <v>2696</v>
      </c>
      <c r="F177" s="72">
        <f t="shared" si="10"/>
        <v>9.9000000000000909</v>
      </c>
      <c r="G177" s="72">
        <f t="shared" si="10"/>
        <v>0</v>
      </c>
      <c r="H177" s="72">
        <f t="shared" si="10"/>
        <v>-90</v>
      </c>
      <c r="I177" s="72">
        <f t="shared" si="10"/>
        <v>0</v>
      </c>
      <c r="J177" s="72">
        <f t="shared" si="10"/>
        <v>0</v>
      </c>
      <c r="K177" s="72">
        <f t="shared" si="10"/>
        <v>0</v>
      </c>
      <c r="L177" s="72">
        <f t="shared" si="10"/>
        <v>0</v>
      </c>
      <c r="M177" s="72">
        <f t="shared" si="10"/>
        <v>0</v>
      </c>
      <c r="N177" s="72">
        <f t="shared" si="10"/>
        <v>0</v>
      </c>
      <c r="O177" s="72">
        <f t="shared" si="10"/>
        <v>0</v>
      </c>
      <c r="P177" s="72">
        <f t="shared" si="10"/>
        <v>0</v>
      </c>
      <c r="Q177" s="72">
        <f t="shared" si="10"/>
        <v>0</v>
      </c>
      <c r="R177" s="72">
        <f t="shared" si="10"/>
        <v>0</v>
      </c>
      <c r="S177" s="72">
        <f t="shared" si="10"/>
        <v>38</v>
      </c>
      <c r="T177" s="72">
        <f t="shared" si="10"/>
        <v>0</v>
      </c>
      <c r="U177" s="72">
        <f t="shared" si="10"/>
        <v>0</v>
      </c>
      <c r="V177" s="72">
        <f t="shared" si="10"/>
        <v>1659.9000000000015</v>
      </c>
    </row>
    <row r="178" spans="1:22">
      <c r="A178" s="120" t="s">
        <v>446</v>
      </c>
      <c r="B178" s="72">
        <f t="shared" ref="B178:V178" si="11">B166-B172</f>
        <v>686.29509091</v>
      </c>
      <c r="C178" s="72">
        <f t="shared" si="11"/>
        <v>368</v>
      </c>
      <c r="D178" s="72">
        <f t="shared" si="11"/>
        <v>0</v>
      </c>
      <c r="E178" s="72">
        <f t="shared" si="11"/>
        <v>2478.87598101</v>
      </c>
      <c r="F178" s="72">
        <f t="shared" si="11"/>
        <v>66</v>
      </c>
      <c r="G178" s="72">
        <f t="shared" si="11"/>
        <v>0</v>
      </c>
      <c r="H178" s="72">
        <f t="shared" si="11"/>
        <v>0</v>
      </c>
      <c r="I178" s="72">
        <f t="shared" si="11"/>
        <v>0</v>
      </c>
      <c r="J178" s="72">
        <f t="shared" si="11"/>
        <v>0</v>
      </c>
      <c r="K178" s="72">
        <f t="shared" si="11"/>
        <v>0</v>
      </c>
      <c r="L178" s="72">
        <f t="shared" si="11"/>
        <v>0</v>
      </c>
      <c r="M178" s="72">
        <f t="shared" si="11"/>
        <v>0</v>
      </c>
      <c r="N178" s="72">
        <f t="shared" si="11"/>
        <v>0</v>
      </c>
      <c r="O178" s="72">
        <f t="shared" si="11"/>
        <v>0</v>
      </c>
      <c r="P178" s="72">
        <f t="shared" si="11"/>
        <v>-4871.3999999999996</v>
      </c>
      <c r="Q178" s="72">
        <f t="shared" si="11"/>
        <v>-5538.4</v>
      </c>
      <c r="R178" s="72">
        <f t="shared" si="11"/>
        <v>-23350.400000000001</v>
      </c>
      <c r="S178" s="72">
        <f t="shared" si="11"/>
        <v>0</v>
      </c>
      <c r="T178" s="72">
        <f t="shared" si="11"/>
        <v>0</v>
      </c>
      <c r="U178" s="72">
        <f t="shared" si="11"/>
        <v>0</v>
      </c>
      <c r="V178" s="72">
        <f t="shared" si="11"/>
        <v>-30161.028928079999</v>
      </c>
    </row>
    <row r="179" spans="1:22">
      <c r="A179" s="120"/>
      <c r="B179" s="72">
        <f t="shared" ref="B179:V179" si="12">B167-B173</f>
        <v>-1056.3327426600008</v>
      </c>
      <c r="C179" s="72">
        <f t="shared" si="12"/>
        <v>2594</v>
      </c>
      <c r="D179" s="72">
        <f t="shared" si="12"/>
        <v>158.89800000000014</v>
      </c>
      <c r="E179" s="72">
        <f t="shared" si="12"/>
        <v>10087.524981010001</v>
      </c>
      <c r="F179" s="72">
        <f t="shared" si="12"/>
        <v>135.10000000000036</v>
      </c>
      <c r="G179" s="72">
        <f t="shared" si="12"/>
        <v>-6</v>
      </c>
      <c r="H179" s="72">
        <f t="shared" si="12"/>
        <v>-62.25</v>
      </c>
      <c r="I179" s="72">
        <f t="shared" si="12"/>
        <v>129</v>
      </c>
      <c r="J179" s="72">
        <f t="shared" si="12"/>
        <v>855</v>
      </c>
      <c r="K179" s="72">
        <f t="shared" si="12"/>
        <v>314</v>
      </c>
      <c r="L179" s="72">
        <f t="shared" si="12"/>
        <v>0</v>
      </c>
      <c r="M179" s="72">
        <f t="shared" si="12"/>
        <v>0</v>
      </c>
      <c r="N179" s="72">
        <f t="shared" si="12"/>
        <v>0</v>
      </c>
      <c r="O179" s="72">
        <f t="shared" si="12"/>
        <v>837</v>
      </c>
      <c r="P179" s="72">
        <f t="shared" si="12"/>
        <v>-409.39999999999964</v>
      </c>
      <c r="Q179" s="72">
        <f t="shared" si="12"/>
        <v>11.600000000000364</v>
      </c>
      <c r="R179" s="72">
        <f t="shared" si="12"/>
        <v>4044.5999999999985</v>
      </c>
      <c r="S179" s="72">
        <f t="shared" si="12"/>
        <v>36</v>
      </c>
      <c r="T179" s="72">
        <f t="shared" si="12"/>
        <v>-16.135084190000043</v>
      </c>
      <c r="U179" s="72">
        <f t="shared" si="12"/>
        <v>0</v>
      </c>
      <c r="V179" s="72">
        <f t="shared" si="12"/>
        <v>17652.605154160003</v>
      </c>
    </row>
    <row r="181" spans="1:22">
      <c r="A181" s="176" t="s">
        <v>428</v>
      </c>
      <c r="B181" s="175" t="s">
        <v>699</v>
      </c>
      <c r="C181" s="175"/>
      <c r="D181" s="175"/>
      <c r="E181" s="175"/>
      <c r="F181" s="175"/>
      <c r="G181" s="175"/>
      <c r="H181" s="175"/>
      <c r="I181" s="175"/>
      <c r="J181" s="175"/>
      <c r="K181" s="175"/>
      <c r="L181" s="175"/>
      <c r="M181" s="175"/>
      <c r="N181" s="175"/>
      <c r="O181" s="175"/>
      <c r="P181" s="175"/>
      <c r="Q181" s="175"/>
      <c r="R181" s="175"/>
      <c r="S181" s="175"/>
      <c r="T181" s="174"/>
      <c r="U181" s="174"/>
    </row>
    <row r="183" spans="1:22">
      <c r="A183" s="59" t="s">
        <v>431</v>
      </c>
      <c r="B183" s="59" t="s">
        <v>433</v>
      </c>
      <c r="C183" s="59"/>
      <c r="D183" s="59"/>
      <c r="E183" s="59"/>
      <c r="F183" s="59"/>
      <c r="G183" s="59"/>
      <c r="H183" s="59"/>
      <c r="I183" s="59"/>
      <c r="J183" s="59"/>
      <c r="K183" s="59"/>
      <c r="L183" s="59"/>
      <c r="M183" s="59"/>
      <c r="N183" s="59"/>
      <c r="O183" s="59"/>
      <c r="P183" s="59"/>
      <c r="Q183" s="59"/>
      <c r="R183" s="59"/>
      <c r="S183" s="59"/>
      <c r="T183" s="59"/>
      <c r="U183" s="59"/>
    </row>
    <row r="184" spans="1:22">
      <c r="A184" s="59" t="s">
        <v>432</v>
      </c>
      <c r="B184" s="59" t="s">
        <v>448</v>
      </c>
      <c r="C184" s="59"/>
      <c r="D184" s="59"/>
      <c r="E184" s="59"/>
      <c r="F184" s="59"/>
      <c r="G184" s="59"/>
      <c r="H184" s="59"/>
      <c r="I184" s="59"/>
      <c r="J184" s="59"/>
      <c r="K184" s="59"/>
      <c r="L184" s="59"/>
      <c r="M184" s="59"/>
      <c r="N184" s="59"/>
      <c r="O184" s="59"/>
      <c r="P184" s="59"/>
      <c r="Q184" s="59"/>
      <c r="R184" s="59"/>
      <c r="S184" s="59"/>
      <c r="T184" s="59"/>
      <c r="U184" s="59"/>
      <c r="V184" s="224"/>
    </row>
    <row r="185" spans="1:22">
      <c r="A185" s="59"/>
      <c r="B185" s="220" t="s">
        <v>447</v>
      </c>
      <c r="C185" s="59"/>
      <c r="D185" s="59"/>
      <c r="E185" s="59"/>
      <c r="F185" s="59"/>
      <c r="G185" s="59"/>
      <c r="H185" s="59"/>
      <c r="I185" s="59" t="s">
        <v>449</v>
      </c>
      <c r="J185" s="59"/>
      <c r="K185" s="59"/>
      <c r="L185" s="59"/>
      <c r="M185" s="59"/>
      <c r="N185" s="59"/>
      <c r="O185" s="59"/>
      <c r="P185" s="59"/>
      <c r="Q185" s="59"/>
      <c r="R185" s="59"/>
      <c r="S185" s="59"/>
      <c r="T185" s="59"/>
      <c r="U185" s="59"/>
      <c r="V185" s="213"/>
    </row>
    <row r="186" spans="1:22">
      <c r="A186" s="59" t="s">
        <v>435</v>
      </c>
      <c r="B186" s="59" t="s">
        <v>434</v>
      </c>
      <c r="C186" s="59"/>
      <c r="D186" s="59"/>
      <c r="E186" s="59"/>
      <c r="F186" s="59"/>
      <c r="G186" s="59"/>
      <c r="H186" s="59"/>
      <c r="I186" s="59"/>
      <c r="J186" s="59"/>
      <c r="K186" s="59"/>
      <c r="L186" s="59"/>
      <c r="M186" s="59"/>
      <c r="N186" s="59"/>
      <c r="O186" s="59"/>
      <c r="P186" s="59"/>
      <c r="Q186" s="59"/>
      <c r="R186" s="59"/>
      <c r="S186" s="59"/>
      <c r="T186" s="59"/>
      <c r="U186" s="59"/>
    </row>
    <row r="187" spans="1:22">
      <c r="A187" s="59"/>
      <c r="B187" s="59" t="s">
        <v>429</v>
      </c>
      <c r="C187" s="59"/>
      <c r="D187" s="59"/>
      <c r="E187" s="59"/>
      <c r="F187" s="59"/>
      <c r="G187" s="59"/>
      <c r="H187" s="59"/>
      <c r="I187" s="59"/>
      <c r="J187" s="59"/>
      <c r="K187" s="59"/>
      <c r="L187" s="59"/>
      <c r="M187" s="59"/>
      <c r="N187" s="59"/>
      <c r="O187" s="59"/>
      <c r="P187" s="59"/>
      <c r="Q187" s="59"/>
      <c r="R187" s="59"/>
      <c r="S187" s="59"/>
      <c r="T187" s="59"/>
      <c r="U187" s="59"/>
    </row>
    <row r="188" spans="1:22">
      <c r="A188" s="59"/>
      <c r="B188" s="59" t="s">
        <v>430</v>
      </c>
      <c r="C188" s="59"/>
      <c r="D188" s="59"/>
      <c r="E188" s="59"/>
      <c r="F188" s="59"/>
      <c r="G188" s="59"/>
      <c r="H188" s="59"/>
      <c r="I188" s="59"/>
      <c r="J188" s="59"/>
      <c r="K188" s="59"/>
      <c r="L188" s="59"/>
      <c r="M188" s="59"/>
      <c r="N188" s="59"/>
      <c r="O188" s="59"/>
      <c r="P188" s="59"/>
      <c r="Q188" s="59"/>
      <c r="R188" s="59"/>
      <c r="S188" s="59"/>
      <c r="T188" s="59"/>
      <c r="U188" s="59"/>
    </row>
    <row r="190" spans="1:22">
      <c r="A190" s="155" t="s">
        <v>262</v>
      </c>
      <c r="B190" s="155" t="s">
        <v>26</v>
      </c>
      <c r="C190" s="155" t="s">
        <v>126</v>
      </c>
      <c r="D190" s="155" t="s">
        <v>75</v>
      </c>
      <c r="E190" s="155" t="s">
        <v>127</v>
      </c>
      <c r="F190" s="155" t="s">
        <v>128</v>
      </c>
      <c r="G190" s="155" t="s">
        <v>129</v>
      </c>
      <c r="H190" s="155" t="s">
        <v>130</v>
      </c>
      <c r="I190" s="155" t="s">
        <v>103</v>
      </c>
      <c r="J190" s="155" t="s">
        <v>104</v>
      </c>
      <c r="K190" s="155" t="s">
        <v>105</v>
      </c>
      <c r="L190" s="155" t="s">
        <v>106</v>
      </c>
      <c r="M190" s="155" t="s">
        <v>99</v>
      </c>
      <c r="N190" s="155" t="s">
        <v>101</v>
      </c>
      <c r="O190" s="155" t="s">
        <v>133</v>
      </c>
      <c r="P190" s="155" t="s">
        <v>118</v>
      </c>
      <c r="Q190" s="155" t="s">
        <v>119</v>
      </c>
      <c r="R190" s="155" t="s">
        <v>120</v>
      </c>
      <c r="S190" s="155" t="s">
        <v>135</v>
      </c>
      <c r="T190" s="155" t="s">
        <v>136</v>
      </c>
      <c r="U190" s="155" t="s">
        <v>137</v>
      </c>
    </row>
    <row r="191" spans="1:22">
      <c r="A191" s="114" t="s">
        <v>139</v>
      </c>
      <c r="B191" s="552">
        <f t="shared" ref="B191:K193" si="13">S24</f>
        <v>299470</v>
      </c>
      <c r="C191" s="552">
        <f t="shared" si="13"/>
        <v>100400</v>
      </c>
      <c r="D191" s="552">
        <f t="shared" si="13"/>
        <v>54790</v>
      </c>
      <c r="E191" s="552">
        <f t="shared" si="13"/>
        <v>128949.99999999999</v>
      </c>
      <c r="F191" s="552">
        <f t="shared" si="13"/>
        <v>36740</v>
      </c>
      <c r="G191" s="552">
        <f t="shared" si="13"/>
        <v>59320</v>
      </c>
      <c r="H191" s="552">
        <f t="shared" si="13"/>
        <v>23300</v>
      </c>
      <c r="I191" s="541">
        <f t="shared" si="13"/>
        <v>0</v>
      </c>
      <c r="J191" s="541">
        <f t="shared" si="13"/>
        <v>1208.1011915693161</v>
      </c>
      <c r="K191" s="541">
        <f t="shared" si="13"/>
        <v>17554.88799595719</v>
      </c>
      <c r="L191" s="541">
        <f t="shared" ref="L191:U193" si="14">AC24</f>
        <v>7657.0108124734952</v>
      </c>
      <c r="M191" s="541">
        <f t="shared" si="14"/>
        <v>6195.4816941224781</v>
      </c>
      <c r="N191" s="541">
        <f t="shared" si="14"/>
        <v>15514.518305877522</v>
      </c>
      <c r="O191" s="552">
        <f t="shared" si="14"/>
        <v>21270</v>
      </c>
      <c r="P191" s="541">
        <f t="shared" si="14"/>
        <v>1562.5</v>
      </c>
      <c r="Q191" s="541">
        <f t="shared" si="14"/>
        <v>0</v>
      </c>
      <c r="R191" s="552">
        <f t="shared" si="14"/>
        <v>4687.5</v>
      </c>
      <c r="S191" s="552">
        <f t="shared" si="14"/>
        <v>6540</v>
      </c>
      <c r="T191" s="552">
        <f t="shared" si="14"/>
        <v>800</v>
      </c>
      <c r="U191" s="552">
        <f t="shared" si="14"/>
        <v>2400</v>
      </c>
    </row>
    <row r="192" spans="1:22">
      <c r="A192" s="114" t="s">
        <v>140</v>
      </c>
      <c r="B192" s="552">
        <f t="shared" si="13"/>
        <v>142000</v>
      </c>
      <c r="C192" s="552">
        <f t="shared" si="13"/>
        <v>50000</v>
      </c>
      <c r="D192" s="552">
        <f t="shared" si="13"/>
        <v>43480</v>
      </c>
      <c r="E192" s="552">
        <f t="shared" si="13"/>
        <v>75050</v>
      </c>
      <c r="F192" s="552">
        <f t="shared" si="13"/>
        <v>29500</v>
      </c>
      <c r="G192" s="552">
        <f t="shared" si="13"/>
        <v>12700</v>
      </c>
      <c r="H192" s="552">
        <f t="shared" si="13"/>
        <v>8900</v>
      </c>
      <c r="I192" s="541">
        <f t="shared" si="13"/>
        <v>7018.4769305581794</v>
      </c>
      <c r="J192" s="541">
        <f t="shared" si="13"/>
        <v>12727.578281810482</v>
      </c>
      <c r="K192" s="541">
        <f t="shared" si="13"/>
        <v>5408.5475171000035</v>
      </c>
      <c r="L192" s="541">
        <f t="shared" si="14"/>
        <v>3095.3972705313349</v>
      </c>
      <c r="M192" s="541">
        <f t="shared" si="14"/>
        <v>4639.3817913564608</v>
      </c>
      <c r="N192" s="541">
        <f t="shared" si="14"/>
        <v>23610.61820864354</v>
      </c>
      <c r="O192" s="552">
        <f t="shared" si="14"/>
        <v>46000</v>
      </c>
      <c r="P192" s="541">
        <f t="shared" si="14"/>
        <v>2429.0722209751543</v>
      </c>
      <c r="Q192" s="541">
        <f t="shared" si="14"/>
        <v>1485.8409082853868</v>
      </c>
      <c r="R192" s="552">
        <f t="shared" si="14"/>
        <v>2445.0868707394588</v>
      </c>
      <c r="S192" s="552">
        <f t="shared" si="14"/>
        <v>5210</v>
      </c>
      <c r="T192" s="552">
        <f t="shared" si="14"/>
        <v>290</v>
      </c>
      <c r="U192" s="552">
        <f t="shared" si="14"/>
        <v>860</v>
      </c>
    </row>
    <row r="193" spans="1:21">
      <c r="A193" s="219" t="s">
        <v>141</v>
      </c>
      <c r="B193" s="553">
        <f t="shared" si="13"/>
        <v>50520</v>
      </c>
      <c r="C193" s="553">
        <f t="shared" si="13"/>
        <v>17980</v>
      </c>
      <c r="D193" s="553">
        <f t="shared" si="13"/>
        <v>75030</v>
      </c>
      <c r="E193" s="553">
        <f t="shared" si="13"/>
        <v>5040</v>
      </c>
      <c r="F193" s="553">
        <f t="shared" si="13"/>
        <v>10900</v>
      </c>
      <c r="G193" s="553">
        <f t="shared" si="13"/>
        <v>33300</v>
      </c>
      <c r="H193" s="553">
        <f t="shared" si="13"/>
        <v>6860</v>
      </c>
      <c r="I193" s="554">
        <f t="shared" si="13"/>
        <v>0</v>
      </c>
      <c r="J193" s="554">
        <f t="shared" si="13"/>
        <v>1000</v>
      </c>
      <c r="K193" s="554">
        <f t="shared" si="13"/>
        <v>1400</v>
      </c>
      <c r="L193" s="554">
        <f t="shared" si="14"/>
        <v>4200</v>
      </c>
      <c r="M193" s="554">
        <f t="shared" si="14"/>
        <v>6847.153565820272</v>
      </c>
      <c r="N193" s="554">
        <f t="shared" si="14"/>
        <v>14392.846434179728</v>
      </c>
      <c r="O193" s="553">
        <f t="shared" si="14"/>
        <v>3600</v>
      </c>
      <c r="P193" s="554">
        <f t="shared" si="14"/>
        <v>0</v>
      </c>
      <c r="Q193" s="554">
        <f t="shared" si="14"/>
        <v>0</v>
      </c>
      <c r="R193" s="553">
        <f t="shared" si="14"/>
        <v>6000</v>
      </c>
      <c r="S193" s="553">
        <f t="shared" si="14"/>
        <v>2100</v>
      </c>
      <c r="T193" s="553">
        <f t="shared" si="14"/>
        <v>500</v>
      </c>
      <c r="U193" s="553">
        <f t="shared" si="14"/>
        <v>1000</v>
      </c>
    </row>
    <row r="194" spans="1:21">
      <c r="A194" s="22" t="s">
        <v>373</v>
      </c>
      <c r="B194" s="552">
        <f t="shared" ref="B194:U194" si="15">B84</f>
        <v>1296.6278335699999</v>
      </c>
      <c r="C194" s="552">
        <f t="shared" si="15"/>
        <v>8000</v>
      </c>
      <c r="D194" s="552">
        <f t="shared" si="15"/>
        <v>0</v>
      </c>
      <c r="E194" s="552">
        <f t="shared" si="15"/>
        <v>6426.3509999999997</v>
      </c>
      <c r="F194" s="552">
        <f t="shared" si="15"/>
        <v>198.3</v>
      </c>
      <c r="G194" s="552">
        <f t="shared" si="15"/>
        <v>0</v>
      </c>
      <c r="H194" s="552">
        <f t="shared" si="15"/>
        <v>0</v>
      </c>
      <c r="I194" s="552">
        <f t="shared" si="15"/>
        <v>5315</v>
      </c>
      <c r="J194" s="552">
        <f t="shared" si="15"/>
        <v>6795</v>
      </c>
      <c r="K194" s="552">
        <f t="shared" si="15"/>
        <v>1972</v>
      </c>
      <c r="L194" s="552">
        <f t="shared" si="15"/>
        <v>237</v>
      </c>
      <c r="M194" s="552">
        <f t="shared" si="15"/>
        <v>0</v>
      </c>
      <c r="N194" s="552">
        <f t="shared" si="15"/>
        <v>0</v>
      </c>
      <c r="O194" s="552">
        <f t="shared" si="15"/>
        <v>2400</v>
      </c>
      <c r="P194" s="552">
        <f t="shared" si="15"/>
        <v>0</v>
      </c>
      <c r="Q194" s="552">
        <f t="shared" si="15"/>
        <v>0</v>
      </c>
      <c r="R194" s="552">
        <f t="shared" si="15"/>
        <v>0</v>
      </c>
      <c r="S194" s="552">
        <f t="shared" si="15"/>
        <v>0</v>
      </c>
      <c r="T194" s="552">
        <f t="shared" si="15"/>
        <v>0</v>
      </c>
      <c r="U194" s="552">
        <f t="shared" si="15"/>
        <v>0</v>
      </c>
    </row>
    <row r="195" spans="1:21">
      <c r="A195" s="133" t="s">
        <v>375</v>
      </c>
      <c r="B195" s="555">
        <f t="shared" ref="B195:U195" si="16">B85</f>
        <v>4036</v>
      </c>
      <c r="C195" s="555">
        <f t="shared" si="16"/>
        <v>13600</v>
      </c>
      <c r="D195" s="555">
        <f t="shared" si="16"/>
        <v>1938.1020000000001</v>
      </c>
      <c r="E195" s="555">
        <f t="shared" si="16"/>
        <v>3500</v>
      </c>
      <c r="F195" s="555">
        <f t="shared" si="16"/>
        <v>536.5</v>
      </c>
      <c r="G195" s="555">
        <f t="shared" si="16"/>
        <v>43</v>
      </c>
      <c r="H195" s="555">
        <f t="shared" si="16"/>
        <v>134.25</v>
      </c>
      <c r="I195" s="555">
        <f t="shared" si="16"/>
        <v>0</v>
      </c>
      <c r="J195" s="555">
        <f t="shared" si="16"/>
        <v>0</v>
      </c>
      <c r="K195" s="555">
        <f t="shared" si="16"/>
        <v>0</v>
      </c>
      <c r="L195" s="555">
        <f t="shared" si="16"/>
        <v>0</v>
      </c>
      <c r="M195" s="555">
        <f t="shared" si="16"/>
        <v>0</v>
      </c>
      <c r="N195" s="555">
        <f t="shared" si="16"/>
        <v>0</v>
      </c>
      <c r="O195" s="555">
        <f t="shared" si="16"/>
        <v>0</v>
      </c>
      <c r="P195" s="555">
        <f t="shared" si="16"/>
        <v>0</v>
      </c>
      <c r="Q195" s="555">
        <f t="shared" si="16"/>
        <v>0</v>
      </c>
      <c r="R195" s="555">
        <f t="shared" si="16"/>
        <v>0</v>
      </c>
      <c r="S195" s="555">
        <f t="shared" si="16"/>
        <v>128</v>
      </c>
      <c r="T195" s="555">
        <f t="shared" si="16"/>
        <v>1608.13508419</v>
      </c>
      <c r="U195" s="555">
        <f t="shared" si="16"/>
        <v>0</v>
      </c>
    </row>
    <row r="196" spans="1:21">
      <c r="A196" s="40" t="s">
        <v>164</v>
      </c>
      <c r="B196" s="552">
        <f t="shared" ref="B196:U196" si="17">B86</f>
        <v>8393</v>
      </c>
      <c r="C196" s="552">
        <f t="shared" si="17"/>
        <v>1800</v>
      </c>
      <c r="D196" s="552">
        <f t="shared" si="17"/>
        <v>2954</v>
      </c>
      <c r="E196" s="552">
        <f t="shared" si="17"/>
        <v>4212</v>
      </c>
      <c r="F196" s="552">
        <f t="shared" si="17"/>
        <v>1323.1</v>
      </c>
      <c r="G196" s="552">
        <f t="shared" si="17"/>
        <v>0</v>
      </c>
      <c r="H196" s="552">
        <f t="shared" si="17"/>
        <v>1395</v>
      </c>
      <c r="I196" s="552">
        <f t="shared" si="17"/>
        <v>0</v>
      </c>
      <c r="J196" s="552">
        <f t="shared" si="17"/>
        <v>0</v>
      </c>
      <c r="K196" s="552">
        <f t="shared" si="17"/>
        <v>0</v>
      </c>
      <c r="L196" s="552">
        <f t="shared" si="17"/>
        <v>0</v>
      </c>
      <c r="M196" s="552">
        <f t="shared" si="17"/>
        <v>0</v>
      </c>
      <c r="N196" s="552">
        <f t="shared" si="17"/>
        <v>0</v>
      </c>
      <c r="O196" s="552">
        <f t="shared" si="17"/>
        <v>0</v>
      </c>
      <c r="P196" s="552">
        <f t="shared" si="17"/>
        <v>0</v>
      </c>
      <c r="Q196" s="552">
        <f t="shared" si="17"/>
        <v>0</v>
      </c>
      <c r="R196" s="552">
        <f t="shared" si="17"/>
        <v>0</v>
      </c>
      <c r="S196" s="552">
        <f t="shared" si="17"/>
        <v>900</v>
      </c>
      <c r="T196" s="552">
        <f t="shared" si="17"/>
        <v>0</v>
      </c>
      <c r="U196" s="552">
        <f t="shared" si="17"/>
        <v>0</v>
      </c>
    </row>
    <row r="197" spans="1:21">
      <c r="A197" s="40" t="s">
        <v>228</v>
      </c>
      <c r="B197" s="552">
        <f t="shared" ref="B197:O197" si="18">B87</f>
        <v>1457.70490909</v>
      </c>
      <c r="C197" s="552">
        <f t="shared" si="18"/>
        <v>1700</v>
      </c>
      <c r="D197" s="552">
        <f t="shared" si="18"/>
        <v>0</v>
      </c>
      <c r="E197" s="552">
        <f t="shared" si="18"/>
        <v>1744.12401899</v>
      </c>
      <c r="F197" s="552">
        <f t="shared" si="18"/>
        <v>150</v>
      </c>
      <c r="G197" s="552">
        <f t="shared" si="18"/>
        <v>0</v>
      </c>
      <c r="H197" s="552">
        <f t="shared" si="18"/>
        <v>0</v>
      </c>
      <c r="I197" s="552">
        <f t="shared" si="18"/>
        <v>0</v>
      </c>
      <c r="J197" s="552">
        <f t="shared" si="18"/>
        <v>0</v>
      </c>
      <c r="K197" s="552">
        <f t="shared" si="18"/>
        <v>0</v>
      </c>
      <c r="L197" s="552">
        <f t="shared" si="18"/>
        <v>0</v>
      </c>
      <c r="M197" s="552">
        <f t="shared" si="18"/>
        <v>0</v>
      </c>
      <c r="N197" s="552">
        <f t="shared" si="18"/>
        <v>0</v>
      </c>
      <c r="O197" s="552">
        <f t="shared" si="18"/>
        <v>0</v>
      </c>
      <c r="P197" s="556"/>
      <c r="Q197" s="556"/>
      <c r="R197" s="556"/>
      <c r="S197" s="552">
        <f>S87</f>
        <v>0</v>
      </c>
      <c r="T197" s="552">
        <f>T87</f>
        <v>0</v>
      </c>
      <c r="U197" s="552">
        <f>U87</f>
        <v>0</v>
      </c>
    </row>
    <row r="198" spans="1:21">
      <c r="A198" s="22" t="s">
        <v>450</v>
      </c>
      <c r="B198" s="552"/>
      <c r="C198" s="552"/>
      <c r="D198" s="552"/>
      <c r="E198" s="552"/>
      <c r="F198" s="552"/>
      <c r="G198" s="552"/>
      <c r="H198" s="552"/>
      <c r="I198" s="552"/>
      <c r="J198" s="552"/>
      <c r="K198" s="552"/>
      <c r="L198" s="552"/>
      <c r="M198" s="552"/>
      <c r="N198" s="552"/>
      <c r="O198" s="552"/>
      <c r="P198" s="552">
        <f>P87</f>
        <v>4931.3999999999996</v>
      </c>
      <c r="Q198" s="552">
        <f>Q87</f>
        <v>5540.4</v>
      </c>
      <c r="R198" s="552">
        <f>R87</f>
        <v>24000.400000000001</v>
      </c>
      <c r="S198" s="552"/>
      <c r="T198" s="552"/>
      <c r="U198" s="552"/>
    </row>
    <row r="199" spans="1:21">
      <c r="A199" s="147" t="s">
        <v>451</v>
      </c>
      <c r="B199" s="553"/>
      <c r="C199" s="553"/>
      <c r="D199" s="553"/>
      <c r="E199" s="553"/>
      <c r="F199" s="553"/>
      <c r="G199" s="553"/>
      <c r="H199" s="553"/>
      <c r="I199" s="553"/>
      <c r="J199" s="553"/>
      <c r="K199" s="553"/>
      <c r="L199" s="553"/>
      <c r="M199" s="553"/>
      <c r="N199" s="553"/>
      <c r="O199" s="553"/>
      <c r="P199" s="553">
        <f>P42</f>
        <v>76</v>
      </c>
      <c r="Q199" s="553">
        <f>Q42</f>
        <v>2</v>
      </c>
      <c r="R199" s="553">
        <f>R42</f>
        <v>682</v>
      </c>
      <c r="S199" s="553"/>
      <c r="T199" s="553"/>
      <c r="U199" s="553"/>
    </row>
    <row r="200" spans="1:21">
      <c r="A200" s="33" t="s">
        <v>408</v>
      </c>
      <c r="B200" s="552">
        <f t="shared" ref="B200:U200" si="19">B46</f>
        <v>0</v>
      </c>
      <c r="C200" s="552">
        <f t="shared" si="19"/>
        <v>0</v>
      </c>
      <c r="D200" s="552">
        <f t="shared" si="19"/>
        <v>0</v>
      </c>
      <c r="E200" s="552">
        <f t="shared" si="19"/>
        <v>0</v>
      </c>
      <c r="F200" s="552">
        <f t="shared" si="19"/>
        <v>3213</v>
      </c>
      <c r="G200" s="552">
        <f t="shared" si="19"/>
        <v>0</v>
      </c>
      <c r="H200" s="552">
        <f t="shared" si="19"/>
        <v>354</v>
      </c>
      <c r="I200" s="552">
        <f t="shared" si="19"/>
        <v>0</v>
      </c>
      <c r="J200" s="552">
        <f t="shared" si="19"/>
        <v>0</v>
      </c>
      <c r="K200" s="552">
        <f t="shared" si="19"/>
        <v>0</v>
      </c>
      <c r="L200" s="552">
        <f t="shared" si="19"/>
        <v>0</v>
      </c>
      <c r="M200" s="552">
        <f t="shared" si="19"/>
        <v>831</v>
      </c>
      <c r="N200" s="552">
        <f t="shared" si="19"/>
        <v>411</v>
      </c>
      <c r="O200" s="552">
        <f t="shared" si="19"/>
        <v>928</v>
      </c>
      <c r="P200" s="552">
        <f t="shared" si="19"/>
        <v>0</v>
      </c>
      <c r="Q200" s="552">
        <f t="shared" si="19"/>
        <v>0</v>
      </c>
      <c r="R200" s="552">
        <f t="shared" si="19"/>
        <v>0</v>
      </c>
      <c r="S200" s="552">
        <f t="shared" si="19"/>
        <v>0</v>
      </c>
      <c r="T200" s="552">
        <f t="shared" si="19"/>
        <v>0</v>
      </c>
      <c r="U200" s="552">
        <f t="shared" si="19"/>
        <v>0</v>
      </c>
    </row>
    <row r="201" spans="1:21">
      <c r="A201" s="33" t="s">
        <v>413</v>
      </c>
      <c r="B201" s="556"/>
      <c r="C201" s="556"/>
      <c r="D201" s="556"/>
      <c r="E201" s="556"/>
      <c r="F201" s="556"/>
      <c r="G201" s="556"/>
      <c r="H201" s="556"/>
      <c r="I201" s="556"/>
      <c r="J201" s="556"/>
      <c r="K201" s="556"/>
      <c r="L201" s="556"/>
      <c r="M201" s="556"/>
      <c r="N201" s="556"/>
      <c r="O201" s="556"/>
      <c r="P201" s="556"/>
      <c r="Q201" s="556"/>
      <c r="R201" s="556"/>
      <c r="S201" s="556"/>
      <c r="T201" s="556"/>
      <c r="U201" s="552">
        <f>U47</f>
        <v>464</v>
      </c>
    </row>
    <row r="202" spans="1:21">
      <c r="A202" s="33" t="s">
        <v>452</v>
      </c>
      <c r="B202" s="222">
        <f t="shared" ref="B202:U202" si="20">B49</f>
        <v>8564</v>
      </c>
      <c r="C202" s="222">
        <f t="shared" si="20"/>
        <v>2415</v>
      </c>
      <c r="D202" s="222">
        <f t="shared" si="20"/>
        <v>3053</v>
      </c>
      <c r="E202" s="222">
        <f t="shared" si="20"/>
        <v>1730</v>
      </c>
      <c r="F202" s="222">
        <f t="shared" si="20"/>
        <v>2183</v>
      </c>
      <c r="G202" s="222">
        <f t="shared" si="20"/>
        <v>415</v>
      </c>
      <c r="H202" s="222">
        <f t="shared" si="20"/>
        <v>615</v>
      </c>
      <c r="I202" s="222">
        <f t="shared" si="20"/>
        <v>199</v>
      </c>
      <c r="J202" s="222">
        <f t="shared" si="20"/>
        <v>744</v>
      </c>
      <c r="K202" s="222">
        <f t="shared" si="20"/>
        <v>2554</v>
      </c>
      <c r="L202" s="222">
        <f t="shared" si="20"/>
        <v>698</v>
      </c>
      <c r="M202" s="222">
        <f t="shared" si="20"/>
        <v>0</v>
      </c>
      <c r="N202" s="222">
        <f t="shared" si="20"/>
        <v>7</v>
      </c>
      <c r="O202" s="222">
        <f t="shared" si="20"/>
        <v>2625</v>
      </c>
      <c r="P202" s="222">
        <f t="shared" si="20"/>
        <v>0</v>
      </c>
      <c r="Q202" s="222">
        <f t="shared" si="20"/>
        <v>0</v>
      </c>
      <c r="R202" s="222">
        <f t="shared" si="20"/>
        <v>0</v>
      </c>
      <c r="S202" s="222">
        <f t="shared" si="20"/>
        <v>210</v>
      </c>
      <c r="T202" s="222">
        <f t="shared" si="20"/>
        <v>159</v>
      </c>
      <c r="U202" s="222">
        <f t="shared" si="20"/>
        <v>168</v>
      </c>
    </row>
    <row r="203" spans="1:21">
      <c r="A203" s="191" t="s">
        <v>142</v>
      </c>
      <c r="B203" s="557">
        <f t="shared" ref="B203:U203" si="21">B50</f>
        <v>0</v>
      </c>
      <c r="C203" s="557">
        <f t="shared" si="21"/>
        <v>54700</v>
      </c>
      <c r="D203" s="557">
        <f t="shared" si="21"/>
        <v>4500</v>
      </c>
      <c r="E203" s="557">
        <f t="shared" si="21"/>
        <v>0</v>
      </c>
      <c r="F203" s="557">
        <f t="shared" si="21"/>
        <v>2220</v>
      </c>
      <c r="G203" s="557">
        <f t="shared" si="21"/>
        <v>243</v>
      </c>
      <c r="H203" s="557">
        <f t="shared" si="21"/>
        <v>1038</v>
      </c>
      <c r="I203" s="557">
        <f t="shared" si="21"/>
        <v>0</v>
      </c>
      <c r="J203" s="557">
        <f t="shared" si="21"/>
        <v>0</v>
      </c>
      <c r="K203" s="557">
        <f t="shared" si="21"/>
        <v>4800</v>
      </c>
      <c r="L203" s="557">
        <f t="shared" si="21"/>
        <v>0</v>
      </c>
      <c r="M203" s="557">
        <f t="shared" si="21"/>
        <v>0</v>
      </c>
      <c r="N203" s="557">
        <f t="shared" si="21"/>
        <v>0</v>
      </c>
      <c r="O203" s="557">
        <f t="shared" si="21"/>
        <v>3250</v>
      </c>
      <c r="P203" s="557">
        <f t="shared" si="21"/>
        <v>0</v>
      </c>
      <c r="Q203" s="557">
        <f t="shared" si="21"/>
        <v>0</v>
      </c>
      <c r="R203" s="557">
        <f t="shared" si="21"/>
        <v>0</v>
      </c>
      <c r="S203" s="557">
        <f t="shared" si="21"/>
        <v>0</v>
      </c>
      <c r="T203" s="557">
        <f t="shared" si="21"/>
        <v>0</v>
      </c>
      <c r="U203" s="557">
        <f t="shared" si="21"/>
        <v>0</v>
      </c>
    </row>
    <row r="204" spans="1:21">
      <c r="A204" s="22" t="s">
        <v>380</v>
      </c>
      <c r="B204" s="556">
        <f t="shared" ref="B204:U204" si="22">B51</f>
        <v>0</v>
      </c>
      <c r="C204" s="556">
        <f t="shared" si="22"/>
        <v>0</v>
      </c>
      <c r="D204" s="556">
        <f t="shared" si="22"/>
        <v>0</v>
      </c>
      <c r="E204" s="556">
        <f t="shared" si="22"/>
        <v>0</v>
      </c>
      <c r="F204" s="552">
        <f t="shared" si="22"/>
        <v>1873</v>
      </c>
      <c r="G204" s="556">
        <f t="shared" si="22"/>
        <v>0</v>
      </c>
      <c r="H204" s="556">
        <f t="shared" si="22"/>
        <v>0</v>
      </c>
      <c r="I204" s="556">
        <f t="shared" si="22"/>
        <v>0</v>
      </c>
      <c r="J204" s="556">
        <f t="shared" si="22"/>
        <v>0</v>
      </c>
      <c r="K204" s="556">
        <f t="shared" si="22"/>
        <v>0</v>
      </c>
      <c r="L204" s="556">
        <f t="shared" si="22"/>
        <v>0</v>
      </c>
      <c r="M204" s="556">
        <f t="shared" si="22"/>
        <v>0</v>
      </c>
      <c r="N204" s="556">
        <f t="shared" si="22"/>
        <v>0</v>
      </c>
      <c r="O204" s="556">
        <f t="shared" si="22"/>
        <v>0</v>
      </c>
      <c r="P204" s="556">
        <f t="shared" si="22"/>
        <v>0</v>
      </c>
      <c r="Q204" s="556">
        <f t="shared" si="22"/>
        <v>0</v>
      </c>
      <c r="R204" s="556">
        <f t="shared" si="22"/>
        <v>0</v>
      </c>
      <c r="S204" s="556">
        <f t="shared" si="22"/>
        <v>0</v>
      </c>
      <c r="T204" s="556">
        <f t="shared" si="22"/>
        <v>0</v>
      </c>
      <c r="U204" s="556">
        <f t="shared" si="22"/>
        <v>0</v>
      </c>
    </row>
    <row r="205" spans="1:21">
      <c r="A205" s="133" t="s">
        <v>381</v>
      </c>
      <c r="B205" s="558">
        <f t="shared" ref="B205:U205" si="23">B52</f>
        <v>0</v>
      </c>
      <c r="C205" s="558">
        <f t="shared" si="23"/>
        <v>0</v>
      </c>
      <c r="D205" s="558">
        <f t="shared" si="23"/>
        <v>0</v>
      </c>
      <c r="E205" s="558">
        <f t="shared" si="23"/>
        <v>0</v>
      </c>
      <c r="F205" s="555">
        <f t="shared" si="23"/>
        <v>1464</v>
      </c>
      <c r="G205" s="558">
        <f t="shared" si="23"/>
        <v>0</v>
      </c>
      <c r="H205" s="558">
        <f t="shared" si="23"/>
        <v>0</v>
      </c>
      <c r="I205" s="558">
        <f t="shared" si="23"/>
        <v>0</v>
      </c>
      <c r="J205" s="558">
        <f t="shared" si="23"/>
        <v>0</v>
      </c>
      <c r="K205" s="558">
        <f t="shared" si="23"/>
        <v>0</v>
      </c>
      <c r="L205" s="558">
        <f t="shared" si="23"/>
        <v>0</v>
      </c>
      <c r="M205" s="558">
        <f t="shared" si="23"/>
        <v>0</v>
      </c>
      <c r="N205" s="558">
        <f t="shared" si="23"/>
        <v>0</v>
      </c>
      <c r="O205" s="558">
        <f t="shared" si="23"/>
        <v>0</v>
      </c>
      <c r="P205" s="558">
        <f t="shared" si="23"/>
        <v>0</v>
      </c>
      <c r="Q205" s="558">
        <f t="shared" si="23"/>
        <v>0</v>
      </c>
      <c r="R205" s="558">
        <f t="shared" si="23"/>
        <v>0</v>
      </c>
      <c r="S205" s="558">
        <f t="shared" si="23"/>
        <v>0</v>
      </c>
      <c r="T205" s="558">
        <f t="shared" si="23"/>
        <v>0</v>
      </c>
      <c r="U205" s="558">
        <f t="shared" si="23"/>
        <v>0</v>
      </c>
    </row>
    <row r="206" spans="1:21">
      <c r="A206" s="116" t="s">
        <v>382</v>
      </c>
      <c r="B206" s="552">
        <f t="shared" ref="B206:U206" si="24">B53</f>
        <v>0</v>
      </c>
      <c r="C206" s="552">
        <f t="shared" si="24"/>
        <v>0</v>
      </c>
      <c r="D206" s="552">
        <f t="shared" si="24"/>
        <v>0</v>
      </c>
      <c r="E206" s="552">
        <f t="shared" si="24"/>
        <v>0</v>
      </c>
      <c r="F206" s="552">
        <f t="shared" si="24"/>
        <v>3213</v>
      </c>
      <c r="G206" s="552">
        <f t="shared" si="24"/>
        <v>0</v>
      </c>
      <c r="H206" s="552">
        <f t="shared" si="24"/>
        <v>0</v>
      </c>
      <c r="I206" s="552">
        <f t="shared" si="24"/>
        <v>0</v>
      </c>
      <c r="J206" s="552">
        <f t="shared" si="24"/>
        <v>0</v>
      </c>
      <c r="K206" s="552">
        <f t="shared" si="24"/>
        <v>0</v>
      </c>
      <c r="L206" s="552">
        <f t="shared" si="24"/>
        <v>0</v>
      </c>
      <c r="M206" s="552">
        <f t="shared" si="24"/>
        <v>0</v>
      </c>
      <c r="N206" s="552">
        <f t="shared" si="24"/>
        <v>0</v>
      </c>
      <c r="O206" s="552">
        <f t="shared" si="24"/>
        <v>0</v>
      </c>
      <c r="P206" s="552">
        <f t="shared" si="24"/>
        <v>0</v>
      </c>
      <c r="Q206" s="552">
        <f t="shared" si="24"/>
        <v>0</v>
      </c>
      <c r="R206" s="552">
        <f t="shared" si="24"/>
        <v>0</v>
      </c>
      <c r="S206" s="552">
        <f t="shared" si="24"/>
        <v>0</v>
      </c>
      <c r="T206" s="552">
        <f t="shared" si="24"/>
        <v>0</v>
      </c>
      <c r="U206" s="552">
        <f t="shared" si="24"/>
        <v>0</v>
      </c>
    </row>
    <row r="207" spans="1:21">
      <c r="A207" s="116" t="s">
        <v>383</v>
      </c>
      <c r="B207" s="552">
        <f t="shared" ref="B207:U207" si="25">B54</f>
        <v>0</v>
      </c>
      <c r="C207" s="552">
        <f t="shared" si="25"/>
        <v>0</v>
      </c>
      <c r="D207" s="552">
        <f t="shared" si="25"/>
        <v>0</v>
      </c>
      <c r="E207" s="552">
        <f t="shared" si="25"/>
        <v>0</v>
      </c>
      <c r="F207" s="552">
        <f t="shared" si="25"/>
        <v>2597</v>
      </c>
      <c r="G207" s="552">
        <f t="shared" si="25"/>
        <v>0</v>
      </c>
      <c r="H207" s="552">
        <f t="shared" si="25"/>
        <v>0</v>
      </c>
      <c r="I207" s="552">
        <f t="shared" si="25"/>
        <v>0</v>
      </c>
      <c r="J207" s="552">
        <f t="shared" si="25"/>
        <v>0</v>
      </c>
      <c r="K207" s="552">
        <f t="shared" si="25"/>
        <v>0</v>
      </c>
      <c r="L207" s="552">
        <f t="shared" si="25"/>
        <v>0</v>
      </c>
      <c r="M207" s="552">
        <f t="shared" si="25"/>
        <v>0</v>
      </c>
      <c r="N207" s="552">
        <f t="shared" si="25"/>
        <v>0</v>
      </c>
      <c r="O207" s="552">
        <f t="shared" si="25"/>
        <v>0</v>
      </c>
      <c r="P207" s="552">
        <f t="shared" si="25"/>
        <v>0</v>
      </c>
      <c r="Q207" s="552">
        <f t="shared" si="25"/>
        <v>0</v>
      </c>
      <c r="R207" s="552">
        <f t="shared" si="25"/>
        <v>0</v>
      </c>
      <c r="S207" s="552">
        <f t="shared" si="25"/>
        <v>0</v>
      </c>
      <c r="T207" s="552">
        <f t="shared" si="25"/>
        <v>0</v>
      </c>
      <c r="U207" s="552">
        <f t="shared" si="25"/>
        <v>0</v>
      </c>
    </row>
    <row r="208" spans="1:21">
      <c r="A208" s="122" t="s">
        <v>384</v>
      </c>
      <c r="B208" s="555">
        <f t="shared" ref="B208:U208" si="26">B55</f>
        <v>0</v>
      </c>
      <c r="C208" s="555">
        <f t="shared" si="26"/>
        <v>0</v>
      </c>
      <c r="D208" s="555">
        <f t="shared" si="26"/>
        <v>0</v>
      </c>
      <c r="E208" s="555">
        <f t="shared" si="26"/>
        <v>0</v>
      </c>
      <c r="F208" s="555">
        <f t="shared" si="26"/>
        <v>1663</v>
      </c>
      <c r="G208" s="555">
        <f t="shared" si="26"/>
        <v>0</v>
      </c>
      <c r="H208" s="555">
        <f t="shared" si="26"/>
        <v>0</v>
      </c>
      <c r="I208" s="555">
        <f t="shared" si="26"/>
        <v>0</v>
      </c>
      <c r="J208" s="555">
        <f t="shared" si="26"/>
        <v>0</v>
      </c>
      <c r="K208" s="555">
        <f t="shared" si="26"/>
        <v>0</v>
      </c>
      <c r="L208" s="555">
        <f t="shared" si="26"/>
        <v>0</v>
      </c>
      <c r="M208" s="555">
        <f t="shared" si="26"/>
        <v>0</v>
      </c>
      <c r="N208" s="555">
        <f t="shared" si="26"/>
        <v>0</v>
      </c>
      <c r="O208" s="555">
        <f t="shared" si="26"/>
        <v>0</v>
      </c>
      <c r="P208" s="555">
        <f t="shared" si="26"/>
        <v>0</v>
      </c>
      <c r="Q208" s="555">
        <f t="shared" si="26"/>
        <v>0</v>
      </c>
      <c r="R208" s="555">
        <f t="shared" si="26"/>
        <v>0</v>
      </c>
      <c r="S208" s="555">
        <f t="shared" si="26"/>
        <v>0</v>
      </c>
      <c r="T208" s="555">
        <f t="shared" si="26"/>
        <v>0</v>
      </c>
      <c r="U208" s="555">
        <f t="shared" si="26"/>
        <v>0</v>
      </c>
    </row>
    <row r="209" spans="1:21">
      <c r="A209" s="116" t="s">
        <v>248</v>
      </c>
      <c r="B209" s="552">
        <f t="shared" ref="B209:U209" si="27">B56</f>
        <v>745</v>
      </c>
      <c r="C209" s="552">
        <f t="shared" si="27"/>
        <v>0</v>
      </c>
      <c r="D209" s="552">
        <f t="shared" si="27"/>
        <v>389</v>
      </c>
      <c r="E209" s="552">
        <f t="shared" si="27"/>
        <v>0</v>
      </c>
      <c r="F209" s="552">
        <f t="shared" si="27"/>
        <v>0</v>
      </c>
      <c r="G209" s="552">
        <f t="shared" si="27"/>
        <v>0</v>
      </c>
      <c r="H209" s="552">
        <f t="shared" si="27"/>
        <v>0</v>
      </c>
      <c r="I209" s="552">
        <f t="shared" si="27"/>
        <v>0</v>
      </c>
      <c r="J209" s="552">
        <f t="shared" si="27"/>
        <v>0</v>
      </c>
      <c r="K209" s="552">
        <f t="shared" si="27"/>
        <v>0</v>
      </c>
      <c r="L209" s="552">
        <f t="shared" si="27"/>
        <v>0</v>
      </c>
      <c r="M209" s="552">
        <f t="shared" si="27"/>
        <v>531</v>
      </c>
      <c r="N209" s="552">
        <f t="shared" si="27"/>
        <v>152</v>
      </c>
      <c r="O209" s="552">
        <f t="shared" si="27"/>
        <v>0</v>
      </c>
      <c r="P209" s="552">
        <f t="shared" si="27"/>
        <v>0</v>
      </c>
      <c r="Q209" s="552">
        <f t="shared" si="27"/>
        <v>0</v>
      </c>
      <c r="R209" s="552">
        <f t="shared" si="27"/>
        <v>0</v>
      </c>
      <c r="S209" s="552">
        <f t="shared" si="27"/>
        <v>0</v>
      </c>
      <c r="T209" s="552">
        <f t="shared" si="27"/>
        <v>0</v>
      </c>
      <c r="U209" s="552">
        <f t="shared" si="27"/>
        <v>0</v>
      </c>
    </row>
    <row r="210" spans="1:21">
      <c r="A210" s="122" t="s">
        <v>385</v>
      </c>
      <c r="B210" s="555">
        <f t="shared" ref="B210:U210" si="28">B57</f>
        <v>0</v>
      </c>
      <c r="C210" s="555">
        <f t="shared" si="28"/>
        <v>0</v>
      </c>
      <c r="D210" s="555">
        <f t="shared" si="28"/>
        <v>0</v>
      </c>
      <c r="E210" s="555">
        <f t="shared" si="28"/>
        <v>0</v>
      </c>
      <c r="F210" s="555">
        <f t="shared" si="28"/>
        <v>0</v>
      </c>
      <c r="G210" s="555">
        <f t="shared" si="28"/>
        <v>0</v>
      </c>
      <c r="H210" s="555">
        <f t="shared" si="28"/>
        <v>140</v>
      </c>
      <c r="I210" s="555">
        <f t="shared" si="28"/>
        <v>0</v>
      </c>
      <c r="J210" s="555">
        <f t="shared" si="28"/>
        <v>0</v>
      </c>
      <c r="K210" s="555">
        <f t="shared" si="28"/>
        <v>0</v>
      </c>
      <c r="L210" s="555">
        <f t="shared" si="28"/>
        <v>0</v>
      </c>
      <c r="M210" s="555">
        <f t="shared" si="28"/>
        <v>65</v>
      </c>
      <c r="N210" s="555">
        <f t="shared" si="28"/>
        <v>0</v>
      </c>
      <c r="O210" s="555">
        <f t="shared" si="28"/>
        <v>0</v>
      </c>
      <c r="P210" s="555">
        <f t="shared" si="28"/>
        <v>0</v>
      </c>
      <c r="Q210" s="555">
        <f t="shared" si="28"/>
        <v>0</v>
      </c>
      <c r="R210" s="555">
        <f t="shared" si="28"/>
        <v>0</v>
      </c>
      <c r="S210" s="555">
        <f t="shared" si="28"/>
        <v>0</v>
      </c>
      <c r="T210" s="555">
        <f t="shared" si="28"/>
        <v>0</v>
      </c>
      <c r="U210" s="555">
        <f t="shared" si="28"/>
        <v>0</v>
      </c>
    </row>
    <row r="211" spans="1:21">
      <c r="A211" s="22" t="s">
        <v>386</v>
      </c>
      <c r="B211" s="552">
        <f t="shared" ref="B211:U211" si="29">B58</f>
        <v>0</v>
      </c>
      <c r="C211" s="552">
        <f t="shared" si="29"/>
        <v>0</v>
      </c>
      <c r="D211" s="552">
        <f t="shared" si="29"/>
        <v>1234</v>
      </c>
      <c r="E211" s="552">
        <f t="shared" si="29"/>
        <v>0</v>
      </c>
      <c r="F211" s="552">
        <f t="shared" si="29"/>
        <v>0</v>
      </c>
      <c r="G211" s="552">
        <f t="shared" si="29"/>
        <v>0</v>
      </c>
      <c r="H211" s="552">
        <f t="shared" si="29"/>
        <v>0</v>
      </c>
      <c r="I211" s="552">
        <f t="shared" si="29"/>
        <v>0</v>
      </c>
      <c r="J211" s="552">
        <f t="shared" si="29"/>
        <v>0</v>
      </c>
      <c r="K211" s="552">
        <f t="shared" si="29"/>
        <v>0</v>
      </c>
      <c r="L211" s="552">
        <f t="shared" si="29"/>
        <v>0</v>
      </c>
      <c r="M211" s="552">
        <f t="shared" si="29"/>
        <v>0</v>
      </c>
      <c r="N211" s="552">
        <f t="shared" si="29"/>
        <v>0</v>
      </c>
      <c r="O211" s="552">
        <f t="shared" si="29"/>
        <v>0</v>
      </c>
      <c r="P211" s="552">
        <f t="shared" si="29"/>
        <v>0</v>
      </c>
      <c r="Q211" s="552">
        <f t="shared" si="29"/>
        <v>0</v>
      </c>
      <c r="R211" s="552">
        <f t="shared" si="29"/>
        <v>0</v>
      </c>
      <c r="S211" s="552">
        <f t="shared" si="29"/>
        <v>0</v>
      </c>
      <c r="T211" s="552">
        <f t="shared" si="29"/>
        <v>0</v>
      </c>
      <c r="U211" s="552">
        <f t="shared" si="29"/>
        <v>0</v>
      </c>
    </row>
    <row r="212" spans="1:21">
      <c r="A212" s="22" t="s">
        <v>387</v>
      </c>
      <c r="B212" s="552">
        <f t="shared" ref="B212:U212" si="30">B59</f>
        <v>149</v>
      </c>
      <c r="C212" s="552">
        <f t="shared" si="30"/>
        <v>0</v>
      </c>
      <c r="D212" s="552">
        <f t="shared" si="30"/>
        <v>2458</v>
      </c>
      <c r="E212" s="552">
        <f t="shared" si="30"/>
        <v>0</v>
      </c>
      <c r="F212" s="552">
        <f t="shared" si="30"/>
        <v>0</v>
      </c>
      <c r="G212" s="552">
        <f t="shared" si="30"/>
        <v>0</v>
      </c>
      <c r="H212" s="552">
        <f t="shared" si="30"/>
        <v>828</v>
      </c>
      <c r="I212" s="552">
        <f t="shared" si="30"/>
        <v>0</v>
      </c>
      <c r="J212" s="552">
        <f t="shared" si="30"/>
        <v>0</v>
      </c>
      <c r="K212" s="552">
        <f t="shared" si="30"/>
        <v>0</v>
      </c>
      <c r="L212" s="552">
        <f t="shared" si="30"/>
        <v>0</v>
      </c>
      <c r="M212" s="552">
        <f t="shared" si="30"/>
        <v>0</v>
      </c>
      <c r="N212" s="552">
        <f t="shared" si="30"/>
        <v>0</v>
      </c>
      <c r="O212" s="552">
        <f t="shared" si="30"/>
        <v>0</v>
      </c>
      <c r="P212" s="552">
        <f t="shared" si="30"/>
        <v>0</v>
      </c>
      <c r="Q212" s="552">
        <f t="shared" si="30"/>
        <v>0</v>
      </c>
      <c r="R212" s="552">
        <f t="shared" si="30"/>
        <v>0</v>
      </c>
      <c r="S212" s="552">
        <f t="shared" si="30"/>
        <v>110</v>
      </c>
      <c r="T212" s="552">
        <f t="shared" si="30"/>
        <v>0</v>
      </c>
      <c r="U212" s="552">
        <f t="shared" si="30"/>
        <v>0</v>
      </c>
    </row>
    <row r="213" spans="1:21">
      <c r="A213" s="22" t="s">
        <v>391</v>
      </c>
      <c r="B213" s="552">
        <f t="shared" ref="B213:U213" si="31">B60</f>
        <v>23</v>
      </c>
      <c r="C213" s="552">
        <f t="shared" si="31"/>
        <v>0</v>
      </c>
      <c r="D213" s="552">
        <f t="shared" si="31"/>
        <v>1209</v>
      </c>
      <c r="E213" s="552">
        <f t="shared" si="31"/>
        <v>0</v>
      </c>
      <c r="F213" s="552">
        <f t="shared" si="31"/>
        <v>0</v>
      </c>
      <c r="G213" s="552">
        <f t="shared" si="31"/>
        <v>165</v>
      </c>
      <c r="H213" s="552">
        <f t="shared" si="31"/>
        <v>0</v>
      </c>
      <c r="I213" s="552">
        <f t="shared" si="31"/>
        <v>97</v>
      </c>
      <c r="J213" s="552">
        <f t="shared" si="31"/>
        <v>0</v>
      </c>
      <c r="K213" s="552">
        <f t="shared" si="31"/>
        <v>0</v>
      </c>
      <c r="L213" s="552">
        <f t="shared" si="31"/>
        <v>0</v>
      </c>
      <c r="M213" s="552">
        <f t="shared" si="31"/>
        <v>128</v>
      </c>
      <c r="N213" s="552">
        <f t="shared" si="31"/>
        <v>420</v>
      </c>
      <c r="O213" s="552">
        <f t="shared" si="31"/>
        <v>38</v>
      </c>
      <c r="P213" s="552">
        <f t="shared" si="31"/>
        <v>0</v>
      </c>
      <c r="Q213" s="552">
        <f t="shared" si="31"/>
        <v>0</v>
      </c>
      <c r="R213" s="552">
        <f t="shared" si="31"/>
        <v>0</v>
      </c>
      <c r="S213" s="552">
        <f t="shared" si="31"/>
        <v>0</v>
      </c>
      <c r="T213" s="552">
        <f t="shared" si="31"/>
        <v>0</v>
      </c>
      <c r="U213" s="552">
        <f t="shared" si="31"/>
        <v>0</v>
      </c>
    </row>
    <row r="214" spans="1:21">
      <c r="A214" s="22" t="s">
        <v>388</v>
      </c>
      <c r="B214" s="552">
        <f t="shared" ref="B214:U214" si="32">B61</f>
        <v>54</v>
      </c>
      <c r="C214" s="552">
        <f t="shared" si="32"/>
        <v>0</v>
      </c>
      <c r="D214" s="552">
        <f t="shared" si="32"/>
        <v>0</v>
      </c>
      <c r="E214" s="552">
        <f t="shared" si="32"/>
        <v>0</v>
      </c>
      <c r="F214" s="552">
        <f t="shared" si="32"/>
        <v>0</v>
      </c>
      <c r="G214" s="552">
        <f t="shared" si="32"/>
        <v>0</v>
      </c>
      <c r="H214" s="552">
        <f t="shared" si="32"/>
        <v>0</v>
      </c>
      <c r="I214" s="552">
        <f t="shared" si="32"/>
        <v>0</v>
      </c>
      <c r="J214" s="552">
        <f t="shared" si="32"/>
        <v>0</v>
      </c>
      <c r="K214" s="552">
        <f t="shared" si="32"/>
        <v>0</v>
      </c>
      <c r="L214" s="552">
        <f t="shared" si="32"/>
        <v>0</v>
      </c>
      <c r="M214" s="552">
        <f t="shared" si="32"/>
        <v>38</v>
      </c>
      <c r="N214" s="552">
        <f t="shared" si="32"/>
        <v>47</v>
      </c>
      <c r="O214" s="552">
        <f t="shared" si="32"/>
        <v>0</v>
      </c>
      <c r="P214" s="552">
        <f t="shared" si="32"/>
        <v>0</v>
      </c>
      <c r="Q214" s="552">
        <f t="shared" si="32"/>
        <v>0</v>
      </c>
      <c r="R214" s="552">
        <f t="shared" si="32"/>
        <v>0</v>
      </c>
      <c r="S214" s="552">
        <f t="shared" si="32"/>
        <v>0</v>
      </c>
      <c r="T214" s="552">
        <f t="shared" si="32"/>
        <v>0</v>
      </c>
      <c r="U214" s="552">
        <f t="shared" si="32"/>
        <v>0</v>
      </c>
    </row>
    <row r="215" spans="1:21">
      <c r="A215" s="22" t="s">
        <v>389</v>
      </c>
      <c r="B215" s="552">
        <f t="shared" ref="B215:U215" si="33">B62</f>
        <v>274</v>
      </c>
      <c r="C215" s="552">
        <f t="shared" si="33"/>
        <v>0</v>
      </c>
      <c r="D215" s="552">
        <f t="shared" si="33"/>
        <v>539</v>
      </c>
      <c r="E215" s="552">
        <f t="shared" si="33"/>
        <v>0</v>
      </c>
      <c r="F215" s="552">
        <f t="shared" si="33"/>
        <v>0</v>
      </c>
      <c r="G215" s="552">
        <f t="shared" si="33"/>
        <v>2073</v>
      </c>
      <c r="H215" s="552">
        <f t="shared" si="33"/>
        <v>0</v>
      </c>
      <c r="I215" s="552">
        <f t="shared" si="33"/>
        <v>0</v>
      </c>
      <c r="J215" s="552">
        <f t="shared" si="33"/>
        <v>0</v>
      </c>
      <c r="K215" s="552">
        <f t="shared" si="33"/>
        <v>0</v>
      </c>
      <c r="L215" s="552">
        <f t="shared" si="33"/>
        <v>0</v>
      </c>
      <c r="M215" s="552">
        <f t="shared" si="33"/>
        <v>0</v>
      </c>
      <c r="N215" s="552">
        <f t="shared" si="33"/>
        <v>54</v>
      </c>
      <c r="O215" s="552">
        <f t="shared" si="33"/>
        <v>640</v>
      </c>
      <c r="P215" s="552">
        <f t="shared" si="33"/>
        <v>0</v>
      </c>
      <c r="Q215" s="552">
        <f t="shared" si="33"/>
        <v>0</v>
      </c>
      <c r="R215" s="552">
        <f t="shared" si="33"/>
        <v>0</v>
      </c>
      <c r="S215" s="552">
        <f t="shared" si="33"/>
        <v>0</v>
      </c>
      <c r="T215" s="552">
        <f t="shared" si="33"/>
        <v>0</v>
      </c>
      <c r="U215" s="552">
        <f t="shared" si="33"/>
        <v>0</v>
      </c>
    </row>
    <row r="216" spans="1:21">
      <c r="A216" s="22" t="s">
        <v>393</v>
      </c>
      <c r="B216" s="552">
        <f t="shared" ref="B216:U216" si="34">B63</f>
        <v>869</v>
      </c>
      <c r="C216" s="552">
        <f t="shared" si="34"/>
        <v>792</v>
      </c>
      <c r="D216" s="552">
        <f t="shared" si="34"/>
        <v>13117</v>
      </c>
      <c r="E216" s="552">
        <f t="shared" si="34"/>
        <v>20518</v>
      </c>
      <c r="F216" s="552">
        <f t="shared" si="34"/>
        <v>0</v>
      </c>
      <c r="G216" s="552">
        <f t="shared" si="34"/>
        <v>0</v>
      </c>
      <c r="H216" s="552">
        <f t="shared" si="34"/>
        <v>0</v>
      </c>
      <c r="I216" s="552">
        <f t="shared" si="34"/>
        <v>0</v>
      </c>
      <c r="J216" s="552">
        <f t="shared" si="34"/>
        <v>0</v>
      </c>
      <c r="K216" s="552">
        <f t="shared" si="34"/>
        <v>0</v>
      </c>
      <c r="L216" s="552">
        <f t="shared" si="34"/>
        <v>0</v>
      </c>
      <c r="M216" s="552">
        <f t="shared" si="34"/>
        <v>0</v>
      </c>
      <c r="N216" s="552">
        <f t="shared" si="34"/>
        <v>0</v>
      </c>
      <c r="O216" s="552">
        <f t="shared" si="34"/>
        <v>234</v>
      </c>
      <c r="P216" s="552">
        <f t="shared" si="34"/>
        <v>0</v>
      </c>
      <c r="Q216" s="552">
        <f t="shared" si="34"/>
        <v>0</v>
      </c>
      <c r="R216" s="552">
        <f t="shared" si="34"/>
        <v>0</v>
      </c>
      <c r="S216" s="552">
        <f t="shared" si="34"/>
        <v>0</v>
      </c>
      <c r="T216" s="552">
        <f t="shared" si="34"/>
        <v>73</v>
      </c>
      <c r="U216" s="552">
        <f t="shared" si="34"/>
        <v>0</v>
      </c>
    </row>
    <row r="217" spans="1:21">
      <c r="A217" s="22" t="s">
        <v>394</v>
      </c>
      <c r="B217" s="552">
        <f t="shared" ref="B217:U217" si="35">B64</f>
        <v>12072</v>
      </c>
      <c r="C217" s="552">
        <f t="shared" si="35"/>
        <v>5347</v>
      </c>
      <c r="D217" s="552">
        <f t="shared" si="35"/>
        <v>408</v>
      </c>
      <c r="E217" s="552">
        <f t="shared" si="35"/>
        <v>0</v>
      </c>
      <c r="F217" s="552">
        <f t="shared" si="35"/>
        <v>0</v>
      </c>
      <c r="G217" s="552">
        <f t="shared" si="35"/>
        <v>3924</v>
      </c>
      <c r="H217" s="552">
        <f t="shared" si="35"/>
        <v>1732</v>
      </c>
      <c r="I217" s="552">
        <f t="shared" si="35"/>
        <v>0</v>
      </c>
      <c r="J217" s="552">
        <f t="shared" si="35"/>
        <v>0</v>
      </c>
      <c r="K217" s="552">
        <f t="shared" si="35"/>
        <v>0</v>
      </c>
      <c r="L217" s="552">
        <f t="shared" si="35"/>
        <v>0</v>
      </c>
      <c r="M217" s="552">
        <f t="shared" si="35"/>
        <v>0</v>
      </c>
      <c r="N217" s="552">
        <f t="shared" si="35"/>
        <v>0</v>
      </c>
      <c r="O217" s="552">
        <f t="shared" si="35"/>
        <v>0</v>
      </c>
      <c r="P217" s="552">
        <f t="shared" si="35"/>
        <v>0</v>
      </c>
      <c r="Q217" s="552">
        <f t="shared" si="35"/>
        <v>0</v>
      </c>
      <c r="R217" s="552">
        <f t="shared" si="35"/>
        <v>0</v>
      </c>
      <c r="S217" s="552">
        <f t="shared" si="35"/>
        <v>403</v>
      </c>
      <c r="T217" s="552">
        <f t="shared" si="35"/>
        <v>0</v>
      </c>
      <c r="U217" s="552">
        <f t="shared" si="35"/>
        <v>0</v>
      </c>
    </row>
    <row r="218" spans="1:21">
      <c r="A218" s="22" t="s">
        <v>392</v>
      </c>
      <c r="B218" s="552">
        <f t="shared" ref="B218:U218" si="36">B65</f>
        <v>1467</v>
      </c>
      <c r="C218" s="552">
        <f t="shared" si="36"/>
        <v>368</v>
      </c>
      <c r="D218" s="552">
        <f t="shared" si="36"/>
        <v>0</v>
      </c>
      <c r="E218" s="552">
        <f t="shared" si="36"/>
        <v>0</v>
      </c>
      <c r="F218" s="552">
        <f t="shared" si="36"/>
        <v>0</v>
      </c>
      <c r="G218" s="552">
        <f t="shared" si="36"/>
        <v>232</v>
      </c>
      <c r="H218" s="552">
        <f t="shared" si="36"/>
        <v>244</v>
      </c>
      <c r="I218" s="552">
        <f t="shared" si="36"/>
        <v>0</v>
      </c>
      <c r="J218" s="552">
        <f t="shared" si="36"/>
        <v>0</v>
      </c>
      <c r="K218" s="552">
        <f t="shared" si="36"/>
        <v>0</v>
      </c>
      <c r="L218" s="552">
        <f t="shared" si="36"/>
        <v>0</v>
      </c>
      <c r="M218" s="552">
        <f t="shared" si="36"/>
        <v>90</v>
      </c>
      <c r="N218" s="552">
        <f t="shared" si="36"/>
        <v>54</v>
      </c>
      <c r="O218" s="552">
        <f t="shared" si="36"/>
        <v>87</v>
      </c>
      <c r="P218" s="552">
        <f t="shared" si="36"/>
        <v>0</v>
      </c>
      <c r="Q218" s="552">
        <f t="shared" si="36"/>
        <v>0</v>
      </c>
      <c r="R218" s="552">
        <f t="shared" si="36"/>
        <v>0</v>
      </c>
      <c r="S218" s="552">
        <f t="shared" si="36"/>
        <v>0</v>
      </c>
      <c r="T218" s="552">
        <f t="shared" si="36"/>
        <v>0</v>
      </c>
      <c r="U218" s="552">
        <f t="shared" si="36"/>
        <v>0</v>
      </c>
    </row>
    <row r="219" spans="1:21">
      <c r="A219" s="22" t="s">
        <v>390</v>
      </c>
      <c r="B219" s="552">
        <f t="shared" ref="B219:U219" si="37">B66</f>
        <v>1507</v>
      </c>
      <c r="C219" s="552">
        <f t="shared" si="37"/>
        <v>0</v>
      </c>
      <c r="D219" s="552">
        <f t="shared" si="37"/>
        <v>1030</v>
      </c>
      <c r="E219" s="552">
        <f t="shared" si="37"/>
        <v>0</v>
      </c>
      <c r="F219" s="552">
        <f t="shared" si="37"/>
        <v>9642</v>
      </c>
      <c r="G219" s="552">
        <f t="shared" si="37"/>
        <v>0</v>
      </c>
      <c r="H219" s="552">
        <f t="shared" si="37"/>
        <v>2368</v>
      </c>
      <c r="I219" s="552">
        <f t="shared" si="37"/>
        <v>0</v>
      </c>
      <c r="J219" s="552">
        <f t="shared" si="37"/>
        <v>0</v>
      </c>
      <c r="K219" s="552">
        <f t="shared" si="37"/>
        <v>0</v>
      </c>
      <c r="L219" s="552">
        <f t="shared" si="37"/>
        <v>0</v>
      </c>
      <c r="M219" s="552">
        <f t="shared" si="37"/>
        <v>0</v>
      </c>
      <c r="N219" s="552">
        <f t="shared" si="37"/>
        <v>0</v>
      </c>
      <c r="O219" s="552">
        <f t="shared" si="37"/>
        <v>0</v>
      </c>
      <c r="P219" s="552">
        <f t="shared" si="37"/>
        <v>0</v>
      </c>
      <c r="Q219" s="552">
        <f t="shared" si="37"/>
        <v>0</v>
      </c>
      <c r="R219" s="552">
        <f t="shared" si="37"/>
        <v>0</v>
      </c>
      <c r="S219" s="552">
        <f t="shared" si="37"/>
        <v>0</v>
      </c>
      <c r="T219" s="552">
        <f t="shared" si="37"/>
        <v>1004</v>
      </c>
      <c r="U219" s="552">
        <f t="shared" si="37"/>
        <v>0</v>
      </c>
    </row>
    <row r="220" spans="1:21">
      <c r="A220" s="22" t="s">
        <v>240</v>
      </c>
      <c r="B220" s="552">
        <f t="shared" ref="B220:U220" si="38">B67</f>
        <v>0</v>
      </c>
      <c r="C220" s="552">
        <f t="shared" si="38"/>
        <v>0</v>
      </c>
      <c r="D220" s="552">
        <f t="shared" si="38"/>
        <v>3270</v>
      </c>
      <c r="E220" s="552">
        <f t="shared" si="38"/>
        <v>0</v>
      </c>
      <c r="F220" s="552">
        <f t="shared" si="38"/>
        <v>0</v>
      </c>
      <c r="G220" s="552">
        <f t="shared" si="38"/>
        <v>0</v>
      </c>
      <c r="H220" s="552">
        <f t="shared" si="38"/>
        <v>0</v>
      </c>
      <c r="I220" s="552">
        <f t="shared" si="38"/>
        <v>0</v>
      </c>
      <c r="J220" s="552">
        <f t="shared" si="38"/>
        <v>0</v>
      </c>
      <c r="K220" s="552">
        <f t="shared" si="38"/>
        <v>0</v>
      </c>
      <c r="L220" s="552">
        <f t="shared" si="38"/>
        <v>0</v>
      </c>
      <c r="M220" s="552">
        <f t="shared" si="38"/>
        <v>0</v>
      </c>
      <c r="N220" s="552">
        <f t="shared" si="38"/>
        <v>0</v>
      </c>
      <c r="O220" s="552">
        <f t="shared" si="38"/>
        <v>0</v>
      </c>
      <c r="P220" s="552">
        <f t="shared" si="38"/>
        <v>0</v>
      </c>
      <c r="Q220" s="552">
        <f t="shared" si="38"/>
        <v>0</v>
      </c>
      <c r="R220" s="552">
        <f t="shared" si="38"/>
        <v>0</v>
      </c>
      <c r="S220" s="552">
        <f t="shared" si="38"/>
        <v>0</v>
      </c>
      <c r="T220" s="552">
        <f t="shared" si="38"/>
        <v>0</v>
      </c>
      <c r="U220" s="552">
        <f t="shared" si="38"/>
        <v>0</v>
      </c>
    </row>
    <row r="221" spans="1:21">
      <c r="A221" s="147" t="s">
        <v>453</v>
      </c>
      <c r="B221" s="337">
        <f t="shared" ref="B221:U221" si="39">B68</f>
        <v>4825</v>
      </c>
      <c r="C221" s="337">
        <f t="shared" si="39"/>
        <v>2600</v>
      </c>
      <c r="D221" s="337">
        <f t="shared" si="39"/>
        <v>17361</v>
      </c>
      <c r="E221" s="337">
        <f t="shared" si="39"/>
        <v>3980</v>
      </c>
      <c r="F221" s="337">
        <f t="shared" si="39"/>
        <v>4678</v>
      </c>
      <c r="G221" s="337">
        <f t="shared" si="39"/>
        <v>3664</v>
      </c>
      <c r="H221" s="337">
        <f t="shared" si="39"/>
        <v>1594</v>
      </c>
      <c r="I221" s="337">
        <f t="shared" si="39"/>
        <v>0</v>
      </c>
      <c r="J221" s="337">
        <f t="shared" si="39"/>
        <v>0</v>
      </c>
      <c r="K221" s="337">
        <f t="shared" si="39"/>
        <v>0</v>
      </c>
      <c r="L221" s="337">
        <f t="shared" si="39"/>
        <v>0</v>
      </c>
      <c r="M221" s="337">
        <f t="shared" si="39"/>
        <v>0</v>
      </c>
      <c r="N221" s="337">
        <f t="shared" si="39"/>
        <v>0</v>
      </c>
      <c r="O221" s="337">
        <f t="shared" si="39"/>
        <v>133</v>
      </c>
      <c r="P221" s="337">
        <f t="shared" si="39"/>
        <v>20</v>
      </c>
      <c r="Q221" s="337">
        <f t="shared" si="39"/>
        <v>195</v>
      </c>
      <c r="R221" s="337">
        <f t="shared" si="39"/>
        <v>50</v>
      </c>
      <c r="S221" s="337">
        <f t="shared" si="39"/>
        <v>107</v>
      </c>
      <c r="T221" s="337">
        <f t="shared" si="39"/>
        <v>0</v>
      </c>
      <c r="U221" s="337">
        <f t="shared" si="39"/>
        <v>135</v>
      </c>
    </row>
  </sheetData>
  <mergeCells count="6">
    <mergeCell ref="B139:D139"/>
    <mergeCell ref="H139:J139"/>
    <mergeCell ref="E139:G139"/>
    <mergeCell ref="R139:T139"/>
    <mergeCell ref="L139:N139"/>
    <mergeCell ref="O139:Q139"/>
  </mergeCells>
  <phoneticPr fontId="20" type="noConversion"/>
  <conditionalFormatting sqref="B6:O15 B16:K16 M16:O16 B17:L17 N17:O17 B18:O29 C162:N162 P162 T164">
    <cfRule type="cellIs" dxfId="20" priority="8" operator="lessThan">
      <formula>1</formula>
    </cfRule>
  </conditionalFormatting>
  <hyperlinks>
    <hyperlink ref="B185" r:id="rId1" display="https://www.mdpi.com/1996-1073/13/18/4918" xr:uid="{0EE7F459-0076-466A-A53E-443A9D2F3CD3}"/>
  </hyperlinks>
  <pageMargins left="0.7" right="0.7" top="0.75" bottom="0.75" header="0.3" footer="0.3"/>
  <pageSetup paperSize="9" orientation="portrait" verticalDpi="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F4E32-729D-46AE-BEA2-526AC8CEB551}">
  <sheetPr>
    <tabColor theme="9" tint="0.59999389629810485"/>
  </sheetPr>
  <dimension ref="A1:BE125"/>
  <sheetViews>
    <sheetView showZeros="0" zoomScaleNormal="100" workbookViewId="0">
      <selection activeCell="V92" sqref="V92"/>
    </sheetView>
  </sheetViews>
  <sheetFormatPr defaultColWidth="9.140625" defaultRowHeight="15"/>
  <cols>
    <col min="1" max="6" width="7.140625" style="39" customWidth="1"/>
    <col min="7" max="7" width="7.28515625" style="39" customWidth="1"/>
    <col min="8" max="11" width="7.140625" style="39" customWidth="1"/>
    <col min="12" max="14" width="8" style="39" customWidth="1"/>
    <col min="15" max="56" width="7.140625" style="39" customWidth="1"/>
    <col min="57" max="16384" width="9.140625" style="39"/>
  </cols>
  <sheetData>
    <row r="1" spans="1:57">
      <c r="A1" s="41" t="s">
        <v>601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5"/>
      <c r="AJ1" s="75"/>
      <c r="AK1" s="75"/>
      <c r="AL1" s="75"/>
      <c r="AM1" s="75"/>
      <c r="AN1" s="75"/>
      <c r="AO1" s="75"/>
      <c r="AP1" s="75"/>
      <c r="AQ1" s="75"/>
      <c r="AR1" s="75"/>
      <c r="AS1" s="75"/>
      <c r="AT1" s="75"/>
      <c r="AU1" s="75"/>
      <c r="AV1" s="75"/>
      <c r="AW1" s="75"/>
      <c r="AX1" s="75"/>
      <c r="AY1" s="75"/>
      <c r="AZ1" s="75"/>
      <c r="BA1" s="75"/>
      <c r="BB1" s="75"/>
      <c r="BC1" s="75"/>
      <c r="BD1" s="75"/>
    </row>
    <row r="2" spans="1:57">
      <c r="A2" s="42"/>
      <c r="B2" s="596" t="s">
        <v>143</v>
      </c>
      <c r="C2" s="596"/>
      <c r="D2" s="596"/>
      <c r="E2" s="596"/>
      <c r="F2" s="596"/>
      <c r="G2" s="596"/>
      <c r="H2" s="596"/>
      <c r="I2" s="596"/>
      <c r="J2" s="596"/>
      <c r="K2" s="23"/>
      <c r="L2" s="78"/>
      <c r="M2" s="596" t="s">
        <v>144</v>
      </c>
      <c r="N2" s="596"/>
      <c r="O2" s="596"/>
      <c r="P2" s="596"/>
      <c r="Q2" s="596"/>
      <c r="R2" s="596"/>
      <c r="S2" s="596"/>
      <c r="T2" s="596"/>
      <c r="U2" s="596"/>
      <c r="V2" s="596"/>
      <c r="W2" s="596"/>
      <c r="X2" s="596"/>
      <c r="Y2" s="596"/>
      <c r="Z2" s="596"/>
      <c r="AA2" s="596"/>
      <c r="AB2" s="596"/>
      <c r="AC2" s="596"/>
      <c r="AD2" s="596"/>
      <c r="AE2" s="596"/>
      <c r="AF2" s="596"/>
      <c r="AG2" s="596"/>
      <c r="AH2" s="78"/>
      <c r="AI2" s="596" t="s">
        <v>145</v>
      </c>
      <c r="AJ2" s="596"/>
      <c r="AK2" s="596"/>
      <c r="AL2" s="596"/>
      <c r="AM2" s="596"/>
      <c r="AN2" s="596"/>
      <c r="AO2" s="596"/>
      <c r="AP2" s="596"/>
      <c r="AQ2" s="596"/>
      <c r="AR2" s="596"/>
      <c r="AS2" s="596"/>
      <c r="AT2" s="596"/>
      <c r="AU2" s="78"/>
      <c r="AV2" s="596" t="s">
        <v>146</v>
      </c>
      <c r="AW2" s="596"/>
      <c r="AX2" s="596"/>
      <c r="AY2" s="596"/>
      <c r="AZ2" s="596"/>
      <c r="BA2" s="596"/>
      <c r="BB2" s="596"/>
      <c r="BC2" s="596"/>
      <c r="BD2" s="596"/>
      <c r="BE2" s="81"/>
    </row>
    <row r="3" spans="1:57">
      <c r="A3" s="42"/>
      <c r="B3" s="596" t="s">
        <v>147</v>
      </c>
      <c r="C3" s="596"/>
      <c r="D3" s="596"/>
      <c r="E3" s="596" t="s">
        <v>148</v>
      </c>
      <c r="F3" s="596"/>
      <c r="G3" s="596"/>
      <c r="H3" s="596" t="s">
        <v>35</v>
      </c>
      <c r="I3" s="596"/>
      <c r="J3" s="596"/>
      <c r="K3" s="23"/>
      <c r="L3" s="78"/>
      <c r="M3" s="596" t="s">
        <v>149</v>
      </c>
      <c r="N3" s="596"/>
      <c r="O3" s="596"/>
      <c r="P3" s="596" t="s">
        <v>150</v>
      </c>
      <c r="Q3" s="596"/>
      <c r="R3" s="596"/>
      <c r="S3" s="596" t="s">
        <v>151</v>
      </c>
      <c r="T3" s="596"/>
      <c r="U3" s="596"/>
      <c r="V3" s="596" t="s">
        <v>152</v>
      </c>
      <c r="W3" s="596"/>
      <c r="X3" s="596"/>
      <c r="Y3" s="596" t="s">
        <v>153</v>
      </c>
      <c r="Z3" s="596"/>
      <c r="AA3" s="596"/>
      <c r="AB3" s="596" t="s">
        <v>154</v>
      </c>
      <c r="AC3" s="596"/>
      <c r="AD3" s="596"/>
      <c r="AE3" s="596" t="s">
        <v>35</v>
      </c>
      <c r="AF3" s="596"/>
      <c r="AG3" s="596"/>
      <c r="AH3" s="78"/>
      <c r="AI3" s="596" t="s">
        <v>155</v>
      </c>
      <c r="AJ3" s="596"/>
      <c r="AK3" s="596"/>
      <c r="AL3" s="596" t="s">
        <v>156</v>
      </c>
      <c r="AM3" s="596"/>
      <c r="AN3" s="596"/>
      <c r="AO3" s="596" t="s">
        <v>157</v>
      </c>
      <c r="AP3" s="596"/>
      <c r="AQ3" s="596"/>
      <c r="AR3" s="596" t="s">
        <v>35</v>
      </c>
      <c r="AS3" s="596"/>
      <c r="AT3" s="596"/>
      <c r="AU3" s="78"/>
      <c r="AV3" s="596" t="s">
        <v>158</v>
      </c>
      <c r="AW3" s="596"/>
      <c r="AX3" s="596"/>
      <c r="AY3" s="596" t="s">
        <v>159</v>
      </c>
      <c r="AZ3" s="596"/>
      <c r="BA3" s="596"/>
      <c r="BB3" s="596" t="s">
        <v>35</v>
      </c>
      <c r="BC3" s="596"/>
      <c r="BD3" s="596"/>
      <c r="BE3" s="81"/>
    </row>
    <row r="4" spans="1:57">
      <c r="A4" s="3"/>
      <c r="B4" s="3">
        <v>2030</v>
      </c>
      <c r="C4" s="3">
        <v>2040</v>
      </c>
      <c r="D4" s="3">
        <v>2050</v>
      </c>
      <c r="E4" s="3">
        <v>2030</v>
      </c>
      <c r="F4" s="3">
        <v>2040</v>
      </c>
      <c r="G4" s="3">
        <v>2050</v>
      </c>
      <c r="H4" s="3">
        <v>2030</v>
      </c>
      <c r="I4" s="3">
        <v>2040</v>
      </c>
      <c r="J4" s="3">
        <v>2050</v>
      </c>
      <c r="K4" s="77">
        <v>2035</v>
      </c>
      <c r="L4" s="11"/>
      <c r="M4" s="3">
        <v>2030</v>
      </c>
      <c r="N4" s="3">
        <v>2040</v>
      </c>
      <c r="O4" s="3">
        <v>2050</v>
      </c>
      <c r="P4" s="3">
        <v>2030</v>
      </c>
      <c r="Q4" s="3">
        <v>2040</v>
      </c>
      <c r="R4" s="3">
        <v>2050</v>
      </c>
      <c r="S4" s="3">
        <v>2030</v>
      </c>
      <c r="T4" s="3">
        <v>2040</v>
      </c>
      <c r="U4" s="3">
        <v>2050</v>
      </c>
      <c r="V4" s="3">
        <v>2030</v>
      </c>
      <c r="W4" s="3">
        <v>2040</v>
      </c>
      <c r="X4" s="3">
        <v>2050</v>
      </c>
      <c r="Y4" s="3">
        <v>2030</v>
      </c>
      <c r="Z4" s="3">
        <v>2040</v>
      </c>
      <c r="AA4" s="3">
        <v>2050</v>
      </c>
      <c r="AB4" s="3">
        <v>2030</v>
      </c>
      <c r="AC4" s="3">
        <v>2040</v>
      </c>
      <c r="AD4" s="3">
        <v>2050</v>
      </c>
      <c r="AE4" s="3">
        <v>2030</v>
      </c>
      <c r="AF4" s="3">
        <v>2040</v>
      </c>
      <c r="AG4" s="3">
        <v>2050</v>
      </c>
      <c r="AH4" s="11"/>
      <c r="AI4" s="3">
        <v>2030</v>
      </c>
      <c r="AJ4" s="3">
        <v>2040</v>
      </c>
      <c r="AK4" s="3">
        <v>2050</v>
      </c>
      <c r="AL4" s="3">
        <v>2030</v>
      </c>
      <c r="AM4" s="3">
        <v>2040</v>
      </c>
      <c r="AN4" s="3">
        <v>2050</v>
      </c>
      <c r="AO4" s="3">
        <v>2030</v>
      </c>
      <c r="AP4" s="3">
        <v>2040</v>
      </c>
      <c r="AQ4" s="3">
        <v>2050</v>
      </c>
      <c r="AR4" s="3">
        <v>2030</v>
      </c>
      <c r="AS4" s="3">
        <v>2040</v>
      </c>
      <c r="AT4" s="3">
        <v>2050</v>
      </c>
      <c r="AU4" s="11"/>
      <c r="AV4" s="3">
        <v>2030</v>
      </c>
      <c r="AW4" s="3">
        <v>2040</v>
      </c>
      <c r="AX4" s="3">
        <v>2050</v>
      </c>
      <c r="AY4" s="3">
        <v>2030</v>
      </c>
      <c r="AZ4" s="3">
        <v>2040</v>
      </c>
      <c r="BA4" s="3">
        <v>2050</v>
      </c>
      <c r="BB4" s="3">
        <v>2030</v>
      </c>
      <c r="BC4" s="3">
        <v>2040</v>
      </c>
      <c r="BD4" s="3">
        <v>2050</v>
      </c>
      <c r="BE4" s="81"/>
    </row>
    <row r="5" spans="1:57">
      <c r="A5" s="9" t="s">
        <v>107</v>
      </c>
      <c r="B5" s="354">
        <v>9029.2448122668884</v>
      </c>
      <c r="C5" s="339">
        <v>19751.647732862028</v>
      </c>
      <c r="D5" s="339">
        <v>29151.723362691158</v>
      </c>
      <c r="E5" s="339">
        <v>9220.4341380513724</v>
      </c>
      <c r="F5" s="339">
        <v>18524.94544167359</v>
      </c>
      <c r="G5" s="339">
        <v>34385.989353443671</v>
      </c>
      <c r="H5" s="296">
        <f>B5+E5</f>
        <v>18249.678950318259</v>
      </c>
      <c r="I5" s="296">
        <f t="shared" ref="I5:I18" si="0">C5+F5</f>
        <v>38276.593174535621</v>
      </c>
      <c r="J5" s="296">
        <f t="shared" ref="J5:J18" si="1">D5+G5</f>
        <v>63537.712716134833</v>
      </c>
      <c r="K5" s="72">
        <f>(H5+I5)/2</f>
        <v>28263.13606242694</v>
      </c>
      <c r="L5" s="9" t="s">
        <v>107</v>
      </c>
      <c r="M5" s="339">
        <v>285.5097351</v>
      </c>
      <c r="N5" s="339">
        <v>459.70001219999989</v>
      </c>
      <c r="O5" s="339">
        <v>519.46101369999997</v>
      </c>
      <c r="P5" s="339">
        <v>503.73791499999999</v>
      </c>
      <c r="Q5" s="339">
        <v>810.90002440000001</v>
      </c>
      <c r="R5" s="339">
        <v>916.31702759999996</v>
      </c>
      <c r="S5" s="339">
        <v>681.2423096</v>
      </c>
      <c r="T5" s="339">
        <v>1096.6999510000001</v>
      </c>
      <c r="U5" s="339">
        <v>1239.2709440000001</v>
      </c>
      <c r="V5" s="339">
        <v>70.004997250000002</v>
      </c>
      <c r="W5" s="339">
        <v>196</v>
      </c>
      <c r="X5" s="339">
        <v>221.48</v>
      </c>
      <c r="Y5" s="339">
        <v>218.36999510000001</v>
      </c>
      <c r="Z5" s="339">
        <v>611.29998779999994</v>
      </c>
      <c r="AA5" s="339">
        <v>690.76898630000005</v>
      </c>
      <c r="AB5" s="339"/>
      <c r="AC5" s="339"/>
      <c r="AD5" s="339"/>
      <c r="AE5" s="296">
        <f t="shared" ref="AE5:AE28" si="2">SUM(M5,P5,S5,V5,Y5,AB5)</f>
        <v>1758.8649520500001</v>
      </c>
      <c r="AF5" s="296">
        <f t="shared" ref="AF5:AF28" si="3">SUM(N5,Q5,T5,W5,Z5,AC5)</f>
        <v>3174.5999753999999</v>
      </c>
      <c r="AG5" s="343">
        <f t="shared" ref="AG5:AG28" si="4">SUM(O5,R5,U5,X5,AA5,AD5)</f>
        <v>3587.2979716</v>
      </c>
      <c r="AH5" s="9" t="s">
        <v>107</v>
      </c>
      <c r="AI5" s="339">
        <v>2613.1680003000001</v>
      </c>
      <c r="AJ5" s="339">
        <v>2613.1680003000001</v>
      </c>
      <c r="AK5" s="339">
        <v>2179.3179999499998</v>
      </c>
      <c r="AL5" s="339">
        <v>452.40000003</v>
      </c>
      <c r="AM5" s="339">
        <v>406.7</v>
      </c>
      <c r="AN5" s="339">
        <v>17.8</v>
      </c>
      <c r="AO5" s="339">
        <v>9159</v>
      </c>
      <c r="AP5" s="339">
        <v>36881</v>
      </c>
      <c r="AQ5" s="339">
        <v>46137</v>
      </c>
      <c r="AR5" s="339">
        <f t="shared" ref="AR5:AR28" si="5">SUM(AI5,AL5,AO5)</f>
        <v>12224.56800033</v>
      </c>
      <c r="AS5" s="339">
        <f t="shared" ref="AS5:AS28" si="6">SUM(AJ5,AM5,AP5)</f>
        <v>39900.868000299997</v>
      </c>
      <c r="AT5" s="347">
        <f t="shared" ref="AT5:AT28" si="7">SUM(AK5,AN5,AQ5)</f>
        <v>48334.117999950002</v>
      </c>
      <c r="AU5" s="9" t="s">
        <v>107</v>
      </c>
      <c r="AV5" s="339">
        <v>7381.6401367199996</v>
      </c>
      <c r="AW5" s="339">
        <v>7651.6401367199996</v>
      </c>
      <c r="AX5" s="339">
        <v>7651.6401367199996</v>
      </c>
      <c r="AY5" s="339">
        <v>1644.09997559</v>
      </c>
      <c r="AZ5" s="339">
        <v>1644.09997559</v>
      </c>
      <c r="BA5" s="339">
        <v>1644.09997559</v>
      </c>
      <c r="BB5" s="339">
        <f t="shared" ref="BB5:BB28" si="8">AV5+AY5</f>
        <v>9025.7401123099989</v>
      </c>
      <c r="BC5" s="339">
        <f t="shared" ref="BC5:BC28" si="9">AW5+AZ5</f>
        <v>9295.7401123099989</v>
      </c>
      <c r="BD5" s="347">
        <f t="shared" ref="BD5:BD28" si="10">AX5+BA5</f>
        <v>9295.7401123099989</v>
      </c>
    </row>
    <row r="6" spans="1:57">
      <c r="A6" s="10" t="s">
        <v>108</v>
      </c>
      <c r="B6" s="353">
        <v>0</v>
      </c>
      <c r="C6" s="189">
        <v>0</v>
      </c>
      <c r="D6" s="189">
        <v>0</v>
      </c>
      <c r="E6" s="189">
        <v>0</v>
      </c>
      <c r="F6" s="189">
        <v>0</v>
      </c>
      <c r="G6" s="189">
        <v>0</v>
      </c>
      <c r="H6" s="72">
        <f t="shared" ref="H6:H18" si="11">B6+E6</f>
        <v>0</v>
      </c>
      <c r="I6" s="72">
        <f t="shared" si="0"/>
        <v>0</v>
      </c>
      <c r="J6" s="72">
        <f t="shared" si="1"/>
        <v>0</v>
      </c>
      <c r="K6" s="72">
        <f t="shared" ref="K6:K28" si="12">(H6+I6)/2</f>
        <v>0</v>
      </c>
      <c r="L6" s="11" t="s">
        <v>108</v>
      </c>
      <c r="M6" s="282"/>
      <c r="N6" s="282"/>
      <c r="O6" s="348"/>
      <c r="P6" s="282"/>
      <c r="Q6" s="282"/>
      <c r="R6" s="282"/>
      <c r="S6" s="282"/>
      <c r="T6" s="282"/>
      <c r="U6" s="282"/>
      <c r="V6" s="282"/>
      <c r="W6" s="282"/>
      <c r="X6" s="282"/>
      <c r="Y6" s="282"/>
      <c r="Z6" s="282"/>
      <c r="AA6" s="282"/>
      <c r="AB6" s="282"/>
      <c r="AC6" s="282"/>
      <c r="AD6" s="282"/>
      <c r="AE6" s="340">
        <f t="shared" si="2"/>
        <v>0</v>
      </c>
      <c r="AF6" s="340">
        <f t="shared" si="3"/>
        <v>0</v>
      </c>
      <c r="AG6" s="344">
        <f t="shared" si="4"/>
        <v>0</v>
      </c>
      <c r="AH6" s="11" t="s">
        <v>108</v>
      </c>
      <c r="AI6" s="282"/>
      <c r="AJ6" s="282"/>
      <c r="AK6" s="282"/>
      <c r="AL6" s="348"/>
      <c r="AM6" s="282"/>
      <c r="AN6" s="282"/>
      <c r="AO6" s="282"/>
      <c r="AP6" s="282"/>
      <c r="AQ6" s="282"/>
      <c r="AR6" s="282">
        <f t="shared" si="5"/>
        <v>0</v>
      </c>
      <c r="AS6" s="282">
        <f t="shared" si="6"/>
        <v>0</v>
      </c>
      <c r="AT6" s="349">
        <f t="shared" si="7"/>
        <v>0</v>
      </c>
      <c r="AU6" s="11" t="s">
        <v>108</v>
      </c>
      <c r="AV6" s="348"/>
      <c r="AW6" s="282"/>
      <c r="AX6" s="282"/>
      <c r="AY6" s="282"/>
      <c r="AZ6" s="282"/>
      <c r="BA6" s="282"/>
      <c r="BB6" s="282">
        <f t="shared" si="8"/>
        <v>0</v>
      </c>
      <c r="BC6" s="282">
        <f t="shared" si="9"/>
        <v>0</v>
      </c>
      <c r="BD6" s="349">
        <f t="shared" si="10"/>
        <v>0</v>
      </c>
    </row>
    <row r="7" spans="1:57">
      <c r="A7" s="9" t="s">
        <v>109</v>
      </c>
      <c r="B7" s="354">
        <v>620.08657369802461</v>
      </c>
      <c r="C7" s="339">
        <v>1356.4513779625661</v>
      </c>
      <c r="D7" s="339">
        <v>2002.004888914458</v>
      </c>
      <c r="E7" s="339">
        <v>633.21656811264859</v>
      </c>
      <c r="F7" s="339">
        <v>1272.2071652397985</v>
      </c>
      <c r="G7" s="339">
        <v>2361.4699528830752</v>
      </c>
      <c r="H7" s="296">
        <f t="shared" si="11"/>
        <v>1253.3031418106732</v>
      </c>
      <c r="I7" s="296">
        <f t="shared" si="0"/>
        <v>2628.6585432023649</v>
      </c>
      <c r="J7" s="296">
        <f t="shared" si="1"/>
        <v>4363.4748417975334</v>
      </c>
      <c r="K7" s="296">
        <f t="shared" si="12"/>
        <v>1940.9808425065189</v>
      </c>
      <c r="L7" s="9" t="s">
        <v>109</v>
      </c>
      <c r="M7" s="339">
        <v>1400</v>
      </c>
      <c r="N7" s="339">
        <v>1400</v>
      </c>
      <c r="O7" s="339">
        <v>1582</v>
      </c>
      <c r="P7" s="339">
        <v>4080</v>
      </c>
      <c r="Q7" s="339">
        <v>4080</v>
      </c>
      <c r="R7" s="339">
        <v>4610.3999999999996</v>
      </c>
      <c r="S7" s="339"/>
      <c r="T7" s="339"/>
      <c r="U7" s="339"/>
      <c r="V7" s="339"/>
      <c r="W7" s="339"/>
      <c r="X7" s="339"/>
      <c r="Y7" s="339"/>
      <c r="Z7" s="339"/>
      <c r="AA7" s="339"/>
      <c r="AB7" s="339"/>
      <c r="AC7" s="339"/>
      <c r="AD7" s="339"/>
      <c r="AE7" s="296">
        <f t="shared" si="2"/>
        <v>5480</v>
      </c>
      <c r="AF7" s="296">
        <f t="shared" si="3"/>
        <v>5480</v>
      </c>
      <c r="AG7" s="343">
        <f t="shared" si="4"/>
        <v>6192.4</v>
      </c>
      <c r="AH7" s="9" t="s">
        <v>109</v>
      </c>
      <c r="AI7" s="339">
        <v>437.00000010000002</v>
      </c>
      <c r="AJ7" s="339">
        <v>437.00000010000002</v>
      </c>
      <c r="AK7" s="339">
        <v>437.00000010000002</v>
      </c>
      <c r="AL7" s="339">
        <v>199</v>
      </c>
      <c r="AM7" s="339">
        <v>199</v>
      </c>
      <c r="AN7" s="339">
        <v>199</v>
      </c>
      <c r="AO7" s="339"/>
      <c r="AP7" s="339">
        <v>16233</v>
      </c>
      <c r="AQ7" s="339">
        <v>39170.894370000002</v>
      </c>
      <c r="AR7" s="339">
        <f t="shared" si="5"/>
        <v>636.00000010000008</v>
      </c>
      <c r="AS7" s="339">
        <f t="shared" si="6"/>
        <v>16869.000000100001</v>
      </c>
      <c r="AT7" s="347">
        <f t="shared" si="7"/>
        <v>39806.894370100003</v>
      </c>
      <c r="AU7" s="9" t="s">
        <v>109</v>
      </c>
      <c r="AV7" s="339">
        <v>1950</v>
      </c>
      <c r="AW7" s="339">
        <v>2485.29418945</v>
      </c>
      <c r="AX7" s="339">
        <v>2485.29418945</v>
      </c>
      <c r="AY7" s="339">
        <v>1850</v>
      </c>
      <c r="AZ7" s="339">
        <v>2357.8430175799999</v>
      </c>
      <c r="BA7" s="339">
        <v>2357.8430175799999</v>
      </c>
      <c r="BB7" s="339">
        <f t="shared" si="8"/>
        <v>3800</v>
      </c>
      <c r="BC7" s="339">
        <f t="shared" si="9"/>
        <v>4843.1372070300004</v>
      </c>
      <c r="BD7" s="347">
        <f t="shared" si="10"/>
        <v>4843.1372070300004</v>
      </c>
    </row>
    <row r="8" spans="1:57">
      <c r="A8" s="11" t="s">
        <v>160</v>
      </c>
      <c r="B8" s="348">
        <v>51.469636552009945</v>
      </c>
      <c r="C8" s="282">
        <v>112.59082583879007</v>
      </c>
      <c r="D8" s="282">
        <v>166.17431884270204</v>
      </c>
      <c r="E8" s="282">
        <v>0</v>
      </c>
      <c r="F8" s="282">
        <v>0</v>
      </c>
      <c r="G8" s="282">
        <v>0</v>
      </c>
      <c r="H8" s="340">
        <f t="shared" si="11"/>
        <v>51.469636552009945</v>
      </c>
      <c r="I8" s="340">
        <f t="shared" si="0"/>
        <v>112.59082583879007</v>
      </c>
      <c r="J8" s="340">
        <f t="shared" si="1"/>
        <v>166.17431884270204</v>
      </c>
      <c r="K8" s="72">
        <f t="shared" si="12"/>
        <v>82.030231195400006</v>
      </c>
      <c r="L8" s="11" t="s">
        <v>160</v>
      </c>
      <c r="M8" s="282">
        <v>1.5</v>
      </c>
      <c r="N8" s="282">
        <v>1.5</v>
      </c>
      <c r="O8" s="282">
        <v>1.6950000000000001</v>
      </c>
      <c r="P8" s="282"/>
      <c r="Q8" s="282"/>
      <c r="R8" s="282"/>
      <c r="S8" s="282"/>
      <c r="T8" s="282"/>
      <c r="U8" s="282"/>
      <c r="V8" s="282"/>
      <c r="W8" s="282"/>
      <c r="X8" s="282"/>
      <c r="Y8" s="282"/>
      <c r="Z8" s="282"/>
      <c r="AA8" s="282"/>
      <c r="AB8" s="282"/>
      <c r="AC8" s="282"/>
      <c r="AD8" s="282"/>
      <c r="AE8" s="340">
        <f t="shared" si="2"/>
        <v>1.5</v>
      </c>
      <c r="AF8" s="340">
        <f t="shared" si="3"/>
        <v>1.5</v>
      </c>
      <c r="AG8" s="344">
        <f t="shared" si="4"/>
        <v>1.6950000000000001</v>
      </c>
      <c r="AH8" s="11" t="s">
        <v>160</v>
      </c>
      <c r="AI8" s="282"/>
      <c r="AJ8" s="282"/>
      <c r="AK8" s="282"/>
      <c r="AL8" s="282"/>
      <c r="AM8" s="282"/>
      <c r="AN8" s="282"/>
      <c r="AO8" s="282"/>
      <c r="AP8" s="282"/>
      <c r="AQ8" s="282"/>
      <c r="AR8" s="282">
        <f t="shared" si="5"/>
        <v>0</v>
      </c>
      <c r="AS8" s="282">
        <f t="shared" si="6"/>
        <v>0</v>
      </c>
      <c r="AT8" s="349">
        <f t="shared" si="7"/>
        <v>0</v>
      </c>
      <c r="AU8" s="11" t="s">
        <v>160</v>
      </c>
      <c r="AV8" s="348"/>
      <c r="AW8" s="282"/>
      <c r="AX8" s="282"/>
      <c r="AY8" s="282"/>
      <c r="AZ8" s="282"/>
      <c r="BA8" s="282"/>
      <c r="BB8" s="282">
        <f t="shared" si="8"/>
        <v>0</v>
      </c>
      <c r="BC8" s="282">
        <f t="shared" si="9"/>
        <v>0</v>
      </c>
      <c r="BD8" s="349">
        <f t="shared" si="10"/>
        <v>0</v>
      </c>
    </row>
    <row r="9" spans="1:57">
      <c r="A9" s="9" t="s">
        <v>110</v>
      </c>
      <c r="B9" s="354">
        <v>7741.5087142988086</v>
      </c>
      <c r="C9" s="339">
        <v>9551.9338645027419</v>
      </c>
      <c r="D9" s="339">
        <v>9304.5665181674267</v>
      </c>
      <c r="E9" s="339">
        <v>12547.198811313559</v>
      </c>
      <c r="F9" s="339">
        <v>17598.081484389582</v>
      </c>
      <c r="G9" s="339">
        <v>21559.259828819588</v>
      </c>
      <c r="H9" s="296">
        <f t="shared" si="11"/>
        <v>20288.707525612368</v>
      </c>
      <c r="I9" s="296">
        <f t="shared" si="0"/>
        <v>27150.015348892324</v>
      </c>
      <c r="J9" s="296">
        <f t="shared" si="1"/>
        <v>30863.826346987014</v>
      </c>
      <c r="K9" s="296">
        <f t="shared" si="12"/>
        <v>23719.361437252344</v>
      </c>
      <c r="L9" s="9" t="s">
        <v>110</v>
      </c>
      <c r="M9" s="339">
        <v>4257.12</v>
      </c>
      <c r="N9" s="339">
        <v>7906.08</v>
      </c>
      <c r="O9" s="339">
        <v>8933.8703999999998</v>
      </c>
      <c r="P9" s="339"/>
      <c r="Q9" s="339"/>
      <c r="R9" s="339"/>
      <c r="S9" s="339"/>
      <c r="T9" s="339"/>
      <c r="U9" s="339"/>
      <c r="V9" s="339"/>
      <c r="W9" s="339"/>
      <c r="X9" s="339"/>
      <c r="Y9" s="339"/>
      <c r="Z9" s="339"/>
      <c r="AA9" s="339"/>
      <c r="AB9" s="339"/>
      <c r="AC9" s="339"/>
      <c r="AD9" s="339"/>
      <c r="AE9" s="296">
        <f t="shared" si="2"/>
        <v>4257.12</v>
      </c>
      <c r="AF9" s="296">
        <f t="shared" si="3"/>
        <v>7906.08</v>
      </c>
      <c r="AG9" s="343">
        <f t="shared" si="4"/>
        <v>8933.8703999999998</v>
      </c>
      <c r="AH9" s="9" t="s">
        <v>110</v>
      </c>
      <c r="AI9" s="339">
        <v>49.9</v>
      </c>
      <c r="AJ9" s="339">
        <v>49.9</v>
      </c>
      <c r="AK9" s="339">
        <v>49.9</v>
      </c>
      <c r="AL9" s="339">
        <v>816.88999992000004</v>
      </c>
      <c r="AM9" s="339">
        <v>816.88999992000004</v>
      </c>
      <c r="AN9" s="339">
        <v>816.88999992000004</v>
      </c>
      <c r="AO9" s="339">
        <v>4537</v>
      </c>
      <c r="AP9" s="339">
        <v>33016</v>
      </c>
      <c r="AQ9" s="339">
        <v>48999.150849999998</v>
      </c>
      <c r="AR9" s="339">
        <f t="shared" si="5"/>
        <v>5403.7899999199999</v>
      </c>
      <c r="AS9" s="339">
        <f t="shared" si="6"/>
        <v>33882.789999920002</v>
      </c>
      <c r="AT9" s="347">
        <f t="shared" si="7"/>
        <v>49865.94084992</v>
      </c>
      <c r="AU9" s="9" t="s">
        <v>110</v>
      </c>
      <c r="AV9" s="339">
        <v>2744</v>
      </c>
      <c r="AW9" s="339">
        <v>2744</v>
      </c>
      <c r="AX9" s="339">
        <v>2744</v>
      </c>
      <c r="AY9" s="339"/>
      <c r="AZ9" s="339"/>
      <c r="BA9" s="339"/>
      <c r="BB9" s="339">
        <f t="shared" si="8"/>
        <v>2744</v>
      </c>
      <c r="BC9" s="339">
        <f t="shared" si="9"/>
        <v>2744</v>
      </c>
      <c r="BD9" s="347">
        <f t="shared" si="10"/>
        <v>2744</v>
      </c>
    </row>
    <row r="10" spans="1:57">
      <c r="A10" s="11" t="s">
        <v>111</v>
      </c>
      <c r="B10" s="348">
        <v>75.874822550421328</v>
      </c>
      <c r="C10" s="282">
        <v>121.0253642675119</v>
      </c>
      <c r="D10" s="282">
        <v>117.8911588152134</v>
      </c>
      <c r="E10" s="282">
        <v>27.637525507446334</v>
      </c>
      <c r="F10" s="282">
        <v>40.488485406424289</v>
      </c>
      <c r="G10" s="282">
        <v>49.602098826896608</v>
      </c>
      <c r="H10" s="340">
        <f t="shared" si="11"/>
        <v>103.51234805786765</v>
      </c>
      <c r="I10" s="340">
        <f t="shared" si="0"/>
        <v>161.51384967393619</v>
      </c>
      <c r="J10" s="340">
        <f t="shared" si="1"/>
        <v>167.49325764211</v>
      </c>
      <c r="K10" s="72">
        <f t="shared" si="12"/>
        <v>132.51309886590192</v>
      </c>
      <c r="L10" s="11" t="s">
        <v>111</v>
      </c>
      <c r="M10" s="282">
        <v>100</v>
      </c>
      <c r="N10" s="282">
        <v>125</v>
      </c>
      <c r="O10" s="282">
        <v>141.25</v>
      </c>
      <c r="P10" s="282"/>
      <c r="Q10" s="282"/>
      <c r="R10" s="282"/>
      <c r="S10" s="282"/>
      <c r="T10" s="282"/>
      <c r="U10" s="282"/>
      <c r="V10" s="282"/>
      <c r="W10" s="282"/>
      <c r="X10" s="282"/>
      <c r="Y10" s="282"/>
      <c r="Z10" s="282"/>
      <c r="AA10" s="282"/>
      <c r="AB10" s="282"/>
      <c r="AC10" s="282"/>
      <c r="AD10" s="282"/>
      <c r="AE10" s="340">
        <f t="shared" si="2"/>
        <v>100</v>
      </c>
      <c r="AF10" s="340">
        <f t="shared" si="3"/>
        <v>125</v>
      </c>
      <c r="AG10" s="344">
        <f t="shared" si="4"/>
        <v>141.25</v>
      </c>
      <c r="AH10" s="11" t="s">
        <v>111</v>
      </c>
      <c r="AI10" s="282">
        <v>395</v>
      </c>
      <c r="AJ10" s="282">
        <v>395</v>
      </c>
      <c r="AK10" s="282">
        <v>395</v>
      </c>
      <c r="AL10" s="282">
        <v>12</v>
      </c>
      <c r="AM10" s="282">
        <v>12</v>
      </c>
      <c r="AN10" s="282">
        <v>12</v>
      </c>
      <c r="AO10" s="282"/>
      <c r="AP10" s="282">
        <v>16.484622300000002</v>
      </c>
      <c r="AQ10" s="282">
        <v>4004.4412729999999</v>
      </c>
      <c r="AR10" s="282">
        <f t="shared" si="5"/>
        <v>407</v>
      </c>
      <c r="AS10" s="282">
        <f t="shared" si="6"/>
        <v>423.48462230000001</v>
      </c>
      <c r="AT10" s="349">
        <f t="shared" si="7"/>
        <v>4411.4412730000004</v>
      </c>
      <c r="AU10" s="11" t="s">
        <v>111</v>
      </c>
      <c r="AV10" s="348"/>
      <c r="AW10" s="282"/>
      <c r="AX10" s="282"/>
      <c r="AY10" s="282"/>
      <c r="AZ10" s="282"/>
      <c r="BA10" s="282"/>
      <c r="BB10" s="282">
        <f t="shared" si="8"/>
        <v>0</v>
      </c>
      <c r="BC10" s="282">
        <f t="shared" si="9"/>
        <v>0</v>
      </c>
      <c r="BD10" s="349">
        <f t="shared" si="10"/>
        <v>0</v>
      </c>
    </row>
    <row r="11" spans="1:57">
      <c r="A11" s="12" t="s">
        <v>112</v>
      </c>
      <c r="B11" s="351">
        <v>6433.7045690012437</v>
      </c>
      <c r="C11" s="283">
        <v>14073.853229848759</v>
      </c>
      <c r="D11" s="283">
        <v>20771.789855337756</v>
      </c>
      <c r="E11" s="283">
        <v>5955.5944430351219</v>
      </c>
      <c r="F11" s="283">
        <v>6305.4033430381496</v>
      </c>
      <c r="G11" s="283">
        <v>7724.6959629464645</v>
      </c>
      <c r="H11" s="341">
        <f t="shared" si="11"/>
        <v>12389.299012036365</v>
      </c>
      <c r="I11" s="341">
        <f t="shared" si="0"/>
        <v>20379.256572886909</v>
      </c>
      <c r="J11" s="341">
        <f t="shared" si="1"/>
        <v>28496.485818284222</v>
      </c>
      <c r="K11" s="296">
        <f t="shared" si="12"/>
        <v>16384.277792461638</v>
      </c>
      <c r="L11" s="12" t="s">
        <v>112</v>
      </c>
      <c r="M11" s="283"/>
      <c r="N11" s="283">
        <v>500</v>
      </c>
      <c r="O11" s="283">
        <v>565</v>
      </c>
      <c r="P11" s="283"/>
      <c r="Q11" s="283">
        <v>1100</v>
      </c>
      <c r="R11" s="283">
        <v>1243</v>
      </c>
      <c r="S11" s="283"/>
      <c r="T11" s="283"/>
      <c r="U11" s="283"/>
      <c r="V11" s="283"/>
      <c r="W11" s="283"/>
      <c r="X11" s="283"/>
      <c r="Y11" s="283"/>
      <c r="Z11" s="283"/>
      <c r="AA11" s="283"/>
      <c r="AB11" s="283"/>
      <c r="AC11" s="283"/>
      <c r="AD11" s="283"/>
      <c r="AE11" s="341">
        <f t="shared" si="2"/>
        <v>0</v>
      </c>
      <c r="AF11" s="341">
        <f t="shared" si="3"/>
        <v>1600</v>
      </c>
      <c r="AG11" s="342">
        <f t="shared" si="4"/>
        <v>1808</v>
      </c>
      <c r="AH11" s="12" t="s">
        <v>112</v>
      </c>
      <c r="AI11" s="283"/>
      <c r="AJ11" s="283"/>
      <c r="AK11" s="283"/>
      <c r="AL11" s="283"/>
      <c r="AM11" s="283"/>
      <c r="AN11" s="283"/>
      <c r="AO11" s="283"/>
      <c r="AP11" s="283">
        <v>377</v>
      </c>
      <c r="AQ11" s="283">
        <v>377</v>
      </c>
      <c r="AR11" s="283">
        <f t="shared" si="5"/>
        <v>0</v>
      </c>
      <c r="AS11" s="283">
        <f t="shared" si="6"/>
        <v>377</v>
      </c>
      <c r="AT11" s="350">
        <f t="shared" si="7"/>
        <v>377</v>
      </c>
      <c r="AU11" s="12" t="s">
        <v>112</v>
      </c>
      <c r="AV11" s="283">
        <v>6866.3999023400002</v>
      </c>
      <c r="AW11" s="283">
        <v>6866.3999023400002</v>
      </c>
      <c r="AX11" s="283">
        <v>6866.3999023400002</v>
      </c>
      <c r="AY11" s="283">
        <v>2683.3200683599998</v>
      </c>
      <c r="AZ11" s="283">
        <v>2683.3200683599998</v>
      </c>
      <c r="BA11" s="283">
        <v>2683.3200683599998</v>
      </c>
      <c r="BB11" s="283">
        <f t="shared" si="8"/>
        <v>9549.7199707</v>
      </c>
      <c r="BC11" s="283">
        <f t="shared" si="9"/>
        <v>9549.7199707</v>
      </c>
      <c r="BD11" s="350">
        <f t="shared" si="10"/>
        <v>9549.7199707</v>
      </c>
    </row>
    <row r="12" spans="1:57">
      <c r="A12" s="12" t="s">
        <v>113</v>
      </c>
      <c r="B12" s="351">
        <v>1960.7480591241886</v>
      </c>
      <c r="C12" s="283">
        <v>3069.3510132830152</v>
      </c>
      <c r="D12" s="283">
        <v>2989.863736057509</v>
      </c>
      <c r="E12" s="283">
        <v>2002.2658280241853</v>
      </c>
      <c r="F12" s="283">
        <v>2878.7248958380651</v>
      </c>
      <c r="G12" s="283">
        <v>3526.7013657209018</v>
      </c>
      <c r="H12" s="341">
        <f t="shared" si="11"/>
        <v>3963.0138871483741</v>
      </c>
      <c r="I12" s="341">
        <f t="shared" si="0"/>
        <v>5948.0759091210803</v>
      </c>
      <c r="J12" s="341">
        <f t="shared" si="1"/>
        <v>6516.5651017784112</v>
      </c>
      <c r="K12" s="296">
        <f t="shared" si="12"/>
        <v>4955.5448981347272</v>
      </c>
      <c r="L12" s="12" t="s">
        <v>113</v>
      </c>
      <c r="M12" s="283"/>
      <c r="N12" s="283"/>
      <c r="O12" s="351"/>
      <c r="P12" s="283"/>
      <c r="Q12" s="283"/>
      <c r="R12" s="283"/>
      <c r="S12" s="283"/>
      <c r="T12" s="283"/>
      <c r="U12" s="283"/>
      <c r="V12" s="283"/>
      <c r="W12" s="283"/>
      <c r="X12" s="283"/>
      <c r="Y12" s="283"/>
      <c r="Z12" s="283"/>
      <c r="AA12" s="283"/>
      <c r="AB12" s="283"/>
      <c r="AC12" s="283"/>
      <c r="AD12" s="283"/>
      <c r="AE12" s="341">
        <f t="shared" si="2"/>
        <v>0</v>
      </c>
      <c r="AF12" s="341">
        <f t="shared" si="3"/>
        <v>0</v>
      </c>
      <c r="AG12" s="342">
        <f t="shared" si="4"/>
        <v>0</v>
      </c>
      <c r="AH12" s="12" t="s">
        <v>113</v>
      </c>
      <c r="AI12" s="283"/>
      <c r="AJ12" s="283">
        <v>3600</v>
      </c>
      <c r="AK12" s="283">
        <v>3600</v>
      </c>
      <c r="AL12" s="351"/>
      <c r="AM12" s="283"/>
      <c r="AN12" s="283"/>
      <c r="AO12" s="283">
        <v>6210</v>
      </c>
      <c r="AP12" s="283">
        <v>14000</v>
      </c>
      <c r="AQ12" s="283">
        <v>21063.370070000001</v>
      </c>
      <c r="AR12" s="283">
        <f t="shared" si="5"/>
        <v>6210</v>
      </c>
      <c r="AS12" s="283">
        <f t="shared" si="6"/>
        <v>17600</v>
      </c>
      <c r="AT12" s="350">
        <f t="shared" si="7"/>
        <v>24663.370070000001</v>
      </c>
      <c r="AU12" s="12" t="s">
        <v>113</v>
      </c>
      <c r="AV12" s="283">
        <v>1323.09997559</v>
      </c>
      <c r="AW12" s="283">
        <v>1323.09997559</v>
      </c>
      <c r="AX12" s="283">
        <v>1323.09997559</v>
      </c>
      <c r="AY12" s="283">
        <v>212.18</v>
      </c>
      <c r="AZ12" s="283">
        <v>212.18</v>
      </c>
      <c r="BA12" s="283">
        <v>212.18</v>
      </c>
      <c r="BB12" s="283">
        <f t="shared" si="8"/>
        <v>1535.27997559</v>
      </c>
      <c r="BC12" s="283">
        <f t="shared" si="9"/>
        <v>1535.27997559</v>
      </c>
      <c r="BD12" s="350">
        <f t="shared" si="10"/>
        <v>1535.27997559</v>
      </c>
    </row>
    <row r="13" spans="1:57">
      <c r="A13" s="12" t="s">
        <v>114</v>
      </c>
      <c r="B13" s="351">
        <v>6802.815391131373</v>
      </c>
      <c r="C13" s="283">
        <v>10367.602588180131</v>
      </c>
      <c r="D13" s="283">
        <v>10099.111790769153</v>
      </c>
      <c r="E13" s="283">
        <v>6946.8612903299118</v>
      </c>
      <c r="F13" s="283">
        <v>13957.068015176224</v>
      </c>
      <c r="G13" s="283">
        <v>18214.379308077667</v>
      </c>
      <c r="H13" s="341">
        <f t="shared" si="11"/>
        <v>13749.676681461286</v>
      </c>
      <c r="I13" s="341">
        <f t="shared" si="0"/>
        <v>24324.670603356353</v>
      </c>
      <c r="J13" s="341">
        <f t="shared" si="1"/>
        <v>28313.491098846818</v>
      </c>
      <c r="K13" s="296">
        <f t="shared" si="12"/>
        <v>19037.173642408819</v>
      </c>
      <c r="L13" s="12" t="s">
        <v>114</v>
      </c>
      <c r="M13" s="283">
        <v>700</v>
      </c>
      <c r="N13" s="283">
        <v>700</v>
      </c>
      <c r="O13" s="283">
        <v>791</v>
      </c>
      <c r="P13" s="283"/>
      <c r="Q13" s="283"/>
      <c r="R13" s="283"/>
      <c r="S13" s="283"/>
      <c r="T13" s="283"/>
      <c r="U13" s="283"/>
      <c r="V13" s="283"/>
      <c r="W13" s="283"/>
      <c r="X13" s="283"/>
      <c r="Y13" s="283"/>
      <c r="Z13" s="283"/>
      <c r="AA13" s="283"/>
      <c r="AB13" s="283"/>
      <c r="AC13" s="283"/>
      <c r="AD13" s="283"/>
      <c r="AE13" s="341">
        <f t="shared" si="2"/>
        <v>700</v>
      </c>
      <c r="AF13" s="341">
        <f t="shared" si="3"/>
        <v>700</v>
      </c>
      <c r="AG13" s="342">
        <f t="shared" si="4"/>
        <v>791</v>
      </c>
      <c r="AH13" s="12" t="s">
        <v>114</v>
      </c>
      <c r="AI13" s="283">
        <v>547.80000013999995</v>
      </c>
      <c r="AJ13" s="283">
        <v>547.80000013999995</v>
      </c>
      <c r="AK13" s="283">
        <v>547.80000013999995</v>
      </c>
      <c r="AL13" s="283">
        <v>364</v>
      </c>
      <c r="AM13" s="283">
        <v>233.00000003</v>
      </c>
      <c r="AN13" s="283">
        <v>233.00000003</v>
      </c>
      <c r="AO13" s="283">
        <v>1924</v>
      </c>
      <c r="AP13" s="283">
        <v>9552</v>
      </c>
      <c r="AQ13" s="283">
        <v>12982.07681</v>
      </c>
      <c r="AR13" s="283">
        <f t="shared" si="5"/>
        <v>2835.8000001400001</v>
      </c>
      <c r="AS13" s="283">
        <f t="shared" si="6"/>
        <v>10332.80000017</v>
      </c>
      <c r="AT13" s="350">
        <f t="shared" si="7"/>
        <v>13762.876810170001</v>
      </c>
      <c r="AU13" s="12" t="s">
        <v>114</v>
      </c>
      <c r="AV13" s="351"/>
      <c r="AW13" s="283"/>
      <c r="AX13" s="283"/>
      <c r="AY13" s="283"/>
      <c r="AZ13" s="283"/>
      <c r="BA13" s="283"/>
      <c r="BB13" s="283">
        <f t="shared" si="8"/>
        <v>0</v>
      </c>
      <c r="BC13" s="283">
        <f t="shared" si="9"/>
        <v>0</v>
      </c>
      <c r="BD13" s="350">
        <f t="shared" si="10"/>
        <v>0</v>
      </c>
    </row>
    <row r="14" spans="1:57">
      <c r="A14" s="12" t="s">
        <v>115</v>
      </c>
      <c r="B14" s="351">
        <v>2104.8630414698164</v>
      </c>
      <c r="C14" s="283">
        <v>4604.4286300168051</v>
      </c>
      <c r="D14" s="283">
        <v>4996.307853203909</v>
      </c>
      <c r="E14" s="283">
        <v>2149.4323663839632</v>
      </c>
      <c r="F14" s="283">
        <v>4318.4644802685334</v>
      </c>
      <c r="G14" s="283">
        <v>5893.4076215429795</v>
      </c>
      <c r="H14" s="341">
        <f t="shared" si="11"/>
        <v>4254.2954078537796</v>
      </c>
      <c r="I14" s="341">
        <f t="shared" si="0"/>
        <v>8922.8931102853385</v>
      </c>
      <c r="J14" s="341">
        <f t="shared" si="1"/>
        <v>10889.715474746889</v>
      </c>
      <c r="K14" s="296">
        <f t="shared" si="12"/>
        <v>6588.5942590695595</v>
      </c>
      <c r="L14" s="12" t="s">
        <v>115</v>
      </c>
      <c r="M14" s="283">
        <v>204.78045650000001</v>
      </c>
      <c r="N14" s="283">
        <v>219.11508180000001</v>
      </c>
      <c r="O14" s="283">
        <v>247.6000425</v>
      </c>
      <c r="P14" s="283">
        <v>716.73156740000002</v>
      </c>
      <c r="Q14" s="283">
        <v>766.90283199999999</v>
      </c>
      <c r="R14" s="283">
        <v>866.60020020000002</v>
      </c>
      <c r="S14" s="283">
        <v>204.78045650000001</v>
      </c>
      <c r="T14" s="283">
        <v>219.11508180000001</v>
      </c>
      <c r="U14" s="283">
        <v>247.6000425</v>
      </c>
      <c r="V14" s="283">
        <v>614.34136960000001</v>
      </c>
      <c r="W14" s="283">
        <v>657.34527589999993</v>
      </c>
      <c r="X14" s="283">
        <v>742.80016179999996</v>
      </c>
      <c r="Y14" s="283">
        <v>307.1706848</v>
      </c>
      <c r="Z14" s="283">
        <v>328.67263789999998</v>
      </c>
      <c r="AA14" s="283">
        <v>371.40008080000001</v>
      </c>
      <c r="AB14" s="283"/>
      <c r="AC14" s="283"/>
      <c r="AD14" s="283"/>
      <c r="AE14" s="341">
        <f t="shared" si="2"/>
        <v>2047.8045348000001</v>
      </c>
      <c r="AF14" s="341">
        <f t="shared" si="3"/>
        <v>2191.1509093999998</v>
      </c>
      <c r="AG14" s="342">
        <f t="shared" si="4"/>
        <v>2476.0005277999999</v>
      </c>
      <c r="AH14" s="12" t="s">
        <v>115</v>
      </c>
      <c r="AI14" s="283">
        <v>244</v>
      </c>
      <c r="AJ14" s="283">
        <v>244</v>
      </c>
      <c r="AK14" s="283">
        <v>244</v>
      </c>
      <c r="AL14" s="283">
        <v>50</v>
      </c>
      <c r="AM14" s="283">
        <v>50</v>
      </c>
      <c r="AN14" s="283">
        <v>50</v>
      </c>
      <c r="AO14" s="283"/>
      <c r="AP14" s="283">
        <v>6331</v>
      </c>
      <c r="AQ14" s="283">
        <v>14823.26446</v>
      </c>
      <c r="AR14" s="283">
        <f t="shared" si="5"/>
        <v>294</v>
      </c>
      <c r="AS14" s="283">
        <f t="shared" si="6"/>
        <v>6625</v>
      </c>
      <c r="AT14" s="350">
        <f t="shared" si="7"/>
        <v>15117.26446</v>
      </c>
      <c r="AU14" s="12" t="s">
        <v>115</v>
      </c>
      <c r="AV14" s="283">
        <v>1224</v>
      </c>
      <c r="AW14" s="283">
        <v>1224</v>
      </c>
      <c r="AX14" s="283">
        <v>1224</v>
      </c>
      <c r="AY14" s="283"/>
      <c r="AZ14" s="283"/>
      <c r="BA14" s="283"/>
      <c r="BB14" s="283">
        <f t="shared" si="8"/>
        <v>1224</v>
      </c>
      <c r="BC14" s="283">
        <f t="shared" si="9"/>
        <v>1224</v>
      </c>
      <c r="BD14" s="350">
        <f t="shared" si="10"/>
        <v>1224</v>
      </c>
    </row>
    <row r="15" spans="1:57">
      <c r="A15" s="9" t="s">
        <v>103</v>
      </c>
      <c r="B15" s="354">
        <v>189.1771732122225</v>
      </c>
      <c r="C15" s="339">
        <v>140.93958649899071</v>
      </c>
      <c r="D15" s="339">
        <v>137.2896605258415</v>
      </c>
      <c r="E15" s="339">
        <v>193.18289649830751</v>
      </c>
      <c r="F15" s="339">
        <v>132.18634646475226</v>
      </c>
      <c r="G15" s="339">
        <v>161.94036786248083</v>
      </c>
      <c r="H15" s="296">
        <f t="shared" si="11"/>
        <v>382.36006971053001</v>
      </c>
      <c r="I15" s="296">
        <f t="shared" si="0"/>
        <v>273.12593296374297</v>
      </c>
      <c r="J15" s="296">
        <f t="shared" si="1"/>
        <v>299.23002838832235</v>
      </c>
      <c r="K15" s="296">
        <f t="shared" si="12"/>
        <v>327.74300133713649</v>
      </c>
      <c r="L15" s="9" t="s">
        <v>103</v>
      </c>
      <c r="M15" s="339">
        <v>71.400001529999997</v>
      </c>
      <c r="N15" s="339">
        <v>71.400001529999997</v>
      </c>
      <c r="O15" s="339">
        <v>80.682001729999996</v>
      </c>
      <c r="P15" s="339">
        <v>71.400001529999997</v>
      </c>
      <c r="Q15" s="339">
        <v>71.400001529999997</v>
      </c>
      <c r="R15" s="339">
        <v>80.682001729999996</v>
      </c>
      <c r="S15" s="339">
        <v>71.400001529999997</v>
      </c>
      <c r="T15" s="339">
        <v>71.400001529999997</v>
      </c>
      <c r="U15" s="339">
        <v>80.682001729999996</v>
      </c>
      <c r="V15" s="339"/>
      <c r="W15" s="339"/>
      <c r="X15" s="339"/>
      <c r="Y15" s="339"/>
      <c r="Z15" s="339"/>
      <c r="AA15" s="339"/>
      <c r="AB15" s="339"/>
      <c r="AC15" s="339"/>
      <c r="AD15" s="339"/>
      <c r="AE15" s="296">
        <f t="shared" si="2"/>
        <v>214.20000458999999</v>
      </c>
      <c r="AF15" s="296">
        <f t="shared" si="3"/>
        <v>214.20000458999999</v>
      </c>
      <c r="AG15" s="343">
        <f t="shared" si="4"/>
        <v>242.04600518999999</v>
      </c>
      <c r="AH15" s="9" t="s">
        <v>103</v>
      </c>
      <c r="AI15" s="339"/>
      <c r="AJ15" s="339"/>
      <c r="AK15" s="339"/>
      <c r="AL15" s="339">
        <v>53.747999999999998</v>
      </c>
      <c r="AM15" s="339">
        <v>53.747999999999998</v>
      </c>
      <c r="AN15" s="339">
        <v>53.747999999999998</v>
      </c>
      <c r="AO15" s="339">
        <v>0</v>
      </c>
      <c r="AP15" s="339">
        <v>0</v>
      </c>
      <c r="AQ15" s="339">
        <v>0</v>
      </c>
      <c r="AR15" s="339">
        <f t="shared" si="5"/>
        <v>53.747999999999998</v>
      </c>
      <c r="AS15" s="339">
        <f t="shared" si="6"/>
        <v>53.747999999999998</v>
      </c>
      <c r="AT15" s="347">
        <f t="shared" si="7"/>
        <v>53.747999999999998</v>
      </c>
      <c r="AU15" s="9" t="s">
        <v>103</v>
      </c>
      <c r="AV15" s="354"/>
      <c r="AW15" s="339"/>
      <c r="AX15" s="339"/>
      <c r="AY15" s="339"/>
      <c r="AZ15" s="339"/>
      <c r="BA15" s="339"/>
      <c r="BB15" s="339">
        <f t="shared" si="8"/>
        <v>0</v>
      </c>
      <c r="BC15" s="339">
        <f t="shared" si="9"/>
        <v>0</v>
      </c>
      <c r="BD15" s="347">
        <f t="shared" si="10"/>
        <v>0</v>
      </c>
    </row>
    <row r="16" spans="1:57">
      <c r="A16" s="10" t="s">
        <v>104</v>
      </c>
      <c r="B16" s="353">
        <v>321.60119525532241</v>
      </c>
      <c r="C16" s="189">
        <v>239.59729764023049</v>
      </c>
      <c r="D16" s="189">
        <v>233.39242347054716</v>
      </c>
      <c r="E16" s="189">
        <v>328.41092485849094</v>
      </c>
      <c r="F16" s="189">
        <v>224.71678954526152</v>
      </c>
      <c r="G16" s="189">
        <v>275.29862604636696</v>
      </c>
      <c r="H16" s="72">
        <f t="shared" si="11"/>
        <v>650.01212011381335</v>
      </c>
      <c r="I16" s="72">
        <f t="shared" si="0"/>
        <v>464.31408718549199</v>
      </c>
      <c r="J16" s="72">
        <f t="shared" si="1"/>
        <v>508.69104951691412</v>
      </c>
      <c r="K16" s="72">
        <f t="shared" si="12"/>
        <v>557.16310364965261</v>
      </c>
      <c r="L16" s="10" t="s">
        <v>104</v>
      </c>
      <c r="M16" s="189">
        <v>107.8000031</v>
      </c>
      <c r="N16" s="189">
        <v>107.8000031</v>
      </c>
      <c r="O16" s="189">
        <v>121.8140035</v>
      </c>
      <c r="P16" s="189">
        <v>107.8000031</v>
      </c>
      <c r="Q16" s="189">
        <v>107.8000031</v>
      </c>
      <c r="R16" s="189">
        <v>121.8140035</v>
      </c>
      <c r="S16" s="189">
        <v>107.8000031</v>
      </c>
      <c r="T16" s="189">
        <v>107.8000031</v>
      </c>
      <c r="U16" s="189">
        <v>121.8140035</v>
      </c>
      <c r="V16" s="189"/>
      <c r="W16" s="189"/>
      <c r="X16" s="189"/>
      <c r="Y16" s="189"/>
      <c r="Z16" s="189"/>
      <c r="AA16" s="189"/>
      <c r="AB16" s="189"/>
      <c r="AC16" s="189"/>
      <c r="AD16" s="189"/>
      <c r="AE16" s="72">
        <f t="shared" si="2"/>
        <v>323.40000929999997</v>
      </c>
      <c r="AF16" s="72">
        <f t="shared" si="3"/>
        <v>323.40000929999997</v>
      </c>
      <c r="AG16" s="345">
        <f t="shared" si="4"/>
        <v>365.44201049999998</v>
      </c>
      <c r="AH16" s="10" t="s">
        <v>104</v>
      </c>
      <c r="AI16" s="189"/>
      <c r="AJ16" s="189"/>
      <c r="AK16" s="189"/>
      <c r="AL16" s="189">
        <v>57.040999999999997</v>
      </c>
      <c r="AM16" s="189">
        <v>57.040999999999997</v>
      </c>
      <c r="AN16" s="189">
        <v>57.040999999999997</v>
      </c>
      <c r="AO16" s="189"/>
      <c r="AP16" s="189">
        <v>1257</v>
      </c>
      <c r="AQ16" s="189">
        <v>1257</v>
      </c>
      <c r="AR16" s="189">
        <f t="shared" si="5"/>
        <v>57.040999999999997</v>
      </c>
      <c r="AS16" s="189">
        <f t="shared" si="6"/>
        <v>1314.0409999999999</v>
      </c>
      <c r="AT16" s="352">
        <f t="shared" si="7"/>
        <v>1314.0409999999999</v>
      </c>
      <c r="AU16" s="10" t="s">
        <v>104</v>
      </c>
      <c r="AV16" s="353"/>
      <c r="AW16" s="189"/>
      <c r="AX16" s="189"/>
      <c r="AY16" s="189"/>
      <c r="AZ16" s="189"/>
      <c r="BA16" s="189"/>
      <c r="BB16" s="189">
        <f t="shared" si="8"/>
        <v>0</v>
      </c>
      <c r="BC16" s="189">
        <f t="shared" si="9"/>
        <v>0</v>
      </c>
      <c r="BD16" s="352">
        <f t="shared" si="10"/>
        <v>0</v>
      </c>
    </row>
    <row r="17" spans="1:56">
      <c r="A17" s="10" t="s">
        <v>105</v>
      </c>
      <c r="B17" s="353">
        <v>1683.6768524475503</v>
      </c>
      <c r="C17" s="189">
        <v>1254.3623279309497</v>
      </c>
      <c r="D17" s="189">
        <v>1221.877986560416</v>
      </c>
      <c r="E17" s="189">
        <v>1719.3277899236355</v>
      </c>
      <c r="F17" s="189">
        <v>1176.4584911237914</v>
      </c>
      <c r="G17" s="189">
        <v>1441.2692832714565</v>
      </c>
      <c r="H17" s="72">
        <f t="shared" si="11"/>
        <v>3403.0046423711856</v>
      </c>
      <c r="I17" s="72">
        <f t="shared" si="0"/>
        <v>2430.8208190547412</v>
      </c>
      <c r="J17" s="72">
        <f t="shared" si="1"/>
        <v>2663.1472698318726</v>
      </c>
      <c r="K17" s="72">
        <f t="shared" si="12"/>
        <v>2916.9127307129634</v>
      </c>
      <c r="L17" s="10" t="s">
        <v>105</v>
      </c>
      <c r="M17" s="189">
        <v>312.2000122</v>
      </c>
      <c r="N17" s="189">
        <v>312.2000122</v>
      </c>
      <c r="O17" s="189">
        <v>352.78601370000001</v>
      </c>
      <c r="P17" s="189">
        <v>312.2000122</v>
      </c>
      <c r="Q17" s="189">
        <v>312.2000122</v>
      </c>
      <c r="R17" s="189">
        <v>352.78601370000001</v>
      </c>
      <c r="S17" s="189">
        <v>312.2000122</v>
      </c>
      <c r="T17" s="189">
        <v>312.2000122</v>
      </c>
      <c r="U17" s="189">
        <v>352.78601370000001</v>
      </c>
      <c r="V17" s="189"/>
      <c r="W17" s="189"/>
      <c r="X17" s="189"/>
      <c r="Y17" s="189"/>
      <c r="Z17" s="189"/>
      <c r="AA17" s="189"/>
      <c r="AB17" s="189"/>
      <c r="AC17" s="189"/>
      <c r="AD17" s="189"/>
      <c r="AE17" s="72">
        <f t="shared" si="2"/>
        <v>936.60003660000007</v>
      </c>
      <c r="AF17" s="72">
        <f t="shared" si="3"/>
        <v>936.60003660000007</v>
      </c>
      <c r="AG17" s="345">
        <f t="shared" si="4"/>
        <v>1058.3580411</v>
      </c>
      <c r="AH17" s="10" t="s">
        <v>105</v>
      </c>
      <c r="AI17" s="189"/>
      <c r="AJ17" s="189"/>
      <c r="AK17" s="189"/>
      <c r="AL17" s="189"/>
      <c r="AM17" s="189"/>
      <c r="AN17" s="189"/>
      <c r="AO17" s="189"/>
      <c r="AP17" s="189">
        <v>6528</v>
      </c>
      <c r="AQ17" s="189">
        <v>0</v>
      </c>
      <c r="AR17" s="189">
        <f t="shared" si="5"/>
        <v>0</v>
      </c>
      <c r="AS17" s="189">
        <f t="shared" si="6"/>
        <v>6528</v>
      </c>
      <c r="AT17" s="352">
        <f t="shared" si="7"/>
        <v>0</v>
      </c>
      <c r="AU17" s="10" t="s">
        <v>105</v>
      </c>
      <c r="AV17" s="353"/>
      <c r="AW17" s="189"/>
      <c r="AX17" s="189"/>
      <c r="AY17" s="189"/>
      <c r="AZ17" s="189"/>
      <c r="BA17" s="189"/>
      <c r="BB17" s="189">
        <f t="shared" si="8"/>
        <v>0</v>
      </c>
      <c r="BC17" s="189">
        <f t="shared" si="9"/>
        <v>0</v>
      </c>
      <c r="BD17" s="352">
        <f t="shared" si="10"/>
        <v>0</v>
      </c>
    </row>
    <row r="18" spans="1:56">
      <c r="A18" s="11" t="s">
        <v>106</v>
      </c>
      <c r="B18" s="348">
        <v>454.02521729842232</v>
      </c>
      <c r="C18" s="282">
        <v>338.25500878147028</v>
      </c>
      <c r="D18" s="282">
        <v>329.49518641525282</v>
      </c>
      <c r="E18" s="282">
        <v>463.63895321867443</v>
      </c>
      <c r="F18" s="282">
        <v>317.24723262577072</v>
      </c>
      <c r="G18" s="282">
        <v>388.65688423025307</v>
      </c>
      <c r="H18" s="340">
        <f t="shared" si="11"/>
        <v>917.66417051709675</v>
      </c>
      <c r="I18" s="340">
        <f t="shared" si="0"/>
        <v>655.50224140724094</v>
      </c>
      <c r="J18" s="340">
        <f t="shared" si="1"/>
        <v>718.15207064550589</v>
      </c>
      <c r="K18" s="72">
        <f t="shared" si="12"/>
        <v>786.5832059621689</v>
      </c>
      <c r="L18" s="11" t="s">
        <v>106</v>
      </c>
      <c r="M18" s="282">
        <v>88.199996949999999</v>
      </c>
      <c r="N18" s="282">
        <v>88.199996949999999</v>
      </c>
      <c r="O18" s="282">
        <v>99.665996519999993</v>
      </c>
      <c r="P18" s="282">
        <v>88.199996949999999</v>
      </c>
      <c r="Q18" s="282">
        <v>88.199996949999999</v>
      </c>
      <c r="R18" s="282">
        <v>99.665996519999993</v>
      </c>
      <c r="S18" s="282">
        <v>88.199996949999999</v>
      </c>
      <c r="T18" s="282">
        <v>88.199996949999999</v>
      </c>
      <c r="U18" s="282">
        <v>99.665996519999993</v>
      </c>
      <c r="V18" s="282"/>
      <c r="W18" s="282"/>
      <c r="X18" s="282"/>
      <c r="Y18" s="282"/>
      <c r="Z18" s="282"/>
      <c r="AA18" s="282"/>
      <c r="AB18" s="282"/>
      <c r="AC18" s="282"/>
      <c r="AD18" s="282"/>
      <c r="AE18" s="340">
        <f t="shared" si="2"/>
        <v>264.59999084999998</v>
      </c>
      <c r="AF18" s="340">
        <f t="shared" si="3"/>
        <v>264.59999084999998</v>
      </c>
      <c r="AG18" s="344">
        <f t="shared" si="4"/>
        <v>298.99798955999995</v>
      </c>
      <c r="AH18" s="11" t="s">
        <v>106</v>
      </c>
      <c r="AI18" s="282"/>
      <c r="AJ18" s="282"/>
      <c r="AK18" s="282"/>
      <c r="AL18" s="282"/>
      <c r="AM18" s="282"/>
      <c r="AN18" s="282"/>
      <c r="AO18" s="282"/>
      <c r="AP18" s="282">
        <v>2054</v>
      </c>
      <c r="AQ18" s="282">
        <v>2088.8894799999998</v>
      </c>
      <c r="AR18" s="282">
        <f t="shared" si="5"/>
        <v>0</v>
      </c>
      <c r="AS18" s="282">
        <f t="shared" si="6"/>
        <v>2054</v>
      </c>
      <c r="AT18" s="349">
        <f t="shared" si="7"/>
        <v>2088.8894799999998</v>
      </c>
      <c r="AU18" s="11" t="s">
        <v>106</v>
      </c>
      <c r="AV18" s="348"/>
      <c r="AW18" s="282"/>
      <c r="AX18" s="282"/>
      <c r="AY18" s="282"/>
      <c r="AZ18" s="282"/>
      <c r="BA18" s="282"/>
      <c r="BB18" s="282">
        <f t="shared" si="8"/>
        <v>0</v>
      </c>
      <c r="BC18" s="282">
        <f t="shared" si="9"/>
        <v>0</v>
      </c>
      <c r="BD18" s="349">
        <f t="shared" si="10"/>
        <v>0</v>
      </c>
    </row>
    <row r="19" spans="1:56">
      <c r="A19" s="9" t="s">
        <v>99</v>
      </c>
      <c r="B19" s="354">
        <v>25.489724768614451</v>
      </c>
      <c r="C19" s="339">
        <v>55.759266129686509</v>
      </c>
      <c r="D19" s="339">
        <v>82.295853141147674</v>
      </c>
      <c r="E19" s="339">
        <v>26.02945576431441</v>
      </c>
      <c r="F19" s="339">
        <v>52.296262918948237</v>
      </c>
      <c r="G19" s="339">
        <v>97.072282648158037</v>
      </c>
      <c r="H19" s="296">
        <f t="shared" ref="H19:H21" si="13">B19+E19</f>
        <v>51.519180532928857</v>
      </c>
      <c r="I19" s="296">
        <f t="shared" ref="I19:J21" si="14">C19+F19</f>
        <v>108.05552904863475</v>
      </c>
      <c r="J19" s="296">
        <f t="shared" si="14"/>
        <v>179.36813578930571</v>
      </c>
      <c r="K19" s="296">
        <f t="shared" si="12"/>
        <v>79.787354790781805</v>
      </c>
      <c r="L19" s="9" t="s">
        <v>99</v>
      </c>
      <c r="M19" s="339"/>
      <c r="N19" s="339"/>
      <c r="O19" s="354"/>
      <c r="P19" s="339"/>
      <c r="Q19" s="339"/>
      <c r="R19" s="339"/>
      <c r="S19" s="339"/>
      <c r="T19" s="339"/>
      <c r="U19" s="339"/>
      <c r="V19" s="339"/>
      <c r="W19" s="339"/>
      <c r="X19" s="339"/>
      <c r="Y19" s="339"/>
      <c r="Z19" s="339"/>
      <c r="AA19" s="339"/>
      <c r="AB19" s="339"/>
      <c r="AC19" s="339"/>
      <c r="AD19" s="339"/>
      <c r="AE19" s="296">
        <f t="shared" si="2"/>
        <v>0</v>
      </c>
      <c r="AF19" s="296">
        <f t="shared" si="3"/>
        <v>0</v>
      </c>
      <c r="AG19" s="343">
        <f t="shared" si="4"/>
        <v>0</v>
      </c>
      <c r="AH19" s="9" t="s">
        <v>99</v>
      </c>
      <c r="AI19" s="339">
        <v>106.21000002</v>
      </c>
      <c r="AJ19" s="339">
        <v>106.21000002</v>
      </c>
      <c r="AK19" s="339">
        <v>106.21000002</v>
      </c>
      <c r="AL19" s="339">
        <v>12.71</v>
      </c>
      <c r="AM19" s="339">
        <v>11.83</v>
      </c>
      <c r="AN19" s="339">
        <v>11.83</v>
      </c>
      <c r="AO19" s="339"/>
      <c r="AP19" s="339">
        <v>1791</v>
      </c>
      <c r="AQ19" s="339">
        <v>1895.010092</v>
      </c>
      <c r="AR19" s="339">
        <f t="shared" si="5"/>
        <v>118.92000002</v>
      </c>
      <c r="AS19" s="339">
        <f t="shared" si="6"/>
        <v>1909.04000002</v>
      </c>
      <c r="AT19" s="347">
        <f t="shared" si="7"/>
        <v>2013.05009202</v>
      </c>
      <c r="AU19" s="9" t="s">
        <v>99</v>
      </c>
      <c r="AV19" s="354"/>
      <c r="AW19" s="339"/>
      <c r="AX19" s="339"/>
      <c r="AY19" s="339"/>
      <c r="AZ19" s="339"/>
      <c r="BA19" s="339"/>
      <c r="BB19" s="339">
        <f t="shared" si="8"/>
        <v>0</v>
      </c>
      <c r="BC19" s="339">
        <f t="shared" si="9"/>
        <v>0</v>
      </c>
      <c r="BD19" s="347">
        <f t="shared" si="10"/>
        <v>0</v>
      </c>
    </row>
    <row r="20" spans="1:56">
      <c r="A20" s="10" t="s">
        <v>116</v>
      </c>
      <c r="B20" s="353">
        <v>0</v>
      </c>
      <c r="C20" s="189">
        <v>0</v>
      </c>
      <c r="D20" s="189">
        <v>0</v>
      </c>
      <c r="E20" s="189">
        <v>0</v>
      </c>
      <c r="F20" s="189">
        <v>0</v>
      </c>
      <c r="G20" s="189">
        <v>0</v>
      </c>
      <c r="H20" s="72">
        <f t="shared" si="13"/>
        <v>0</v>
      </c>
      <c r="I20" s="72">
        <f t="shared" si="14"/>
        <v>0</v>
      </c>
      <c r="J20" s="72">
        <f t="shared" si="14"/>
        <v>0</v>
      </c>
      <c r="K20" s="72">
        <f t="shared" si="12"/>
        <v>0</v>
      </c>
      <c r="L20" s="10" t="s">
        <v>116</v>
      </c>
      <c r="M20" s="189"/>
      <c r="N20" s="189"/>
      <c r="O20" s="353"/>
      <c r="P20" s="189"/>
      <c r="Q20" s="189"/>
      <c r="R20" s="189"/>
      <c r="S20" s="189"/>
      <c r="T20" s="189"/>
      <c r="U20" s="189"/>
      <c r="V20" s="189"/>
      <c r="W20" s="189"/>
      <c r="X20" s="189"/>
      <c r="Y20" s="189"/>
      <c r="Z20" s="189"/>
      <c r="AA20" s="189"/>
      <c r="AB20" s="189"/>
      <c r="AC20" s="189"/>
      <c r="AD20" s="189"/>
      <c r="AE20" s="72">
        <f t="shared" si="2"/>
        <v>0</v>
      </c>
      <c r="AF20" s="72">
        <f t="shared" si="3"/>
        <v>0</v>
      </c>
      <c r="AG20" s="345">
        <f t="shared" si="4"/>
        <v>0</v>
      </c>
      <c r="AH20" s="10" t="s">
        <v>116</v>
      </c>
      <c r="AI20" s="189"/>
      <c r="AJ20" s="189"/>
      <c r="AK20" s="189"/>
      <c r="AL20" s="353"/>
      <c r="AM20" s="189"/>
      <c r="AN20" s="189"/>
      <c r="AO20" s="189"/>
      <c r="AP20" s="189"/>
      <c r="AQ20" s="189"/>
      <c r="AR20" s="189">
        <f t="shared" si="5"/>
        <v>0</v>
      </c>
      <c r="AS20" s="189">
        <f t="shared" si="6"/>
        <v>0</v>
      </c>
      <c r="AT20" s="352">
        <f t="shared" si="7"/>
        <v>0</v>
      </c>
      <c r="AU20" s="10" t="s">
        <v>116</v>
      </c>
      <c r="AV20" s="353"/>
      <c r="AW20" s="189"/>
      <c r="AX20" s="189"/>
      <c r="AY20" s="189"/>
      <c r="AZ20" s="189"/>
      <c r="BA20" s="189"/>
      <c r="BB20" s="189">
        <f t="shared" si="8"/>
        <v>0</v>
      </c>
      <c r="BC20" s="189">
        <f t="shared" si="9"/>
        <v>0</v>
      </c>
      <c r="BD20" s="352">
        <f t="shared" si="10"/>
        <v>0</v>
      </c>
    </row>
    <row r="21" spans="1:56">
      <c r="A21" s="11" t="s">
        <v>101</v>
      </c>
      <c r="B21" s="348">
        <v>40.685522226826912</v>
      </c>
      <c r="C21" s="282">
        <v>89.000367091615004</v>
      </c>
      <c r="D21" s="282">
        <v>131.35684251375494</v>
      </c>
      <c r="E21" s="282">
        <v>41.547015931501846</v>
      </c>
      <c r="F21" s="282">
        <v>83.472881197551999</v>
      </c>
      <c r="G21" s="282">
        <v>154.9422973037907</v>
      </c>
      <c r="H21" s="340">
        <f t="shared" si="13"/>
        <v>82.232538158328765</v>
      </c>
      <c r="I21" s="340">
        <f t="shared" si="14"/>
        <v>172.473248289167</v>
      </c>
      <c r="J21" s="340">
        <f t="shared" si="14"/>
        <v>286.29913981754567</v>
      </c>
      <c r="K21" s="72">
        <f t="shared" si="12"/>
        <v>127.35289322374788</v>
      </c>
      <c r="L21" s="11" t="s">
        <v>101</v>
      </c>
      <c r="M21" s="282"/>
      <c r="N21" s="282"/>
      <c r="O21" s="348"/>
      <c r="P21" s="282"/>
      <c r="Q21" s="282"/>
      <c r="R21" s="282"/>
      <c r="S21" s="282"/>
      <c r="T21" s="282"/>
      <c r="U21" s="282"/>
      <c r="V21" s="282"/>
      <c r="W21" s="282"/>
      <c r="X21" s="282"/>
      <c r="Y21" s="282"/>
      <c r="Z21" s="282"/>
      <c r="AA21" s="282"/>
      <c r="AB21" s="282"/>
      <c r="AC21" s="282"/>
      <c r="AD21" s="282"/>
      <c r="AE21" s="340">
        <f t="shared" si="2"/>
        <v>0</v>
      </c>
      <c r="AF21" s="340">
        <f t="shared" si="3"/>
        <v>0</v>
      </c>
      <c r="AG21" s="344">
        <f t="shared" si="4"/>
        <v>0</v>
      </c>
      <c r="AH21" s="11" t="s">
        <v>101</v>
      </c>
      <c r="AI21" s="282">
        <v>62.67</v>
      </c>
      <c r="AJ21" s="282">
        <v>62.67</v>
      </c>
      <c r="AK21" s="282">
        <v>62.67</v>
      </c>
      <c r="AL21" s="282">
        <v>82.32</v>
      </c>
      <c r="AM21" s="282">
        <v>82.32</v>
      </c>
      <c r="AN21" s="282">
        <v>82.32</v>
      </c>
      <c r="AO21" s="282"/>
      <c r="AP21" s="282">
        <v>3020</v>
      </c>
      <c r="AQ21" s="282">
        <v>3789.3315699999998</v>
      </c>
      <c r="AR21" s="282">
        <f t="shared" si="5"/>
        <v>144.99</v>
      </c>
      <c r="AS21" s="282">
        <f t="shared" si="6"/>
        <v>3164.99</v>
      </c>
      <c r="AT21" s="349">
        <f t="shared" si="7"/>
        <v>3934.3215700000001</v>
      </c>
      <c r="AU21" s="11" t="s">
        <v>101</v>
      </c>
      <c r="AV21" s="348"/>
      <c r="AW21" s="282"/>
      <c r="AX21" s="282"/>
      <c r="AY21" s="282"/>
      <c r="AZ21" s="282"/>
      <c r="BA21" s="282"/>
      <c r="BB21" s="282">
        <f t="shared" si="8"/>
        <v>0</v>
      </c>
      <c r="BC21" s="282">
        <f t="shared" si="9"/>
        <v>0</v>
      </c>
      <c r="BD21" s="349">
        <f t="shared" si="10"/>
        <v>0</v>
      </c>
    </row>
    <row r="22" spans="1:56">
      <c r="A22" s="12" t="s">
        <v>117</v>
      </c>
      <c r="B22" s="351">
        <v>560.77236949043277</v>
      </c>
      <c r="C22" s="283">
        <v>883.2434016702274</v>
      </c>
      <c r="D22" s="283">
        <v>860.36996268513496</v>
      </c>
      <c r="E22" s="283">
        <v>927.05068715292145</v>
      </c>
      <c r="F22" s="283">
        <v>1341.0684317784187</v>
      </c>
      <c r="G22" s="283">
        <v>1642.9315203810932</v>
      </c>
      <c r="H22" s="341">
        <f t="shared" ref="H22:J28" si="15">B22+E22</f>
        <v>1487.8230566433542</v>
      </c>
      <c r="I22" s="341">
        <f t="shared" si="15"/>
        <v>2224.3118334486462</v>
      </c>
      <c r="J22" s="341">
        <f t="shared" si="15"/>
        <v>2503.3014830662282</v>
      </c>
      <c r="K22" s="296">
        <f t="shared" si="12"/>
        <v>1856.0674450460001</v>
      </c>
      <c r="L22" s="12" t="s">
        <v>117</v>
      </c>
      <c r="M22" s="283">
        <v>1000</v>
      </c>
      <c r="N22" s="283">
        <v>1500</v>
      </c>
      <c r="O22" s="283">
        <v>1695</v>
      </c>
      <c r="P22" s="283"/>
      <c r="Q22" s="283">
        <v>3200</v>
      </c>
      <c r="R22" s="283">
        <v>3616</v>
      </c>
      <c r="S22" s="283">
        <v>650</v>
      </c>
      <c r="T22" s="283">
        <v>850</v>
      </c>
      <c r="U22" s="283">
        <v>960.5</v>
      </c>
      <c r="V22" s="283">
        <v>940</v>
      </c>
      <c r="W22" s="283">
        <v>2000</v>
      </c>
      <c r="X22" s="283">
        <v>2260</v>
      </c>
      <c r="Y22" s="283">
        <v>950.41577150000001</v>
      </c>
      <c r="Z22" s="283">
        <v>1187.087524</v>
      </c>
      <c r="AA22" s="283">
        <v>1341.4089019999999</v>
      </c>
      <c r="AB22" s="283">
        <v>950.41577150000001</v>
      </c>
      <c r="AC22" s="283">
        <v>1187.087524</v>
      </c>
      <c r="AD22" s="283">
        <v>1341.4089019999999</v>
      </c>
      <c r="AE22" s="341">
        <f t="shared" si="2"/>
        <v>4490.8315430000002</v>
      </c>
      <c r="AF22" s="341">
        <f t="shared" si="3"/>
        <v>9924.175048000001</v>
      </c>
      <c r="AG22" s="342">
        <f t="shared" si="4"/>
        <v>11214.317803999998</v>
      </c>
      <c r="AH22" s="12" t="s">
        <v>117</v>
      </c>
      <c r="AI22" s="283">
        <v>87</v>
      </c>
      <c r="AJ22" s="283">
        <v>87</v>
      </c>
      <c r="AK22" s="283">
        <v>87</v>
      </c>
      <c r="AL22" s="283">
        <v>128.00000001000001</v>
      </c>
      <c r="AM22" s="283">
        <v>38</v>
      </c>
      <c r="AN22" s="283"/>
      <c r="AO22" s="283"/>
      <c r="AP22" s="283">
        <v>0</v>
      </c>
      <c r="AQ22" s="283">
        <v>44.611832290000002</v>
      </c>
      <c r="AR22" s="283">
        <f t="shared" si="5"/>
        <v>215.00000001000001</v>
      </c>
      <c r="AS22" s="283">
        <f t="shared" si="6"/>
        <v>125</v>
      </c>
      <c r="AT22" s="350">
        <f t="shared" si="7"/>
        <v>131.61183229</v>
      </c>
      <c r="AU22" s="12" t="s">
        <v>117</v>
      </c>
      <c r="AV22" s="351"/>
      <c r="AW22" s="283"/>
      <c r="AX22" s="283"/>
      <c r="AY22" s="283"/>
      <c r="AZ22" s="283"/>
      <c r="BA22" s="283"/>
      <c r="BB22" s="283">
        <f t="shared" si="8"/>
        <v>0</v>
      </c>
      <c r="BC22" s="283">
        <f t="shared" si="9"/>
        <v>0</v>
      </c>
      <c r="BD22" s="350">
        <f t="shared" si="10"/>
        <v>0</v>
      </c>
    </row>
    <row r="23" spans="1:56">
      <c r="A23" s="9" t="s">
        <v>118</v>
      </c>
      <c r="B23" s="354">
        <v>110.2920783257356</v>
      </c>
      <c r="C23" s="339">
        <v>80.422018456278622</v>
      </c>
      <c r="D23" s="339">
        <v>71.217565218300876</v>
      </c>
      <c r="E23" s="339">
        <v>0</v>
      </c>
      <c r="F23" s="339">
        <v>0</v>
      </c>
      <c r="G23" s="339">
        <v>0</v>
      </c>
      <c r="H23" s="296">
        <f t="shared" si="15"/>
        <v>110.2920783257356</v>
      </c>
      <c r="I23" s="296">
        <f t="shared" si="15"/>
        <v>80.422018456278622</v>
      </c>
      <c r="J23" s="296">
        <f t="shared" si="15"/>
        <v>71.217565218300876</v>
      </c>
      <c r="K23" s="296">
        <f t="shared" si="12"/>
        <v>95.357048391007112</v>
      </c>
      <c r="L23" s="9" t="s">
        <v>118</v>
      </c>
      <c r="M23" s="339">
        <v>1423</v>
      </c>
      <c r="N23" s="339">
        <v>1423</v>
      </c>
      <c r="O23" s="339">
        <v>1607.99</v>
      </c>
      <c r="P23" s="339"/>
      <c r="Q23" s="339"/>
      <c r="R23" s="339"/>
      <c r="S23" s="339"/>
      <c r="T23" s="339"/>
      <c r="U23" s="339"/>
      <c r="V23" s="339"/>
      <c r="W23" s="339"/>
      <c r="X23" s="339"/>
      <c r="Y23" s="339"/>
      <c r="Z23" s="339"/>
      <c r="AA23" s="339"/>
      <c r="AB23" s="339"/>
      <c r="AC23" s="339"/>
      <c r="AD23" s="339"/>
      <c r="AE23" s="296">
        <f t="shared" si="2"/>
        <v>1423</v>
      </c>
      <c r="AF23" s="296">
        <f t="shared" si="3"/>
        <v>1423</v>
      </c>
      <c r="AG23" s="343">
        <f t="shared" si="4"/>
        <v>1607.99</v>
      </c>
      <c r="AH23" s="9" t="s">
        <v>118</v>
      </c>
      <c r="AI23" s="339"/>
      <c r="AJ23" s="339"/>
      <c r="AK23" s="339"/>
      <c r="AL23" s="339"/>
      <c r="AM23" s="339"/>
      <c r="AN23" s="339"/>
      <c r="AO23" s="339"/>
      <c r="AP23" s="339"/>
      <c r="AQ23" s="339"/>
      <c r="AR23" s="339">
        <f t="shared" si="5"/>
        <v>0</v>
      </c>
      <c r="AS23" s="339">
        <f t="shared" si="6"/>
        <v>0</v>
      </c>
      <c r="AT23" s="347">
        <f t="shared" si="7"/>
        <v>0</v>
      </c>
      <c r="AU23" s="9" t="s">
        <v>118</v>
      </c>
      <c r="AV23" s="354"/>
      <c r="AW23" s="339"/>
      <c r="AX23" s="339"/>
      <c r="AY23" s="339">
        <v>4455.9536132800004</v>
      </c>
      <c r="AZ23" s="339">
        <v>4455.9536132800004</v>
      </c>
      <c r="BA23" s="339">
        <v>4455.9536132800004</v>
      </c>
      <c r="BB23" s="339">
        <f t="shared" si="8"/>
        <v>4455.9536132800004</v>
      </c>
      <c r="BC23" s="339">
        <f t="shared" si="9"/>
        <v>4455.9536132800004</v>
      </c>
      <c r="BD23" s="347">
        <f t="shared" si="10"/>
        <v>4455.9536132800004</v>
      </c>
    </row>
    <row r="24" spans="1:56">
      <c r="A24" s="10" t="s">
        <v>119</v>
      </c>
      <c r="B24" s="353">
        <v>0</v>
      </c>
      <c r="C24" s="189">
        <v>0</v>
      </c>
      <c r="D24" s="189">
        <v>0</v>
      </c>
      <c r="E24" s="189">
        <v>0</v>
      </c>
      <c r="F24" s="189">
        <v>0</v>
      </c>
      <c r="G24" s="189">
        <v>0</v>
      </c>
      <c r="H24" s="72">
        <f t="shared" si="15"/>
        <v>0</v>
      </c>
      <c r="I24" s="72">
        <f t="shared" si="15"/>
        <v>0</v>
      </c>
      <c r="J24" s="72">
        <f t="shared" si="15"/>
        <v>0</v>
      </c>
      <c r="K24" s="72">
        <f t="shared" si="12"/>
        <v>0</v>
      </c>
      <c r="L24" s="10" t="s">
        <v>119</v>
      </c>
      <c r="M24" s="189">
        <v>1296</v>
      </c>
      <c r="N24" s="189">
        <v>1296</v>
      </c>
      <c r="O24" s="189">
        <v>1464.48</v>
      </c>
      <c r="P24" s="189"/>
      <c r="Q24" s="189"/>
      <c r="R24" s="189"/>
      <c r="S24" s="189"/>
      <c r="T24" s="189"/>
      <c r="U24" s="189"/>
      <c r="V24" s="189"/>
      <c r="W24" s="189"/>
      <c r="X24" s="189"/>
      <c r="Y24" s="189"/>
      <c r="Z24" s="189"/>
      <c r="AA24" s="189"/>
      <c r="AB24" s="189"/>
      <c r="AC24" s="189"/>
      <c r="AD24" s="189"/>
      <c r="AE24" s="72">
        <f t="shared" si="2"/>
        <v>1296</v>
      </c>
      <c r="AF24" s="72">
        <f t="shared" si="3"/>
        <v>1296</v>
      </c>
      <c r="AG24" s="345">
        <f t="shared" si="4"/>
        <v>1464.48</v>
      </c>
      <c r="AH24" s="10" t="s">
        <v>119</v>
      </c>
      <c r="AI24" s="189"/>
      <c r="AJ24" s="189"/>
      <c r="AK24" s="189"/>
      <c r="AL24" s="189"/>
      <c r="AM24" s="189"/>
      <c r="AN24" s="189"/>
      <c r="AO24" s="189"/>
      <c r="AP24" s="189"/>
      <c r="AQ24" s="189">
        <v>0</v>
      </c>
      <c r="AR24" s="189">
        <f t="shared" si="5"/>
        <v>0</v>
      </c>
      <c r="AS24" s="189">
        <f t="shared" si="6"/>
        <v>0</v>
      </c>
      <c r="AT24" s="352">
        <f t="shared" si="7"/>
        <v>0</v>
      </c>
      <c r="AU24" s="10" t="s">
        <v>119</v>
      </c>
      <c r="AV24" s="353"/>
      <c r="AW24" s="189"/>
      <c r="AX24" s="189"/>
      <c r="AY24" s="189">
        <v>5292.9404296900002</v>
      </c>
      <c r="AZ24" s="189">
        <v>5272.9404296900002</v>
      </c>
      <c r="BA24" s="189">
        <v>5272.9404296900002</v>
      </c>
      <c r="BB24" s="189">
        <f t="shared" si="8"/>
        <v>5292.9404296900002</v>
      </c>
      <c r="BC24" s="189">
        <f t="shared" si="9"/>
        <v>5272.9404296900002</v>
      </c>
      <c r="BD24" s="352">
        <f t="shared" si="10"/>
        <v>5272.9404296900002</v>
      </c>
    </row>
    <row r="25" spans="1:56">
      <c r="A25" s="11" t="s">
        <v>120</v>
      </c>
      <c r="B25" s="348">
        <v>297.78861147948612</v>
      </c>
      <c r="C25" s="282">
        <v>217.13944983195228</v>
      </c>
      <c r="D25" s="282">
        <v>192.28742608941235</v>
      </c>
      <c r="E25" s="282">
        <v>0</v>
      </c>
      <c r="F25" s="282">
        <v>0</v>
      </c>
      <c r="G25" s="282">
        <v>0</v>
      </c>
      <c r="H25" s="340">
        <f t="shared" si="15"/>
        <v>297.78861147948612</v>
      </c>
      <c r="I25" s="340">
        <f t="shared" si="15"/>
        <v>217.13944983195228</v>
      </c>
      <c r="J25" s="340">
        <f t="shared" si="15"/>
        <v>192.28742608941235</v>
      </c>
      <c r="K25" s="72">
        <f t="shared" si="12"/>
        <v>257.46403065571917</v>
      </c>
      <c r="L25" s="11" t="s">
        <v>120</v>
      </c>
      <c r="M25" s="282">
        <v>3575</v>
      </c>
      <c r="N25" s="282">
        <v>3575</v>
      </c>
      <c r="O25" s="282">
        <v>4039.75</v>
      </c>
      <c r="P25" s="282"/>
      <c r="Q25" s="282"/>
      <c r="R25" s="282"/>
      <c r="S25" s="282"/>
      <c r="T25" s="282"/>
      <c r="U25" s="282"/>
      <c r="V25" s="282"/>
      <c r="W25" s="282"/>
      <c r="X25" s="282"/>
      <c r="Y25" s="282"/>
      <c r="Z25" s="282"/>
      <c r="AA25" s="282"/>
      <c r="AB25" s="282"/>
      <c r="AC25" s="282"/>
      <c r="AD25" s="282"/>
      <c r="AE25" s="340">
        <f t="shared" si="2"/>
        <v>3575</v>
      </c>
      <c r="AF25" s="340">
        <f t="shared" si="3"/>
        <v>3575</v>
      </c>
      <c r="AG25" s="344">
        <f t="shared" si="4"/>
        <v>4039.75</v>
      </c>
      <c r="AH25" s="11" t="s">
        <v>120</v>
      </c>
      <c r="AI25" s="282"/>
      <c r="AJ25" s="282"/>
      <c r="AK25" s="282"/>
      <c r="AL25" s="282"/>
      <c r="AM25" s="282"/>
      <c r="AN25" s="282"/>
      <c r="AO25" s="282"/>
      <c r="AP25" s="282">
        <v>878</v>
      </c>
      <c r="AQ25" s="282">
        <v>878</v>
      </c>
      <c r="AR25" s="282">
        <f t="shared" si="5"/>
        <v>0</v>
      </c>
      <c r="AS25" s="282">
        <f t="shared" si="6"/>
        <v>878</v>
      </c>
      <c r="AT25" s="349">
        <f t="shared" si="7"/>
        <v>878</v>
      </c>
      <c r="AU25" s="11" t="s">
        <v>120</v>
      </c>
      <c r="AV25" s="348"/>
      <c r="AW25" s="282"/>
      <c r="AX25" s="282"/>
      <c r="AY25" s="282">
        <v>23611.787109379999</v>
      </c>
      <c r="AZ25" s="282">
        <v>23491.787109379999</v>
      </c>
      <c r="BA25" s="282">
        <v>23491.787109379999</v>
      </c>
      <c r="BB25" s="282">
        <f t="shared" si="8"/>
        <v>23611.787109379999</v>
      </c>
      <c r="BC25" s="282">
        <f t="shared" si="9"/>
        <v>23491.787109379999</v>
      </c>
      <c r="BD25" s="349">
        <f t="shared" si="10"/>
        <v>23491.787109379999</v>
      </c>
    </row>
    <row r="26" spans="1:56">
      <c r="A26" s="12" t="s">
        <v>121</v>
      </c>
      <c r="B26" s="351">
        <v>327.44492587373946</v>
      </c>
      <c r="C26" s="283">
        <v>446.78899142377009</v>
      </c>
      <c r="D26" s="283">
        <v>435.2184541118387</v>
      </c>
      <c r="E26" s="283">
        <v>334.37839328003895</v>
      </c>
      <c r="F26" s="283">
        <v>419.04056826080324</v>
      </c>
      <c r="G26" s="283">
        <v>513.3630332354511</v>
      </c>
      <c r="H26" s="341">
        <f t="shared" si="15"/>
        <v>661.82331915377836</v>
      </c>
      <c r="I26" s="341">
        <f t="shared" si="15"/>
        <v>865.82955968457327</v>
      </c>
      <c r="J26" s="341">
        <f t="shared" si="15"/>
        <v>948.58148734728979</v>
      </c>
      <c r="K26" s="296">
        <f t="shared" si="12"/>
        <v>763.82643941917581</v>
      </c>
      <c r="L26" s="12" t="s">
        <v>121</v>
      </c>
      <c r="M26" s="283">
        <v>40</v>
      </c>
      <c r="N26" s="283">
        <v>50</v>
      </c>
      <c r="O26" s="283">
        <v>56.5</v>
      </c>
      <c r="P26" s="283"/>
      <c r="Q26" s="283"/>
      <c r="R26" s="283"/>
      <c r="S26" s="283"/>
      <c r="T26" s="283"/>
      <c r="U26" s="283"/>
      <c r="V26" s="283"/>
      <c r="W26" s="283"/>
      <c r="X26" s="283"/>
      <c r="Y26" s="283"/>
      <c r="Z26" s="283"/>
      <c r="AA26" s="283"/>
      <c r="AB26" s="283"/>
      <c r="AC26" s="283"/>
      <c r="AD26" s="283"/>
      <c r="AE26" s="341">
        <f t="shared" si="2"/>
        <v>40</v>
      </c>
      <c r="AF26" s="341">
        <f t="shared" si="3"/>
        <v>50</v>
      </c>
      <c r="AG26" s="342">
        <f t="shared" si="4"/>
        <v>56.5</v>
      </c>
      <c r="AH26" s="12" t="s">
        <v>121</v>
      </c>
      <c r="AI26" s="283"/>
      <c r="AJ26" s="283"/>
      <c r="AK26" s="283"/>
      <c r="AL26" s="283"/>
      <c r="AM26" s="283"/>
      <c r="AN26" s="283"/>
      <c r="AO26" s="283"/>
      <c r="AP26" s="283">
        <v>808</v>
      </c>
      <c r="AQ26" s="283">
        <v>808</v>
      </c>
      <c r="AR26" s="283">
        <f t="shared" si="5"/>
        <v>0</v>
      </c>
      <c r="AS26" s="283">
        <f t="shared" si="6"/>
        <v>808</v>
      </c>
      <c r="AT26" s="350">
        <f t="shared" si="7"/>
        <v>808</v>
      </c>
      <c r="AU26" s="12" t="s">
        <v>121</v>
      </c>
      <c r="AV26" s="283">
        <v>930</v>
      </c>
      <c r="AW26" s="283">
        <v>930</v>
      </c>
      <c r="AX26" s="283">
        <v>930</v>
      </c>
      <c r="AY26" s="283"/>
      <c r="AZ26" s="283"/>
      <c r="BA26" s="283"/>
      <c r="BB26" s="283">
        <f t="shared" si="8"/>
        <v>930</v>
      </c>
      <c r="BC26" s="283">
        <f t="shared" si="9"/>
        <v>930</v>
      </c>
      <c r="BD26" s="350">
        <f t="shared" si="10"/>
        <v>930</v>
      </c>
    </row>
    <row r="27" spans="1:56">
      <c r="A27" s="12" t="s">
        <v>122</v>
      </c>
      <c r="B27" s="351">
        <v>28.642634975185231</v>
      </c>
      <c r="C27" s="283">
        <v>93.716715274254213</v>
      </c>
      <c r="D27" s="283">
        <v>91.289724521019821</v>
      </c>
      <c r="E27" s="283">
        <v>9.79505652455037</v>
      </c>
      <c r="F27" s="283">
        <v>29.435044794905203</v>
      </c>
      <c r="G27" s="283">
        <v>36.060622822392673</v>
      </c>
      <c r="H27" s="341">
        <f t="shared" si="15"/>
        <v>38.4376914997356</v>
      </c>
      <c r="I27" s="341">
        <f t="shared" si="15"/>
        <v>123.15176006915942</v>
      </c>
      <c r="J27" s="341">
        <f t="shared" si="15"/>
        <v>127.35034734341249</v>
      </c>
      <c r="K27" s="296">
        <f t="shared" si="12"/>
        <v>80.794725784447508</v>
      </c>
      <c r="L27" s="12" t="s">
        <v>122</v>
      </c>
      <c r="M27" s="283">
        <v>0.3</v>
      </c>
      <c r="N27" s="283">
        <v>0.3</v>
      </c>
      <c r="O27" s="283">
        <v>0.33900000000000002</v>
      </c>
      <c r="P27" s="283">
        <v>1.5</v>
      </c>
      <c r="Q27" s="283">
        <v>1.5</v>
      </c>
      <c r="R27" s="283">
        <v>1.6950000000000001</v>
      </c>
      <c r="S27" s="283">
        <v>5</v>
      </c>
      <c r="T27" s="283">
        <v>5</v>
      </c>
      <c r="U27" s="283">
        <v>5.65</v>
      </c>
      <c r="V27" s="283">
        <v>30</v>
      </c>
      <c r="W27" s="283">
        <v>30</v>
      </c>
      <c r="X27" s="283">
        <v>33.9</v>
      </c>
      <c r="Y27" s="283"/>
      <c r="Z27" s="283"/>
      <c r="AA27" s="283"/>
      <c r="AB27" s="283"/>
      <c r="AC27" s="283"/>
      <c r="AD27" s="283"/>
      <c r="AE27" s="341">
        <f t="shared" si="2"/>
        <v>36.799999999999997</v>
      </c>
      <c r="AF27" s="341">
        <f t="shared" si="3"/>
        <v>36.799999999999997</v>
      </c>
      <c r="AG27" s="342">
        <f t="shared" si="4"/>
        <v>41.584000000000003</v>
      </c>
      <c r="AH27" s="12" t="s">
        <v>122</v>
      </c>
      <c r="AI27" s="283"/>
      <c r="AJ27" s="283"/>
      <c r="AK27" s="283"/>
      <c r="AL27" s="283"/>
      <c r="AM27" s="283"/>
      <c r="AN27" s="283"/>
      <c r="AO27" s="283"/>
      <c r="AP27" s="283">
        <v>0</v>
      </c>
      <c r="AQ27" s="283">
        <v>552.12907099999995</v>
      </c>
      <c r="AR27" s="283">
        <f t="shared" si="5"/>
        <v>0</v>
      </c>
      <c r="AS27" s="283">
        <f t="shared" si="6"/>
        <v>0</v>
      </c>
      <c r="AT27" s="350">
        <f t="shared" si="7"/>
        <v>552.12907099999995</v>
      </c>
      <c r="AU27" s="12" t="s">
        <v>122</v>
      </c>
      <c r="AV27" s="351"/>
      <c r="AW27" s="283"/>
      <c r="AX27" s="283"/>
      <c r="AY27" s="283"/>
      <c r="AZ27" s="283"/>
      <c r="BA27" s="283"/>
      <c r="BB27" s="283">
        <f t="shared" si="8"/>
        <v>0</v>
      </c>
      <c r="BC27" s="283">
        <f t="shared" si="9"/>
        <v>0</v>
      </c>
      <c r="BD27" s="350">
        <f t="shared" si="10"/>
        <v>0</v>
      </c>
    </row>
    <row r="28" spans="1:56">
      <c r="A28" s="12" t="s">
        <v>123</v>
      </c>
      <c r="B28" s="351">
        <v>203.42761113413457</v>
      </c>
      <c r="C28" s="283">
        <v>280.53880771498524</v>
      </c>
      <c r="D28" s="283">
        <v>273.27366733682351</v>
      </c>
      <c r="E28" s="283">
        <v>207.73507965750923</v>
      </c>
      <c r="F28" s="283">
        <v>263.11557281095833</v>
      </c>
      <c r="G28" s="283">
        <v>322.34064856853979</v>
      </c>
      <c r="H28" s="341">
        <f t="shared" si="15"/>
        <v>411.1626907916438</v>
      </c>
      <c r="I28" s="341">
        <f t="shared" si="15"/>
        <v>543.65438052594357</v>
      </c>
      <c r="J28" s="341">
        <f t="shared" si="15"/>
        <v>595.61431590536336</v>
      </c>
      <c r="K28" s="342">
        <f t="shared" si="12"/>
        <v>477.40853565879365</v>
      </c>
      <c r="L28" s="12" t="s">
        <v>123</v>
      </c>
      <c r="M28" s="291">
        <v>90</v>
      </c>
      <c r="N28" s="291">
        <v>173.33333329999999</v>
      </c>
      <c r="O28" s="291">
        <v>195.8666667</v>
      </c>
      <c r="P28" s="291"/>
      <c r="Q28" s="291"/>
      <c r="R28" s="291"/>
      <c r="S28" s="291"/>
      <c r="T28" s="291"/>
      <c r="U28" s="291"/>
      <c r="V28" s="291"/>
      <c r="W28" s="291"/>
      <c r="X28" s="291"/>
      <c r="Y28" s="291"/>
      <c r="Z28" s="291"/>
      <c r="AA28" s="291"/>
      <c r="AB28" s="291"/>
      <c r="AC28" s="291"/>
      <c r="AD28" s="291"/>
      <c r="AE28" s="341">
        <f t="shared" si="2"/>
        <v>90</v>
      </c>
      <c r="AF28" s="341">
        <f t="shared" si="3"/>
        <v>173.33333329999999</v>
      </c>
      <c r="AG28" s="342">
        <f t="shared" si="4"/>
        <v>195.8666667</v>
      </c>
      <c r="AH28" s="12" t="s">
        <v>123</v>
      </c>
      <c r="AI28" s="283"/>
      <c r="AJ28" s="283"/>
      <c r="AK28" s="283"/>
      <c r="AL28" s="283"/>
      <c r="AM28" s="283"/>
      <c r="AN28" s="283"/>
      <c r="AO28" s="283"/>
      <c r="AP28" s="283"/>
      <c r="AQ28" s="283">
        <v>419.3234746</v>
      </c>
      <c r="AR28" s="283">
        <f t="shared" si="5"/>
        <v>0</v>
      </c>
      <c r="AS28" s="283">
        <f t="shared" si="6"/>
        <v>0</v>
      </c>
      <c r="AT28" s="350">
        <f t="shared" si="7"/>
        <v>419.3234746</v>
      </c>
      <c r="AU28" s="12" t="s">
        <v>123</v>
      </c>
      <c r="AV28" s="351"/>
      <c r="AW28" s="283"/>
      <c r="AX28" s="283"/>
      <c r="AY28" s="283"/>
      <c r="AZ28" s="283"/>
      <c r="BA28" s="283"/>
      <c r="BB28" s="283">
        <f t="shared" si="8"/>
        <v>0</v>
      </c>
      <c r="BC28" s="283">
        <f t="shared" si="9"/>
        <v>0</v>
      </c>
      <c r="BD28" s="350">
        <f t="shared" si="10"/>
        <v>0</v>
      </c>
    </row>
    <row r="29" spans="1:56">
      <c r="A29" s="79" t="s">
        <v>161</v>
      </c>
      <c r="B29" s="79"/>
      <c r="C29" s="593">
        <v>2030</v>
      </c>
      <c r="D29" s="593"/>
      <c r="E29" s="593"/>
      <c r="F29" s="593"/>
      <c r="G29" s="593">
        <v>2040</v>
      </c>
      <c r="H29" s="593"/>
      <c r="I29" s="593"/>
      <c r="J29" s="593"/>
      <c r="K29" s="593">
        <v>2050</v>
      </c>
      <c r="L29" s="593"/>
      <c r="M29" s="593"/>
      <c r="N29" s="593"/>
      <c r="O29" s="593">
        <v>2035</v>
      </c>
      <c r="P29" s="593"/>
      <c r="Q29" s="593"/>
      <c r="R29" s="593"/>
      <c r="S29" s="594" t="s">
        <v>302</v>
      </c>
      <c r="T29" s="594"/>
      <c r="U29" s="593">
        <v>2030</v>
      </c>
      <c r="V29" s="593"/>
      <c r="W29" s="593"/>
      <c r="X29" s="593"/>
      <c r="Y29" s="593">
        <v>2040</v>
      </c>
      <c r="Z29" s="593"/>
      <c r="AA29" s="593"/>
      <c r="AB29" s="593"/>
      <c r="AC29" s="593">
        <v>2050</v>
      </c>
      <c r="AD29" s="593"/>
      <c r="AE29" s="593"/>
      <c r="AF29" s="593"/>
    </row>
    <row r="30" spans="1:56">
      <c r="A30" s="79"/>
      <c r="B30" s="79"/>
      <c r="C30" s="3" t="s">
        <v>162</v>
      </c>
      <c r="D30" s="3" t="s">
        <v>144</v>
      </c>
      <c r="E30" s="3" t="s">
        <v>143</v>
      </c>
      <c r="F30" s="3" t="s">
        <v>145</v>
      </c>
      <c r="G30" s="3" t="s">
        <v>162</v>
      </c>
      <c r="H30" s="3" t="s">
        <v>144</v>
      </c>
      <c r="I30" s="3" t="s">
        <v>143</v>
      </c>
      <c r="J30" s="3" t="s">
        <v>145</v>
      </c>
      <c r="K30" s="3" t="s">
        <v>162</v>
      </c>
      <c r="L30" s="3" t="s">
        <v>144</v>
      </c>
      <c r="M30" s="3" t="s">
        <v>143</v>
      </c>
      <c r="N30" s="3" t="s">
        <v>145</v>
      </c>
      <c r="O30" s="3" t="s">
        <v>162</v>
      </c>
      <c r="P30" s="3" t="s">
        <v>144</v>
      </c>
      <c r="Q30" s="3" t="s">
        <v>143</v>
      </c>
      <c r="R30" s="3" t="s">
        <v>145</v>
      </c>
      <c r="S30" s="595"/>
      <c r="T30" s="595"/>
      <c r="U30" s="3" t="s">
        <v>162</v>
      </c>
      <c r="V30" s="3" t="s">
        <v>144</v>
      </c>
      <c r="W30" s="3" t="s">
        <v>143</v>
      </c>
      <c r="X30" s="3" t="s">
        <v>145</v>
      </c>
      <c r="Y30" s="3" t="s">
        <v>162</v>
      </c>
      <c r="Z30" s="3" t="s">
        <v>144</v>
      </c>
      <c r="AA30" s="3" t="s">
        <v>143</v>
      </c>
      <c r="AB30" s="3" t="s">
        <v>145</v>
      </c>
      <c r="AC30" s="3" t="s">
        <v>162</v>
      </c>
      <c r="AD30" s="3" t="s">
        <v>144</v>
      </c>
      <c r="AE30" s="3" t="s">
        <v>143</v>
      </c>
      <c r="AF30" s="3" t="s">
        <v>145</v>
      </c>
    </row>
    <row r="31" spans="1:56">
      <c r="A31" s="21" t="s">
        <v>38</v>
      </c>
      <c r="B31" s="21"/>
      <c r="C31" s="72">
        <f>SUM(BB5:BB6)</f>
        <v>9025.7401123099989</v>
      </c>
      <c r="D31" s="72">
        <f>SUM(AE5:AE6)</f>
        <v>1758.8649520500001</v>
      </c>
      <c r="E31" s="72">
        <f>SUM(H5:H6)</f>
        <v>18249.678950318259</v>
      </c>
      <c r="F31" s="72">
        <f>SUM(AR5:AR6)</f>
        <v>12224.56800033</v>
      </c>
      <c r="G31" s="72">
        <f>SUM(BC5:BC6)</f>
        <v>9295.7401123099989</v>
      </c>
      <c r="H31" s="72">
        <f>SUM(AF5:AF6)</f>
        <v>3174.5999753999999</v>
      </c>
      <c r="I31" s="72">
        <f>SUM(I5:I6)</f>
        <v>38276.593174535621</v>
      </c>
      <c r="J31" s="72">
        <f>SUM(AS5:AS6)</f>
        <v>39900.868000299997</v>
      </c>
      <c r="K31" s="72">
        <f>SUM(BD5:BD6)</f>
        <v>9295.7401123099989</v>
      </c>
      <c r="L31" s="72">
        <f>SUM(AG5:AG6)</f>
        <v>3587.2979716</v>
      </c>
      <c r="M31" s="72">
        <f>SUM(J5:J6)</f>
        <v>63537.712716134833</v>
      </c>
      <c r="N31" s="72">
        <f>SUM(AT5:AT6)</f>
        <v>48334.117999950002</v>
      </c>
      <c r="O31" s="113">
        <f>(C31+G31)/2</f>
        <v>9160.7401123099989</v>
      </c>
      <c r="P31" s="113">
        <f t="shared" ref="P31:R44" si="16">(D31+H31)/2</f>
        <v>2466.7324637249999</v>
      </c>
      <c r="Q31" s="113">
        <f>(E31+I31)/2</f>
        <v>28263.13606242694</v>
      </c>
      <c r="R31" s="113">
        <f t="shared" si="16"/>
        <v>26062.718000314999</v>
      </c>
      <c r="S31" s="21" t="s">
        <v>51</v>
      </c>
      <c r="T31" s="21"/>
      <c r="U31" s="72">
        <v>0</v>
      </c>
      <c r="V31" s="72">
        <v>90</v>
      </c>
      <c r="W31" s="72">
        <v>543.65438052594357</v>
      </c>
      <c r="X31" s="72">
        <v>0</v>
      </c>
      <c r="Y31" s="72">
        <f t="shared" ref="Y31:AF31" si="17">G44-C44</f>
        <v>0</v>
      </c>
      <c r="Z31" s="72">
        <f t="shared" si="17"/>
        <v>83.333333299999993</v>
      </c>
      <c r="AA31" s="72">
        <f t="shared" si="17"/>
        <v>132.49168973429977</v>
      </c>
      <c r="AB31" s="72">
        <f t="shared" si="17"/>
        <v>0</v>
      </c>
      <c r="AC31" s="72">
        <f t="shared" si="17"/>
        <v>0</v>
      </c>
      <c r="AD31" s="72">
        <f t="shared" si="17"/>
        <v>22.533333400000004</v>
      </c>
      <c r="AE31" s="72">
        <f t="shared" si="17"/>
        <v>51.95993537941979</v>
      </c>
      <c r="AF31" s="72">
        <f t="shared" si="17"/>
        <v>419.3234746</v>
      </c>
    </row>
    <row r="32" spans="1:56">
      <c r="A32" s="21" t="s">
        <v>39</v>
      </c>
      <c r="B32" s="21"/>
      <c r="C32" s="72">
        <f>SUM(BB7:BB8)</f>
        <v>3800</v>
      </c>
      <c r="D32" s="72">
        <f>SUM(AE7:AE8)</f>
        <v>5481.5</v>
      </c>
      <c r="E32" s="72">
        <f>SUM(H7:H8)</f>
        <v>1304.7727783626831</v>
      </c>
      <c r="F32" s="72">
        <f>SUM(AR7:AR8)</f>
        <v>636.00000010000008</v>
      </c>
      <c r="G32" s="72">
        <f>SUM(BC7:BC8)</f>
        <v>4843.1372070300004</v>
      </c>
      <c r="H32" s="72">
        <f>SUM(AF7:AF8)</f>
        <v>5481.5</v>
      </c>
      <c r="I32" s="72">
        <f>SUM(I7:I8)</f>
        <v>2741.2493690411548</v>
      </c>
      <c r="J32" s="72">
        <f>SUM(AS7:AS8)</f>
        <v>16869.000000100001</v>
      </c>
      <c r="K32" s="72">
        <f>SUM(BD7:BD8)</f>
        <v>4843.1372070300004</v>
      </c>
      <c r="L32" s="72">
        <f>SUM(AG7:AG8)</f>
        <v>6194.0949999999993</v>
      </c>
      <c r="M32" s="72">
        <f>SUM(J7:J8)</f>
        <v>4529.6491606402351</v>
      </c>
      <c r="N32" s="72">
        <f>SUM(AT7:AT8)</f>
        <v>39806.894370100003</v>
      </c>
      <c r="O32" s="113">
        <f t="shared" ref="O32:O44" si="18">(C32+G32)/2</f>
        <v>4321.5686035150002</v>
      </c>
      <c r="P32" s="113">
        <f t="shared" si="16"/>
        <v>5481.5</v>
      </c>
      <c r="Q32" s="113">
        <f t="shared" si="16"/>
        <v>2023.011073701919</v>
      </c>
      <c r="R32" s="113">
        <f t="shared" si="16"/>
        <v>8752.5000001000008</v>
      </c>
      <c r="S32" s="21" t="s">
        <v>50</v>
      </c>
      <c r="T32" s="21"/>
      <c r="U32" s="72">
        <v>0</v>
      </c>
      <c r="V32" s="72">
        <v>36.799999999999997</v>
      </c>
      <c r="W32" s="72">
        <v>38.4376914997356</v>
      </c>
      <c r="X32" s="72">
        <v>0</v>
      </c>
      <c r="Y32" s="72">
        <f t="shared" ref="Y32:AF32" si="19">G43-C43</f>
        <v>0</v>
      </c>
      <c r="Z32" s="72">
        <f t="shared" si="19"/>
        <v>0</v>
      </c>
      <c r="AA32" s="72">
        <f t="shared" si="19"/>
        <v>84.71406856942383</v>
      </c>
      <c r="AB32" s="72">
        <f t="shared" si="19"/>
        <v>0</v>
      </c>
      <c r="AC32" s="72">
        <f t="shared" si="19"/>
        <v>0</v>
      </c>
      <c r="AD32" s="72">
        <f t="shared" si="19"/>
        <v>4.784000000000006</v>
      </c>
      <c r="AE32" s="72">
        <f t="shared" si="19"/>
        <v>4.1985872742530717</v>
      </c>
      <c r="AF32" s="72">
        <f t="shared" si="19"/>
        <v>552.12907099999995</v>
      </c>
    </row>
    <row r="33" spans="1:56">
      <c r="A33" s="21" t="s">
        <v>75</v>
      </c>
      <c r="B33" s="21"/>
      <c r="C33" s="72">
        <f>SUM(BB9:BB10)</f>
        <v>2744</v>
      </c>
      <c r="D33" s="72">
        <f>SUM(AE9:AE10)</f>
        <v>4357.12</v>
      </c>
      <c r="E33" s="72">
        <f>SUM(H9:H10)</f>
        <v>20392.219873670234</v>
      </c>
      <c r="F33" s="72">
        <f>SUM(AR9:AR10)</f>
        <v>5810.7899999199999</v>
      </c>
      <c r="G33" s="72">
        <f>SUM(BC9:BC10)</f>
        <v>2744</v>
      </c>
      <c r="H33" s="72">
        <f>SUM(AF9:AF10)</f>
        <v>8031.08</v>
      </c>
      <c r="I33" s="72">
        <f>SUM(I9:I10)</f>
        <v>27311.529198566259</v>
      </c>
      <c r="J33" s="72">
        <f>SUM(AS9:AS10)</f>
        <v>34306.27462222</v>
      </c>
      <c r="K33" s="72">
        <f>SUM(BD9:BD10)</f>
        <v>2744</v>
      </c>
      <c r="L33" s="72">
        <f>SUM(AG9:AG10)</f>
        <v>9075.1203999999998</v>
      </c>
      <c r="M33" s="72">
        <f>SUM(J9:J10)</f>
        <v>31031.319604629123</v>
      </c>
      <c r="N33" s="72">
        <f>SUM(AT9:AT10)</f>
        <v>54277.382122919997</v>
      </c>
      <c r="O33" s="113">
        <f t="shared" si="18"/>
        <v>2744</v>
      </c>
      <c r="P33" s="113">
        <f t="shared" si="16"/>
        <v>6194.1</v>
      </c>
      <c r="Q33" s="113">
        <f t="shared" si="16"/>
        <v>23851.874536118245</v>
      </c>
      <c r="R33" s="113">
        <f t="shared" si="16"/>
        <v>20058.532311070001</v>
      </c>
      <c r="S33" s="21" t="s">
        <v>49</v>
      </c>
      <c r="T33" s="21"/>
      <c r="U33" s="72">
        <v>930</v>
      </c>
      <c r="V33" s="72">
        <v>40</v>
      </c>
      <c r="W33" s="72">
        <v>661.82331915377836</v>
      </c>
      <c r="X33" s="72">
        <v>0</v>
      </c>
      <c r="Y33" s="72">
        <f t="shared" ref="Y33:AF33" si="20">G42-C42</f>
        <v>0</v>
      </c>
      <c r="Z33" s="72">
        <f t="shared" si="20"/>
        <v>10</v>
      </c>
      <c r="AA33" s="72">
        <f t="shared" si="20"/>
        <v>204.00624053079491</v>
      </c>
      <c r="AB33" s="72">
        <f t="shared" si="20"/>
        <v>808</v>
      </c>
      <c r="AC33" s="72">
        <f t="shared" si="20"/>
        <v>0</v>
      </c>
      <c r="AD33" s="72">
        <f t="shared" si="20"/>
        <v>6.5</v>
      </c>
      <c r="AE33" s="72">
        <f t="shared" si="20"/>
        <v>82.751927662716525</v>
      </c>
      <c r="AF33" s="72">
        <f t="shared" si="20"/>
        <v>0</v>
      </c>
    </row>
    <row r="34" spans="1:56">
      <c r="A34" s="21" t="s">
        <v>41</v>
      </c>
      <c r="B34" s="21"/>
      <c r="C34" s="72">
        <f>BB11</f>
        <v>9549.7199707</v>
      </c>
      <c r="D34" s="72">
        <f>AE11</f>
        <v>0</v>
      </c>
      <c r="E34" s="72">
        <f>H11</f>
        <v>12389.299012036365</v>
      </c>
      <c r="F34" s="72">
        <f>AR11</f>
        <v>0</v>
      </c>
      <c r="G34" s="72">
        <f>BC11</f>
        <v>9549.7199707</v>
      </c>
      <c r="H34" s="72">
        <f>AF11</f>
        <v>1600</v>
      </c>
      <c r="I34" s="72">
        <f>I11</f>
        <v>20379.256572886909</v>
      </c>
      <c r="J34" s="72">
        <f>AS11</f>
        <v>377</v>
      </c>
      <c r="K34" s="72">
        <f>BD11</f>
        <v>9549.7199707</v>
      </c>
      <c r="L34" s="72">
        <f>AG11</f>
        <v>1808</v>
      </c>
      <c r="M34" s="72">
        <f>J11</f>
        <v>28496.485818284222</v>
      </c>
      <c r="N34" s="72">
        <f>AT11</f>
        <v>377</v>
      </c>
      <c r="O34" s="113">
        <f t="shared" si="18"/>
        <v>9549.7199707</v>
      </c>
      <c r="P34" s="113">
        <f t="shared" si="16"/>
        <v>800</v>
      </c>
      <c r="Q34" s="113">
        <f t="shared" si="16"/>
        <v>16384.277792461638</v>
      </c>
      <c r="R34" s="113">
        <f t="shared" si="16"/>
        <v>188.5</v>
      </c>
      <c r="S34" s="21" t="s">
        <v>48</v>
      </c>
      <c r="T34" s="21"/>
      <c r="U34" s="72">
        <v>33360.68115235</v>
      </c>
      <c r="V34" s="72">
        <v>6294</v>
      </c>
      <c r="W34" s="72">
        <v>408.08068980522171</v>
      </c>
      <c r="X34" s="72">
        <v>0</v>
      </c>
      <c r="Y34" s="72">
        <f t="shared" ref="Y34:AF34" si="21">G41-C41</f>
        <v>-140</v>
      </c>
      <c r="Z34" s="72">
        <f t="shared" si="21"/>
        <v>0</v>
      </c>
      <c r="AA34" s="72">
        <f t="shared" si="21"/>
        <v>-110.5192215169908</v>
      </c>
      <c r="AB34" s="72">
        <f t="shared" si="21"/>
        <v>878</v>
      </c>
      <c r="AC34" s="72">
        <f t="shared" si="21"/>
        <v>0</v>
      </c>
      <c r="AD34" s="72">
        <f t="shared" si="21"/>
        <v>818.22000000000025</v>
      </c>
      <c r="AE34" s="72">
        <f t="shared" si="21"/>
        <v>-34.056476980517687</v>
      </c>
      <c r="AF34" s="72">
        <f t="shared" si="21"/>
        <v>0</v>
      </c>
    </row>
    <row r="35" spans="1:56">
      <c r="A35" s="21" t="s">
        <v>42</v>
      </c>
      <c r="B35" s="21"/>
      <c r="C35" s="72">
        <f>BB12</f>
        <v>1535.27997559</v>
      </c>
      <c r="D35" s="72">
        <f>AE12</f>
        <v>0</v>
      </c>
      <c r="E35" s="72">
        <f>H12</f>
        <v>3963.0138871483741</v>
      </c>
      <c r="F35" s="72">
        <f>AR12</f>
        <v>6210</v>
      </c>
      <c r="G35" s="72">
        <f>BC12</f>
        <v>1535.27997559</v>
      </c>
      <c r="H35" s="72">
        <f>AF12</f>
        <v>0</v>
      </c>
      <c r="I35" s="72">
        <f>I12</f>
        <v>5948.0759091210803</v>
      </c>
      <c r="J35" s="72">
        <f>AS12</f>
        <v>17600</v>
      </c>
      <c r="K35" s="72">
        <f>BD12</f>
        <v>1535.27997559</v>
      </c>
      <c r="L35" s="72">
        <f>AG12</f>
        <v>0</v>
      </c>
      <c r="M35" s="72">
        <f>J12</f>
        <v>6516.5651017784112</v>
      </c>
      <c r="N35" s="72">
        <f>AT12</f>
        <v>24663.370070000001</v>
      </c>
      <c r="O35" s="113">
        <f t="shared" si="18"/>
        <v>1535.27997559</v>
      </c>
      <c r="P35" s="113">
        <f t="shared" si="16"/>
        <v>0</v>
      </c>
      <c r="Q35" s="113">
        <f t="shared" si="16"/>
        <v>4955.5448981347272</v>
      </c>
      <c r="R35" s="113">
        <f t="shared" si="16"/>
        <v>11905</v>
      </c>
      <c r="S35" s="21" t="s">
        <v>47</v>
      </c>
      <c r="T35" s="21"/>
      <c r="U35" s="72">
        <v>0</v>
      </c>
      <c r="V35" s="72">
        <v>4490.8315430000002</v>
      </c>
      <c r="W35" s="72">
        <v>1487.8230566433542</v>
      </c>
      <c r="X35" s="72">
        <v>215.00000001000001</v>
      </c>
      <c r="Y35" s="72">
        <f t="shared" ref="Y35:AF35" si="22">G40-C40</f>
        <v>0</v>
      </c>
      <c r="Z35" s="72">
        <f t="shared" si="22"/>
        <v>5433.3435050000007</v>
      </c>
      <c r="AA35" s="72">
        <f t="shared" si="22"/>
        <v>736.48877680529199</v>
      </c>
      <c r="AB35" s="72">
        <f t="shared" si="22"/>
        <v>-90.000000010000008</v>
      </c>
      <c r="AC35" s="72">
        <f t="shared" si="22"/>
        <v>0</v>
      </c>
      <c r="AD35" s="72">
        <f t="shared" si="22"/>
        <v>1290.1427559999975</v>
      </c>
      <c r="AE35" s="72">
        <f t="shared" si="22"/>
        <v>278.98964961758202</v>
      </c>
      <c r="AF35" s="72">
        <f t="shared" si="22"/>
        <v>6.6118322899999953</v>
      </c>
    </row>
    <row r="36" spans="1:56">
      <c r="A36" s="21" t="s">
        <v>43</v>
      </c>
      <c r="B36" s="21"/>
      <c r="C36" s="72">
        <f>BB13</f>
        <v>0</v>
      </c>
      <c r="D36" s="72">
        <f>AE13</f>
        <v>700</v>
      </c>
      <c r="E36" s="72">
        <f>H13</f>
        <v>13749.676681461286</v>
      </c>
      <c r="F36" s="72">
        <f>AR13</f>
        <v>2835.8000001400001</v>
      </c>
      <c r="G36" s="72">
        <f>BC13</f>
        <v>0</v>
      </c>
      <c r="H36" s="72">
        <f>AF13</f>
        <v>700</v>
      </c>
      <c r="I36" s="72">
        <f>I13</f>
        <v>24324.670603356353</v>
      </c>
      <c r="J36" s="72">
        <f>AS13</f>
        <v>10332.80000017</v>
      </c>
      <c r="K36" s="72">
        <f>BD13</f>
        <v>0</v>
      </c>
      <c r="L36" s="72">
        <f>AG13</f>
        <v>791</v>
      </c>
      <c r="M36" s="72">
        <f>J13</f>
        <v>28313.491098846818</v>
      </c>
      <c r="N36" s="72">
        <f>AT13</f>
        <v>13762.876810170001</v>
      </c>
      <c r="O36" s="113">
        <f t="shared" si="18"/>
        <v>0</v>
      </c>
      <c r="P36" s="113">
        <f t="shared" si="16"/>
        <v>700</v>
      </c>
      <c r="Q36" s="113">
        <f t="shared" si="16"/>
        <v>19037.173642408819</v>
      </c>
      <c r="R36" s="113">
        <f t="shared" si="16"/>
        <v>6584.3000001549999</v>
      </c>
      <c r="S36" s="21" t="s">
        <v>46</v>
      </c>
      <c r="T36" s="21"/>
      <c r="U36" s="72">
        <v>0</v>
      </c>
      <c r="V36" s="72">
        <v>0</v>
      </c>
      <c r="W36" s="72">
        <v>133.75171869125762</v>
      </c>
      <c r="X36" s="72">
        <v>263.91000001999998</v>
      </c>
      <c r="Y36" s="72">
        <f t="shared" ref="Y36:AF36" si="23">G39-C39</f>
        <v>0</v>
      </c>
      <c r="Z36" s="72">
        <f t="shared" si="23"/>
        <v>0</v>
      </c>
      <c r="AA36" s="72">
        <f t="shared" si="23"/>
        <v>146.77705864654416</v>
      </c>
      <c r="AB36" s="72">
        <f t="shared" si="23"/>
        <v>4810.12</v>
      </c>
      <c r="AC36" s="72">
        <f t="shared" si="23"/>
        <v>0</v>
      </c>
      <c r="AD36" s="72">
        <f t="shared" si="23"/>
        <v>0</v>
      </c>
      <c r="AE36" s="72">
        <f t="shared" si="23"/>
        <v>185.13849826904959</v>
      </c>
      <c r="AF36" s="72">
        <f t="shared" si="23"/>
        <v>873.34166200000072</v>
      </c>
    </row>
    <row r="37" spans="1:56">
      <c r="A37" s="21" t="s">
        <v>44</v>
      </c>
      <c r="B37" s="21"/>
      <c r="C37" s="72">
        <f>BB14</f>
        <v>1224</v>
      </c>
      <c r="D37" s="72">
        <f>AE14</f>
        <v>2047.8045348000001</v>
      </c>
      <c r="E37" s="72">
        <f>H14</f>
        <v>4254.2954078537796</v>
      </c>
      <c r="F37" s="72">
        <f>AR14</f>
        <v>294</v>
      </c>
      <c r="G37" s="72">
        <f>BC14</f>
        <v>1224</v>
      </c>
      <c r="H37" s="72">
        <f>AF14</f>
        <v>2191.1509093999998</v>
      </c>
      <c r="I37" s="72">
        <f>I14</f>
        <v>8922.8931102853385</v>
      </c>
      <c r="J37" s="72">
        <f>AS14</f>
        <v>6625</v>
      </c>
      <c r="K37" s="72">
        <f>BD14</f>
        <v>1224</v>
      </c>
      <c r="L37" s="72">
        <f>AG14</f>
        <v>2476.0005277999999</v>
      </c>
      <c r="M37" s="72">
        <f>J14</f>
        <v>10889.715474746889</v>
      </c>
      <c r="N37" s="72">
        <f>AT14</f>
        <v>15117.26446</v>
      </c>
      <c r="O37" s="113">
        <f t="shared" si="18"/>
        <v>1224</v>
      </c>
      <c r="P37" s="113">
        <f t="shared" si="16"/>
        <v>2119.4777220999999</v>
      </c>
      <c r="Q37" s="113">
        <f t="shared" si="16"/>
        <v>6588.5942590695595</v>
      </c>
      <c r="R37" s="113">
        <f t="shared" si="16"/>
        <v>3459.5</v>
      </c>
      <c r="S37" s="21" t="s">
        <v>45</v>
      </c>
      <c r="T37" s="21"/>
      <c r="U37" s="72">
        <v>0</v>
      </c>
      <c r="V37" s="72">
        <v>1738.80004134</v>
      </c>
      <c r="W37" s="72">
        <v>5353.0410027126254</v>
      </c>
      <c r="X37" s="72">
        <v>110.78899999999999</v>
      </c>
      <c r="Y37" s="72">
        <f t="shared" ref="Y37:AF37" si="24">G38-C38</f>
        <v>0</v>
      </c>
      <c r="Z37" s="72">
        <f t="shared" si="24"/>
        <v>0</v>
      </c>
      <c r="AA37" s="72">
        <f t="shared" si="24"/>
        <v>-1529.2779221014084</v>
      </c>
      <c r="AB37" s="72">
        <f t="shared" si="24"/>
        <v>9839</v>
      </c>
      <c r="AC37" s="72">
        <f t="shared" si="24"/>
        <v>0</v>
      </c>
      <c r="AD37" s="72">
        <f t="shared" si="24"/>
        <v>226.04400501000009</v>
      </c>
      <c r="AE37" s="72">
        <f t="shared" si="24"/>
        <v>365.45733777139822</v>
      </c>
      <c r="AF37" s="72">
        <f t="shared" si="24"/>
        <v>-6493.1105200000011</v>
      </c>
    </row>
    <row r="38" spans="1:56">
      <c r="A38" s="21" t="s">
        <v>45</v>
      </c>
      <c r="B38" s="21"/>
      <c r="C38" s="72">
        <f>SUM(BB15:BB18)</f>
        <v>0</v>
      </c>
      <c r="D38" s="72">
        <f>SUM(AE15:AE18)</f>
        <v>1738.80004134</v>
      </c>
      <c r="E38" s="72">
        <f>SUM(H15:H18)</f>
        <v>5353.0410027126254</v>
      </c>
      <c r="F38" s="72">
        <f>SUM(AR15:AR18)</f>
        <v>110.78899999999999</v>
      </c>
      <c r="G38" s="72">
        <f>SUM(BC15:BC18)</f>
        <v>0</v>
      </c>
      <c r="H38" s="72">
        <f>SUM(AF15:AF18)</f>
        <v>1738.80004134</v>
      </c>
      <c r="I38" s="72">
        <f>SUM(I15:I18)</f>
        <v>3823.763080611217</v>
      </c>
      <c r="J38" s="72">
        <f>SUM(AS15:AS18)</f>
        <v>9949.7890000000007</v>
      </c>
      <c r="K38" s="72">
        <f>SUM(BD15:BD18)</f>
        <v>0</v>
      </c>
      <c r="L38" s="72">
        <f>SUM(AG15:AG18)</f>
        <v>1964.8440463500001</v>
      </c>
      <c r="M38" s="72">
        <f>SUM(J15:J18)</f>
        <v>4189.2204183826152</v>
      </c>
      <c r="N38" s="72">
        <f>SUM(AT15:AT18)</f>
        <v>3456.6784799999996</v>
      </c>
      <c r="O38" s="113">
        <f t="shared" si="18"/>
        <v>0</v>
      </c>
      <c r="P38" s="113">
        <f t="shared" si="16"/>
        <v>1738.80004134</v>
      </c>
      <c r="Q38" s="113">
        <f t="shared" si="16"/>
        <v>4588.4020416619214</v>
      </c>
      <c r="R38" s="113">
        <f t="shared" si="16"/>
        <v>5030.2890000000007</v>
      </c>
      <c r="S38" s="21" t="s">
        <v>44</v>
      </c>
      <c r="T38" s="21"/>
      <c r="U38" s="72">
        <v>1224</v>
      </c>
      <c r="V38" s="72">
        <v>2047.8045348000001</v>
      </c>
      <c r="W38" s="72">
        <v>4254.2954078537796</v>
      </c>
      <c r="X38" s="72">
        <v>294</v>
      </c>
      <c r="Y38" s="72">
        <f t="shared" ref="Y38:AF38" si="25">G37-C37</f>
        <v>0</v>
      </c>
      <c r="Z38" s="72">
        <f t="shared" si="25"/>
        <v>143.34637459999976</v>
      </c>
      <c r="AA38" s="72">
        <f t="shared" si="25"/>
        <v>4668.5977024315589</v>
      </c>
      <c r="AB38" s="72">
        <f t="shared" si="25"/>
        <v>6331</v>
      </c>
      <c r="AC38" s="72">
        <f t="shared" si="25"/>
        <v>0</v>
      </c>
      <c r="AD38" s="72">
        <f t="shared" si="25"/>
        <v>284.84961840000005</v>
      </c>
      <c r="AE38" s="72">
        <f t="shared" si="25"/>
        <v>1966.82236446155</v>
      </c>
      <c r="AF38" s="72">
        <f t="shared" si="25"/>
        <v>8492.2644600000003</v>
      </c>
    </row>
    <row r="39" spans="1:56">
      <c r="A39" s="21" t="s">
        <v>46</v>
      </c>
      <c r="B39" s="21"/>
      <c r="C39" s="72">
        <f>SUM(BB19:BB21)</f>
        <v>0</v>
      </c>
      <c r="D39" s="72">
        <f>SUM(AE19:AE21)</f>
        <v>0</v>
      </c>
      <c r="E39" s="72">
        <f>SUM(H19:H21)</f>
        <v>133.75171869125762</v>
      </c>
      <c r="F39" s="72">
        <f>SUM(AR19:AR21)</f>
        <v>263.91000001999998</v>
      </c>
      <c r="G39" s="72">
        <f>SUM(BC19:BC21)</f>
        <v>0</v>
      </c>
      <c r="H39" s="72">
        <f>SUM(AF19:AF21)</f>
        <v>0</v>
      </c>
      <c r="I39" s="72">
        <f>SUM(I19:I21)</f>
        <v>280.52877733780178</v>
      </c>
      <c r="J39" s="72">
        <f>SUM(AS19:AS21)</f>
        <v>5074.0300000199995</v>
      </c>
      <c r="K39" s="72">
        <f>SUM(BD19:BD21)</f>
        <v>0</v>
      </c>
      <c r="L39" s="72">
        <f>SUM(AG19:AG21)</f>
        <v>0</v>
      </c>
      <c r="M39" s="72">
        <f>SUM(J19:J21)</f>
        <v>465.66727560685138</v>
      </c>
      <c r="N39" s="72">
        <f>SUM(AT19:AT21)</f>
        <v>5947.3716620200003</v>
      </c>
      <c r="O39" s="113">
        <f t="shared" si="18"/>
        <v>0</v>
      </c>
      <c r="P39" s="113">
        <f t="shared" si="16"/>
        <v>0</v>
      </c>
      <c r="Q39" s="113">
        <f t="shared" si="16"/>
        <v>207.1402480145297</v>
      </c>
      <c r="R39" s="113">
        <f t="shared" si="16"/>
        <v>2668.9700000199996</v>
      </c>
      <c r="S39" s="21" t="s">
        <v>43</v>
      </c>
      <c r="T39" s="21"/>
      <c r="U39" s="72">
        <v>0</v>
      </c>
      <c r="V39" s="72">
        <v>700</v>
      </c>
      <c r="W39" s="72">
        <v>13749.676681461286</v>
      </c>
      <c r="X39" s="72">
        <v>2835.8000001400001</v>
      </c>
      <c r="Y39" s="72">
        <f t="shared" ref="Y39:AF39" si="26">G36-C36</f>
        <v>0</v>
      </c>
      <c r="Z39" s="72">
        <f t="shared" si="26"/>
        <v>0</v>
      </c>
      <c r="AA39" s="72">
        <f t="shared" si="26"/>
        <v>10574.993921895068</v>
      </c>
      <c r="AB39" s="72">
        <f t="shared" si="26"/>
        <v>7497.0000000300006</v>
      </c>
      <c r="AC39" s="72">
        <f t="shared" si="26"/>
        <v>0</v>
      </c>
      <c r="AD39" s="72">
        <f t="shared" si="26"/>
        <v>91</v>
      </c>
      <c r="AE39" s="72">
        <f t="shared" si="26"/>
        <v>3988.820495490465</v>
      </c>
      <c r="AF39" s="72">
        <f t="shared" si="26"/>
        <v>3430.0768100000005</v>
      </c>
    </row>
    <row r="40" spans="1:56">
      <c r="A40" s="21" t="s">
        <v>47</v>
      </c>
      <c r="B40" s="21"/>
      <c r="C40" s="72">
        <f>BB22</f>
        <v>0</v>
      </c>
      <c r="D40" s="72">
        <f>AE22</f>
        <v>4490.8315430000002</v>
      </c>
      <c r="E40" s="72">
        <f>H22</f>
        <v>1487.8230566433542</v>
      </c>
      <c r="F40" s="72">
        <f>AR22</f>
        <v>215.00000001000001</v>
      </c>
      <c r="G40" s="72">
        <f>BC22</f>
        <v>0</v>
      </c>
      <c r="H40" s="72">
        <f>AF22</f>
        <v>9924.175048000001</v>
      </c>
      <c r="I40" s="72">
        <f>I22</f>
        <v>2224.3118334486462</v>
      </c>
      <c r="J40" s="72">
        <f>AS22</f>
        <v>125</v>
      </c>
      <c r="K40" s="72">
        <f>BD22</f>
        <v>0</v>
      </c>
      <c r="L40" s="72">
        <f>AG22</f>
        <v>11214.317803999998</v>
      </c>
      <c r="M40" s="72">
        <f>J22</f>
        <v>2503.3014830662282</v>
      </c>
      <c r="N40" s="72">
        <f>AT22</f>
        <v>131.61183229</v>
      </c>
      <c r="O40" s="113">
        <f t="shared" si="18"/>
        <v>0</v>
      </c>
      <c r="P40" s="113">
        <f t="shared" si="16"/>
        <v>7207.5032955000006</v>
      </c>
      <c r="Q40" s="113">
        <f t="shared" si="16"/>
        <v>1856.0674450460001</v>
      </c>
      <c r="R40" s="113">
        <f t="shared" si="16"/>
        <v>170.000000005</v>
      </c>
      <c r="S40" s="21" t="s">
        <v>42</v>
      </c>
      <c r="T40" s="21"/>
      <c r="U40" s="72">
        <v>1535.27997559</v>
      </c>
      <c r="V40" s="72">
        <v>0</v>
      </c>
      <c r="W40" s="72">
        <v>3963.0138871483741</v>
      </c>
      <c r="X40" s="72">
        <v>6210</v>
      </c>
      <c r="Y40" s="72">
        <f t="shared" ref="Y40:AF40" si="27">G35-C35</f>
        <v>0</v>
      </c>
      <c r="Z40" s="72">
        <f t="shared" si="27"/>
        <v>0</v>
      </c>
      <c r="AA40" s="72">
        <f t="shared" si="27"/>
        <v>1985.0620219727061</v>
      </c>
      <c r="AB40" s="72">
        <f t="shared" si="27"/>
        <v>11390</v>
      </c>
      <c r="AC40" s="72">
        <f t="shared" si="27"/>
        <v>0</v>
      </c>
      <c r="AD40" s="72">
        <f t="shared" si="27"/>
        <v>0</v>
      </c>
      <c r="AE40" s="72">
        <f t="shared" si="27"/>
        <v>568.48919265733093</v>
      </c>
      <c r="AF40" s="72">
        <f t="shared" si="27"/>
        <v>7063.3700700000009</v>
      </c>
    </row>
    <row r="41" spans="1:56">
      <c r="A41" s="21" t="s">
        <v>48</v>
      </c>
      <c r="B41" s="21"/>
      <c r="C41" s="72">
        <f>SUM(BB23:BB25)</f>
        <v>33360.68115235</v>
      </c>
      <c r="D41" s="72">
        <f>SUM(AE23:AE25)</f>
        <v>6294</v>
      </c>
      <c r="E41" s="72">
        <f>SUM(H23:H25)</f>
        <v>408.08068980522171</v>
      </c>
      <c r="F41" s="72">
        <f>SUM(AR23:AR25)</f>
        <v>0</v>
      </c>
      <c r="G41" s="72">
        <f>SUM(BC23:BC25)</f>
        <v>33220.68115235</v>
      </c>
      <c r="H41" s="72">
        <f>SUM(AF23:AF25)</f>
        <v>6294</v>
      </c>
      <c r="I41" s="72">
        <f>SUM(I23:I25)</f>
        <v>297.56146828823091</v>
      </c>
      <c r="J41" s="72">
        <f>SUM(AS23:AS25)</f>
        <v>878</v>
      </c>
      <c r="K41" s="72">
        <f>SUM(BD23:BD25)</f>
        <v>33220.68115235</v>
      </c>
      <c r="L41" s="72">
        <f>SUM(AG23:AG25)</f>
        <v>7112.22</v>
      </c>
      <c r="M41" s="72">
        <f>SUM(J23:J25)</f>
        <v>263.50499130771323</v>
      </c>
      <c r="N41" s="72">
        <f>SUM(AT23:AT25)</f>
        <v>878</v>
      </c>
      <c r="O41" s="113">
        <f t="shared" si="18"/>
        <v>33290.68115235</v>
      </c>
      <c r="P41" s="113">
        <f t="shared" si="16"/>
        <v>6294</v>
      </c>
      <c r="Q41" s="113">
        <f t="shared" si="16"/>
        <v>352.82107904672631</v>
      </c>
      <c r="R41" s="113">
        <f t="shared" si="16"/>
        <v>439</v>
      </c>
      <c r="S41" s="21" t="s">
        <v>41</v>
      </c>
      <c r="T41" s="21"/>
      <c r="U41" s="72">
        <v>9549.7199707</v>
      </c>
      <c r="V41" s="72">
        <v>0</v>
      </c>
      <c r="W41" s="72">
        <v>12389.299012036365</v>
      </c>
      <c r="X41" s="72">
        <v>0</v>
      </c>
      <c r="Y41" s="72">
        <f t="shared" ref="Y41:AF41" si="28">G34-C34</f>
        <v>0</v>
      </c>
      <c r="Z41" s="72">
        <f t="shared" si="28"/>
        <v>1600</v>
      </c>
      <c r="AA41" s="72">
        <f t="shared" si="28"/>
        <v>7989.9575608505438</v>
      </c>
      <c r="AB41" s="72">
        <f t="shared" si="28"/>
        <v>377</v>
      </c>
      <c r="AC41" s="72">
        <f t="shared" si="28"/>
        <v>0</v>
      </c>
      <c r="AD41" s="72">
        <f t="shared" si="28"/>
        <v>208</v>
      </c>
      <c r="AE41" s="72">
        <f t="shared" si="28"/>
        <v>8117.2292453973132</v>
      </c>
      <c r="AF41" s="72">
        <f t="shared" si="28"/>
        <v>0</v>
      </c>
    </row>
    <row r="42" spans="1:56">
      <c r="A42" s="21" t="s">
        <v>49</v>
      </c>
      <c r="B42" s="21"/>
      <c r="C42" s="72">
        <f>BB26</f>
        <v>930</v>
      </c>
      <c r="D42" s="72">
        <f>AE26</f>
        <v>40</v>
      </c>
      <c r="E42" s="72">
        <f>H26</f>
        <v>661.82331915377836</v>
      </c>
      <c r="F42" s="72">
        <f>AR26</f>
        <v>0</v>
      </c>
      <c r="G42" s="72">
        <f>BC26</f>
        <v>930</v>
      </c>
      <c r="H42" s="72">
        <f>AF26</f>
        <v>50</v>
      </c>
      <c r="I42" s="72">
        <f>I26</f>
        <v>865.82955968457327</v>
      </c>
      <c r="J42" s="72">
        <f>AS26</f>
        <v>808</v>
      </c>
      <c r="K42" s="72">
        <f>BD26</f>
        <v>930</v>
      </c>
      <c r="L42" s="72">
        <f>AG26</f>
        <v>56.5</v>
      </c>
      <c r="M42" s="72">
        <f>J26</f>
        <v>948.58148734728979</v>
      </c>
      <c r="N42" s="72">
        <f>AT26</f>
        <v>808</v>
      </c>
      <c r="O42" s="113">
        <f t="shared" si="18"/>
        <v>930</v>
      </c>
      <c r="P42" s="113">
        <f t="shared" si="16"/>
        <v>45</v>
      </c>
      <c r="Q42" s="113">
        <f t="shared" si="16"/>
        <v>763.82643941917581</v>
      </c>
      <c r="R42" s="113">
        <f t="shared" si="16"/>
        <v>404</v>
      </c>
      <c r="S42" s="21" t="s">
        <v>75</v>
      </c>
      <c r="T42" s="21"/>
      <c r="U42" s="72">
        <v>2744</v>
      </c>
      <c r="V42" s="72">
        <v>4357.12</v>
      </c>
      <c r="W42" s="72">
        <v>20392.219873670234</v>
      </c>
      <c r="X42" s="72">
        <v>5810.7899999199999</v>
      </c>
      <c r="Y42" s="72">
        <f t="shared" ref="Y42:AF42" si="29">G33-C33</f>
        <v>0</v>
      </c>
      <c r="Z42" s="72">
        <f t="shared" si="29"/>
        <v>3673.96</v>
      </c>
      <c r="AA42" s="72">
        <f t="shared" si="29"/>
        <v>6919.3093248960249</v>
      </c>
      <c r="AB42" s="72">
        <f t="shared" si="29"/>
        <v>28495.484622299999</v>
      </c>
      <c r="AC42" s="72">
        <f t="shared" si="29"/>
        <v>0</v>
      </c>
      <c r="AD42" s="72">
        <f t="shared" si="29"/>
        <v>1044.0403999999999</v>
      </c>
      <c r="AE42" s="72">
        <f t="shared" si="29"/>
        <v>3719.7904060628643</v>
      </c>
      <c r="AF42" s="72">
        <f t="shared" si="29"/>
        <v>19971.107500699996</v>
      </c>
    </row>
    <row r="43" spans="1:56">
      <c r="A43" s="21" t="s">
        <v>50</v>
      </c>
      <c r="B43" s="21"/>
      <c r="C43" s="72">
        <f>BB27</f>
        <v>0</v>
      </c>
      <c r="D43" s="72">
        <f>AE27</f>
        <v>36.799999999999997</v>
      </c>
      <c r="E43" s="72">
        <f>H27</f>
        <v>38.4376914997356</v>
      </c>
      <c r="F43" s="72">
        <f>AR27</f>
        <v>0</v>
      </c>
      <c r="G43" s="72">
        <f>BC27</f>
        <v>0</v>
      </c>
      <c r="H43" s="72">
        <f>AF27</f>
        <v>36.799999999999997</v>
      </c>
      <c r="I43" s="72">
        <f>I27</f>
        <v>123.15176006915942</v>
      </c>
      <c r="J43" s="72">
        <f>AS27</f>
        <v>0</v>
      </c>
      <c r="K43" s="72">
        <f>BD27</f>
        <v>0</v>
      </c>
      <c r="L43" s="72">
        <f>AG27</f>
        <v>41.584000000000003</v>
      </c>
      <c r="M43" s="72">
        <f>J27</f>
        <v>127.35034734341249</v>
      </c>
      <c r="N43" s="72">
        <f>AT27</f>
        <v>552.12907099999995</v>
      </c>
      <c r="O43" s="113">
        <f t="shared" si="18"/>
        <v>0</v>
      </c>
      <c r="P43" s="113">
        <f t="shared" si="16"/>
        <v>36.799999999999997</v>
      </c>
      <c r="Q43" s="113">
        <f t="shared" si="16"/>
        <v>80.794725784447508</v>
      </c>
      <c r="R43" s="113">
        <f t="shared" si="16"/>
        <v>0</v>
      </c>
      <c r="S43" s="21" t="s">
        <v>39</v>
      </c>
      <c r="T43" s="21"/>
      <c r="U43" s="72">
        <v>3800</v>
      </c>
      <c r="V43" s="72">
        <v>5481.5</v>
      </c>
      <c r="W43" s="72">
        <v>1304.7727783626831</v>
      </c>
      <c r="X43" s="72">
        <v>636.00000010000008</v>
      </c>
      <c r="Y43" s="72">
        <f t="shared" ref="Y43:AF43" si="30">G32-C32</f>
        <v>1043.1372070300004</v>
      </c>
      <c r="Z43" s="72">
        <f t="shared" si="30"/>
        <v>0</v>
      </c>
      <c r="AA43" s="72">
        <f t="shared" si="30"/>
        <v>1436.4765906784717</v>
      </c>
      <c r="AB43" s="72">
        <f t="shared" si="30"/>
        <v>16233</v>
      </c>
      <c r="AC43" s="72">
        <f t="shared" si="30"/>
        <v>0</v>
      </c>
      <c r="AD43" s="72">
        <f t="shared" si="30"/>
        <v>712.59499999999935</v>
      </c>
      <c r="AE43" s="72">
        <f t="shared" si="30"/>
        <v>1788.3997915990803</v>
      </c>
      <c r="AF43" s="72">
        <f t="shared" si="30"/>
        <v>22937.894370000002</v>
      </c>
    </row>
    <row r="44" spans="1:56">
      <c r="A44" s="21" t="s">
        <v>51</v>
      </c>
      <c r="B44" s="21"/>
      <c r="C44" s="72">
        <f>BB28</f>
        <v>0</v>
      </c>
      <c r="D44" s="72">
        <f>AE28</f>
        <v>90</v>
      </c>
      <c r="E44" s="72">
        <f>H28</f>
        <v>411.1626907916438</v>
      </c>
      <c r="F44" s="72">
        <f>AR28</f>
        <v>0</v>
      </c>
      <c r="G44" s="72">
        <f>BC28</f>
        <v>0</v>
      </c>
      <c r="H44" s="72">
        <f>AF28</f>
        <v>173.33333329999999</v>
      </c>
      <c r="I44" s="72">
        <f>I28</f>
        <v>543.65438052594357</v>
      </c>
      <c r="J44" s="72">
        <f>AS28</f>
        <v>0</v>
      </c>
      <c r="K44" s="72">
        <f>BD28</f>
        <v>0</v>
      </c>
      <c r="L44" s="72">
        <f>AG28</f>
        <v>195.8666667</v>
      </c>
      <c r="M44" s="72">
        <f>J28</f>
        <v>595.61431590536336</v>
      </c>
      <c r="N44" s="72">
        <f>AT28</f>
        <v>419.3234746</v>
      </c>
      <c r="O44" s="113">
        <f t="shared" si="18"/>
        <v>0</v>
      </c>
      <c r="P44" s="113">
        <f t="shared" si="16"/>
        <v>131.66666665</v>
      </c>
      <c r="Q44" s="113">
        <f t="shared" si="16"/>
        <v>477.40853565879365</v>
      </c>
      <c r="R44" s="113">
        <f t="shared" si="16"/>
        <v>0</v>
      </c>
      <c r="S44" s="21" t="s">
        <v>38</v>
      </c>
      <c r="T44" s="21"/>
      <c r="U44" s="72">
        <v>9025.7401123099989</v>
      </c>
      <c r="V44" s="72">
        <v>1758.8649520500001</v>
      </c>
      <c r="W44" s="72">
        <v>18249.678950318259</v>
      </c>
      <c r="X44" s="72">
        <v>12224.56800033</v>
      </c>
      <c r="Y44" s="72">
        <f t="shared" ref="Y44:AF44" si="31">G31-C31</f>
        <v>270</v>
      </c>
      <c r="Z44" s="72">
        <f t="shared" si="31"/>
        <v>1415.7350233499999</v>
      </c>
      <c r="AA44" s="72">
        <f t="shared" si="31"/>
        <v>20026.914224217362</v>
      </c>
      <c r="AB44" s="72">
        <f t="shared" si="31"/>
        <v>27676.299999969997</v>
      </c>
      <c r="AC44" s="72">
        <f t="shared" si="31"/>
        <v>0</v>
      </c>
      <c r="AD44" s="72">
        <f t="shared" si="31"/>
        <v>412.69799620000003</v>
      </c>
      <c r="AE44" s="72">
        <f t="shared" si="31"/>
        <v>25261.119541599212</v>
      </c>
      <c r="AF44" s="72">
        <f t="shared" si="31"/>
        <v>8433.2499996500046</v>
      </c>
    </row>
    <row r="45" spans="1:56">
      <c r="A45" s="21" t="s">
        <v>35</v>
      </c>
      <c r="B45" s="21"/>
      <c r="C45" s="72"/>
      <c r="D45" s="72"/>
      <c r="E45" s="72">
        <f t="shared" ref="E45:I45" si="32">SUM(E31:E44)</f>
        <v>82797.076760148586</v>
      </c>
      <c r="F45" s="72"/>
      <c r="G45" s="72"/>
      <c r="H45" s="72"/>
      <c r="I45" s="72">
        <f t="shared" si="32"/>
        <v>136063.06879775834</v>
      </c>
      <c r="J45" s="72"/>
      <c r="K45" s="72"/>
      <c r="L45" s="72"/>
      <c r="M45" s="72"/>
      <c r="N45" s="72"/>
      <c r="O45" s="72">
        <f>SUM(O31:O44)</f>
        <v>62755.989814465</v>
      </c>
      <c r="P45" s="72">
        <f t="shared" ref="P45:R45" si="33">SUM(P31:P44)</f>
        <v>33215.580189315006</v>
      </c>
      <c r="Q45" s="72">
        <f t="shared" si="33"/>
        <v>109430.07277895346</v>
      </c>
      <c r="R45" s="72">
        <f t="shared" si="33"/>
        <v>85723.309311664998</v>
      </c>
      <c r="S45" s="21" t="s">
        <v>35</v>
      </c>
      <c r="T45" s="21"/>
      <c r="U45" s="72"/>
      <c r="V45" s="72"/>
      <c r="W45" s="72"/>
      <c r="X45" s="72"/>
      <c r="Y45" s="72"/>
      <c r="Z45" s="72"/>
      <c r="AA45" s="72"/>
      <c r="AB45" s="72"/>
      <c r="AC45" s="72"/>
      <c r="AD45" s="72"/>
      <c r="AE45" s="72"/>
      <c r="AF45" s="72"/>
    </row>
    <row r="46" spans="1:56">
      <c r="A46" s="83" t="s">
        <v>305</v>
      </c>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row>
    <row r="47" spans="1:56">
      <c r="A47" s="79"/>
      <c r="B47" s="79"/>
      <c r="C47" s="42" t="s">
        <v>143</v>
      </c>
      <c r="D47" s="42" t="s">
        <v>144</v>
      </c>
      <c r="E47" s="42" t="s">
        <v>163</v>
      </c>
      <c r="F47" s="42" t="s">
        <v>164</v>
      </c>
      <c r="G47" s="42" t="s">
        <v>165</v>
      </c>
    </row>
    <row r="48" spans="1:56">
      <c r="A48" s="21" t="s">
        <v>38</v>
      </c>
      <c r="B48" s="21"/>
      <c r="C48" s="110">
        <v>50.18</v>
      </c>
      <c r="D48" s="110">
        <v>20.100000000000001</v>
      </c>
      <c r="E48" s="110">
        <v>33.21</v>
      </c>
      <c r="F48" s="110">
        <v>7.23</v>
      </c>
      <c r="G48" s="110">
        <v>2.14</v>
      </c>
    </row>
    <row r="49" spans="1:56">
      <c r="A49" s="21" t="s">
        <v>39</v>
      </c>
      <c r="B49" s="21"/>
      <c r="C49" s="110">
        <v>3.36</v>
      </c>
      <c r="D49" s="110">
        <v>6.5</v>
      </c>
      <c r="E49" s="110">
        <v>22.37</v>
      </c>
      <c r="F49" s="110">
        <v>2.1800000000000002</v>
      </c>
      <c r="G49" s="110">
        <v>2.0699999999999998</v>
      </c>
    </row>
    <row r="50" spans="1:56">
      <c r="A50" s="21" t="s">
        <v>75</v>
      </c>
      <c r="B50" s="21"/>
      <c r="C50" s="110">
        <v>3.15</v>
      </c>
      <c r="D50" s="110">
        <v>17.52</v>
      </c>
      <c r="E50" s="110">
        <v>19.940000000000001</v>
      </c>
      <c r="F50" s="110">
        <v>2.74</v>
      </c>
      <c r="G50" s="110"/>
    </row>
    <row r="51" spans="1:56">
      <c r="A51" s="21" t="s">
        <v>41</v>
      </c>
      <c r="B51" s="21"/>
      <c r="C51" s="110">
        <v>4.6100000000000003</v>
      </c>
      <c r="D51" s="110">
        <v>2.7</v>
      </c>
      <c r="E51" s="110">
        <v>17.399999999999999</v>
      </c>
      <c r="F51" s="110">
        <v>6.91</v>
      </c>
      <c r="G51" s="110">
        <v>4.22</v>
      </c>
    </row>
    <row r="52" spans="1:56">
      <c r="A52" s="21" t="s">
        <v>42</v>
      </c>
      <c r="B52" s="21"/>
      <c r="C52" s="110"/>
      <c r="D52" s="110"/>
      <c r="E52" s="110">
        <v>10.18</v>
      </c>
      <c r="F52" s="110">
        <v>1.33</v>
      </c>
      <c r="G52" s="110">
        <v>0.22</v>
      </c>
      <c r="O52" s="24"/>
      <c r="P52" s="24"/>
      <c r="Q52" s="24"/>
      <c r="R52" s="24"/>
      <c r="S52" s="24"/>
      <c r="T52" s="24"/>
      <c r="W52" s="24"/>
      <c r="X52" s="24"/>
      <c r="Y52" s="24"/>
    </row>
    <row r="53" spans="1:56">
      <c r="A53" s="21" t="s">
        <v>43</v>
      </c>
      <c r="B53" s="21"/>
      <c r="C53" s="110">
        <v>21.33</v>
      </c>
      <c r="D53" s="110">
        <v>2.02</v>
      </c>
      <c r="E53" s="110">
        <v>6.02</v>
      </c>
      <c r="F53" s="110"/>
      <c r="G53" s="110"/>
    </row>
    <row r="54" spans="1:56">
      <c r="A54" s="21" t="s">
        <v>44</v>
      </c>
      <c r="B54" s="21"/>
      <c r="C54" s="110">
        <v>0.69</v>
      </c>
      <c r="D54" s="110">
        <v>3.27</v>
      </c>
      <c r="E54" s="110">
        <v>3.89</v>
      </c>
      <c r="F54" s="110">
        <v>1.31</v>
      </c>
      <c r="G54" s="110"/>
    </row>
    <row r="55" spans="1:56">
      <c r="A55" s="21" t="s">
        <v>45</v>
      </c>
      <c r="B55" s="21"/>
      <c r="C55" s="110">
        <v>0.57999999999999996</v>
      </c>
      <c r="D55" s="110">
        <v>1.74</v>
      </c>
      <c r="E55" s="110">
        <v>3.42</v>
      </c>
      <c r="F55" s="110"/>
      <c r="G55" s="110"/>
    </row>
    <row r="56" spans="1:56">
      <c r="A56" s="21" t="s">
        <v>46</v>
      </c>
      <c r="B56" s="21"/>
      <c r="C56" s="110">
        <v>0.53</v>
      </c>
      <c r="D56" s="110"/>
      <c r="E56" s="110">
        <v>2.4700000000000002</v>
      </c>
      <c r="F56" s="110"/>
      <c r="G56" s="110"/>
    </row>
    <row r="57" spans="1:56">
      <c r="A57" s="21" t="s">
        <v>47</v>
      </c>
      <c r="B57" s="21"/>
      <c r="C57" s="110">
        <v>1.27</v>
      </c>
      <c r="D57" s="110">
        <v>6.26</v>
      </c>
      <c r="E57" s="110">
        <v>2.65</v>
      </c>
      <c r="F57" s="110"/>
      <c r="G57" s="110"/>
    </row>
    <row r="58" spans="1:56">
      <c r="A58" s="21" t="s">
        <v>48</v>
      </c>
      <c r="B58" s="21"/>
      <c r="C58" s="110"/>
      <c r="D58" s="110">
        <v>10.63</v>
      </c>
      <c r="E58" s="110"/>
      <c r="F58" s="110"/>
      <c r="G58" s="110">
        <v>0.71</v>
      </c>
    </row>
    <row r="59" spans="1:56">
      <c r="A59" s="21" t="s">
        <v>49</v>
      </c>
      <c r="B59" s="21"/>
      <c r="C59" s="110">
        <v>0.94</v>
      </c>
      <c r="D59" s="110">
        <v>0.04</v>
      </c>
      <c r="E59" s="110">
        <v>0.78</v>
      </c>
      <c r="F59" s="110">
        <v>0.94</v>
      </c>
      <c r="G59" s="110"/>
    </row>
    <row r="60" spans="1:56">
      <c r="A60" s="21" t="s">
        <v>50</v>
      </c>
      <c r="B60" s="21"/>
      <c r="C60" s="110">
        <v>0.04</v>
      </c>
      <c r="D60" s="110">
        <v>0.15</v>
      </c>
      <c r="E60" s="110">
        <v>0.37</v>
      </c>
      <c r="F60" s="110"/>
      <c r="G60" s="110"/>
    </row>
    <row r="61" spans="1:56">
      <c r="A61" s="21" t="s">
        <v>51</v>
      </c>
      <c r="B61" s="21"/>
      <c r="C61" s="110"/>
      <c r="D61" s="110">
        <v>0.26</v>
      </c>
      <c r="E61" s="110">
        <v>0.26</v>
      </c>
      <c r="F61" s="110"/>
      <c r="G61" s="110"/>
    </row>
    <row r="62" spans="1:56">
      <c r="A62" s="21" t="s">
        <v>35</v>
      </c>
      <c r="B62" s="21"/>
      <c r="C62" s="70">
        <f>SUM(C48:C61)</f>
        <v>86.679999999999993</v>
      </c>
      <c r="D62" s="70">
        <f t="shared" ref="D62:G62" si="34">SUM(D48:D61)</f>
        <v>71.190000000000026</v>
      </c>
      <c r="E62" s="70">
        <f t="shared" si="34"/>
        <v>122.96000000000001</v>
      </c>
      <c r="F62" s="70">
        <f t="shared" si="34"/>
        <v>22.64</v>
      </c>
      <c r="G62" s="70">
        <f t="shared" si="34"/>
        <v>9.36</v>
      </c>
    </row>
    <row r="63" spans="1:56">
      <c r="A63" s="83" t="s">
        <v>306</v>
      </c>
      <c r="B63" s="75"/>
      <c r="C63" s="75"/>
      <c r="D63" s="75"/>
      <c r="E63" s="75"/>
      <c r="F63" s="75"/>
      <c r="G63" s="75"/>
      <c r="H63" s="75"/>
      <c r="I63" s="75"/>
      <c r="J63" s="75"/>
      <c r="K63" s="75"/>
      <c r="L63" s="75"/>
      <c r="M63" s="75"/>
      <c r="N63" s="75"/>
      <c r="O63" s="75"/>
      <c r="P63" s="75"/>
      <c r="Q63" s="75"/>
      <c r="R63" s="75"/>
      <c r="S63" s="80"/>
      <c r="T63" s="80"/>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row>
    <row r="64" spans="1:56">
      <c r="A64" s="592" t="s">
        <v>303</v>
      </c>
      <c r="B64" s="592"/>
      <c r="C64" s="592"/>
      <c r="D64" s="592"/>
      <c r="E64" s="592"/>
      <c r="F64" s="592"/>
      <c r="G64" s="592"/>
      <c r="I64" s="592" t="s">
        <v>298</v>
      </c>
      <c r="J64" s="592"/>
      <c r="K64" s="592"/>
      <c r="L64" s="592"/>
      <c r="M64" s="592"/>
      <c r="N64" s="592"/>
      <c r="P64" s="39" t="s">
        <v>310</v>
      </c>
    </row>
    <row r="65" spans="1:56" ht="17.25">
      <c r="A65" s="79"/>
      <c r="B65" s="592" t="s">
        <v>309</v>
      </c>
      <c r="C65" s="592"/>
      <c r="D65" s="592"/>
      <c r="E65" s="592" t="s">
        <v>297</v>
      </c>
      <c r="F65" s="592"/>
      <c r="G65" s="592"/>
      <c r="H65" s="1"/>
      <c r="I65" s="79"/>
      <c r="J65" s="79" t="s">
        <v>299</v>
      </c>
      <c r="K65" s="82">
        <v>2022</v>
      </c>
      <c r="L65" s="79" t="s">
        <v>300</v>
      </c>
      <c r="M65" s="79" t="s">
        <v>301</v>
      </c>
      <c r="N65" s="79"/>
      <c r="P65" s="39" t="s">
        <v>304</v>
      </c>
    </row>
    <row r="66" spans="1:56">
      <c r="A66" s="21"/>
      <c r="B66" t="s">
        <v>164</v>
      </c>
      <c r="C66" t="s">
        <v>228</v>
      </c>
      <c r="D66" s="1"/>
      <c r="E66" s="21" t="s">
        <v>164</v>
      </c>
      <c r="F66" s="21" t="s">
        <v>228</v>
      </c>
      <c r="G66" s="21" t="s">
        <v>35</v>
      </c>
      <c r="I66" s="3" t="s">
        <v>26</v>
      </c>
      <c r="J66" s="72">
        <v>9370.0000000000018</v>
      </c>
      <c r="K66" s="72">
        <v>9295.7401123099989</v>
      </c>
      <c r="L66" s="72">
        <f>D67</f>
        <v>9850.70490909</v>
      </c>
      <c r="M66" s="72">
        <v>9900</v>
      </c>
      <c r="N66" s="72">
        <f>M66-J66</f>
        <v>529.99999999999818</v>
      </c>
    </row>
    <row r="67" spans="1:56" ht="14.45" customHeight="1">
      <c r="A67" s="3" t="s">
        <v>107</v>
      </c>
      <c r="B67" s="189">
        <v>8393</v>
      </c>
      <c r="C67" s="189">
        <v>1457.70490909</v>
      </c>
      <c r="D67" s="72">
        <f>B67+C67</f>
        <v>9850.70490909</v>
      </c>
      <c r="E67" s="189">
        <v>8400</v>
      </c>
      <c r="F67" s="189">
        <v>1500</v>
      </c>
      <c r="G67" s="72">
        <f>SUM(E67:F67)</f>
        <v>9900</v>
      </c>
      <c r="I67" s="3" t="s">
        <v>126</v>
      </c>
      <c r="J67" s="72">
        <v>4250</v>
      </c>
      <c r="K67" s="72">
        <v>4843.1372070300004</v>
      </c>
      <c r="L67" s="72">
        <f t="shared" ref="L67:L71" si="35">D68</f>
        <v>2954</v>
      </c>
      <c r="M67" s="72">
        <v>3500</v>
      </c>
      <c r="N67" s="72">
        <f t="shared" ref="N67:N73" si="36">M67-J67</f>
        <v>-750</v>
      </c>
    </row>
    <row r="68" spans="1:56">
      <c r="A68" s="3" t="s">
        <v>109</v>
      </c>
      <c r="B68" s="189">
        <v>2954</v>
      </c>
      <c r="C68" s="189"/>
      <c r="D68" s="72">
        <f t="shared" ref="D68:D76" si="37">B68+C68</f>
        <v>2954</v>
      </c>
      <c r="E68" s="189">
        <v>1800</v>
      </c>
      <c r="F68" s="189">
        <v>1700</v>
      </c>
      <c r="G68" s="72">
        <f t="shared" ref="G68:G77" si="38">SUM(E68:F68)</f>
        <v>3500</v>
      </c>
      <c r="I68" s="3" t="s">
        <v>75</v>
      </c>
      <c r="J68" s="72">
        <v>2740</v>
      </c>
      <c r="K68" s="72">
        <v>2744</v>
      </c>
      <c r="L68" s="72">
        <f t="shared" si="35"/>
        <v>3500</v>
      </c>
      <c r="M68" s="72">
        <v>3000</v>
      </c>
      <c r="N68" s="72">
        <f t="shared" si="36"/>
        <v>260</v>
      </c>
    </row>
    <row r="69" spans="1:56">
      <c r="A69" s="3" t="s">
        <v>110</v>
      </c>
      <c r="B69" s="189">
        <v>1800</v>
      </c>
      <c r="C69" s="189">
        <v>1700</v>
      </c>
      <c r="D69" s="72">
        <f t="shared" si="37"/>
        <v>3500</v>
      </c>
      <c r="E69" s="189">
        <v>3000</v>
      </c>
      <c r="F69" s="189"/>
      <c r="G69" s="72">
        <f t="shared" si="38"/>
        <v>3000</v>
      </c>
      <c r="I69" s="3" t="s">
        <v>127</v>
      </c>
      <c r="J69" s="72">
        <v>11129.999999999998</v>
      </c>
      <c r="K69" s="72">
        <v>9549.7199707</v>
      </c>
      <c r="L69" s="72">
        <f t="shared" si="35"/>
        <v>5956.12401899</v>
      </c>
      <c r="M69" s="72">
        <v>5900</v>
      </c>
      <c r="N69" s="72">
        <f t="shared" si="36"/>
        <v>-5229.9999999999982</v>
      </c>
    </row>
    <row r="70" spans="1:56">
      <c r="A70" s="3" t="s">
        <v>112</v>
      </c>
      <c r="B70" s="189">
        <v>4212</v>
      </c>
      <c r="C70" s="189">
        <v>1744.12401899</v>
      </c>
      <c r="D70" s="72">
        <f t="shared" si="37"/>
        <v>5956.12401899</v>
      </c>
      <c r="E70" s="189">
        <v>4200</v>
      </c>
      <c r="F70" s="189">
        <v>1700</v>
      </c>
      <c r="G70" s="72">
        <f t="shared" si="38"/>
        <v>5900</v>
      </c>
      <c r="I70" s="3" t="s">
        <v>128</v>
      </c>
      <c r="J70" s="72">
        <v>1550</v>
      </c>
      <c r="K70" s="72">
        <v>1535.27997559</v>
      </c>
      <c r="L70" s="72">
        <f t="shared" si="35"/>
        <v>1473.1</v>
      </c>
      <c r="M70" s="72">
        <v>1450</v>
      </c>
      <c r="N70" s="72">
        <f t="shared" si="36"/>
        <v>-100</v>
      </c>
    </row>
    <row r="71" spans="1:56">
      <c r="A71" s="3" t="s">
        <v>113</v>
      </c>
      <c r="B71" s="189">
        <v>1323.1</v>
      </c>
      <c r="C71" s="189">
        <v>150</v>
      </c>
      <c r="D71" s="72">
        <f t="shared" si="37"/>
        <v>1473.1</v>
      </c>
      <c r="E71" s="189">
        <v>1300</v>
      </c>
      <c r="F71" s="189">
        <v>150</v>
      </c>
      <c r="G71" s="72">
        <f t="shared" si="38"/>
        <v>1450</v>
      </c>
      <c r="I71" s="3" t="s">
        <v>130</v>
      </c>
      <c r="J71" s="72">
        <v>1310</v>
      </c>
      <c r="K71" s="72">
        <v>1224</v>
      </c>
      <c r="L71" s="72">
        <f t="shared" si="35"/>
        <v>1395</v>
      </c>
      <c r="M71" s="72">
        <v>1400</v>
      </c>
      <c r="N71" s="72">
        <f t="shared" si="36"/>
        <v>90</v>
      </c>
    </row>
    <row r="72" spans="1:56">
      <c r="A72" s="3" t="s">
        <v>115</v>
      </c>
      <c r="B72" s="189">
        <v>1395</v>
      </c>
      <c r="C72" s="189"/>
      <c r="D72" s="72">
        <f t="shared" si="37"/>
        <v>1395</v>
      </c>
      <c r="E72" s="189">
        <v>1400</v>
      </c>
      <c r="F72" s="189"/>
      <c r="G72" s="72">
        <f t="shared" si="38"/>
        <v>1400</v>
      </c>
      <c r="I72" s="21" t="s">
        <v>134</v>
      </c>
      <c r="J72" s="72">
        <v>710</v>
      </c>
      <c r="K72" s="72">
        <v>33220.68115235</v>
      </c>
      <c r="L72" s="72">
        <f>SUM(D73:D75)</f>
        <v>34472.199999999997</v>
      </c>
      <c r="M72" s="72">
        <f>SUM(G73:G75)</f>
        <v>34400</v>
      </c>
      <c r="N72" s="72">
        <f>M72-K72</f>
        <v>1179.31884765</v>
      </c>
    </row>
    <row r="73" spans="1:56">
      <c r="A73" s="21" t="s">
        <v>118</v>
      </c>
      <c r="B73" s="189"/>
      <c r="C73" s="189">
        <v>4931.3999999999996</v>
      </c>
      <c r="D73" s="72">
        <f t="shared" si="37"/>
        <v>4931.3999999999996</v>
      </c>
      <c r="E73" s="189"/>
      <c r="F73" s="189">
        <v>4900</v>
      </c>
      <c r="G73" s="72">
        <f t="shared" si="38"/>
        <v>4900</v>
      </c>
      <c r="I73" s="3" t="s">
        <v>135</v>
      </c>
      <c r="J73" s="72">
        <v>940</v>
      </c>
      <c r="K73" s="72">
        <v>930</v>
      </c>
      <c r="L73" s="72">
        <f>D76</f>
        <v>900</v>
      </c>
      <c r="M73" s="72">
        <v>900</v>
      </c>
      <c r="N73" s="72">
        <f t="shared" si="36"/>
        <v>-40</v>
      </c>
    </row>
    <row r="74" spans="1:56">
      <c r="A74" s="3" t="s">
        <v>119</v>
      </c>
      <c r="B74" s="189"/>
      <c r="C74" s="189">
        <v>5540.4</v>
      </c>
      <c r="D74" s="72">
        <f t="shared" si="37"/>
        <v>5540.4</v>
      </c>
      <c r="E74" s="189"/>
      <c r="F74" s="189">
        <v>5500</v>
      </c>
      <c r="G74" s="72">
        <f t="shared" si="38"/>
        <v>5500</v>
      </c>
      <c r="I74" s="21" t="s">
        <v>35</v>
      </c>
      <c r="J74" s="72">
        <f>SUM(J66:J73)</f>
        <v>32000</v>
      </c>
      <c r="K74" s="72">
        <f t="shared" ref="K74:M74" si="39">SUM(K66:K73)</f>
        <v>63342.558417979999</v>
      </c>
      <c r="L74" s="72">
        <f t="shared" si="39"/>
        <v>60501.128928079997</v>
      </c>
      <c r="M74" s="72">
        <f t="shared" si="39"/>
        <v>60450</v>
      </c>
      <c r="N74" s="72"/>
    </row>
    <row r="75" spans="1:56">
      <c r="A75" s="3" t="s">
        <v>120</v>
      </c>
      <c r="B75" s="189"/>
      <c r="C75" s="189">
        <v>24000.400000000001</v>
      </c>
      <c r="D75" s="72">
        <f t="shared" si="37"/>
        <v>24000.400000000001</v>
      </c>
      <c r="E75" s="189"/>
      <c r="F75" s="189">
        <v>24000</v>
      </c>
      <c r="G75" s="72">
        <f t="shared" si="38"/>
        <v>24000</v>
      </c>
    </row>
    <row r="76" spans="1:56">
      <c r="A76" s="3" t="s">
        <v>121</v>
      </c>
      <c r="B76" s="189">
        <v>900</v>
      </c>
      <c r="C76" s="189"/>
      <c r="D76" s="72">
        <f t="shared" si="37"/>
        <v>900</v>
      </c>
      <c r="E76" s="189">
        <v>900</v>
      </c>
      <c r="F76" s="189"/>
      <c r="G76" s="72">
        <f t="shared" si="38"/>
        <v>900</v>
      </c>
    </row>
    <row r="77" spans="1:56">
      <c r="A77" s="3" t="s">
        <v>35</v>
      </c>
      <c r="B77" s="72">
        <f>SUM(B67:B76)</f>
        <v>20977.1</v>
      </c>
      <c r="C77" s="72">
        <f t="shared" ref="C77:D77" si="40">SUM(C67:C76)</f>
        <v>39524.028928079999</v>
      </c>
      <c r="D77" s="72">
        <f t="shared" si="40"/>
        <v>60501.128928080005</v>
      </c>
      <c r="E77" s="72">
        <f>SUM(E67:E76)</f>
        <v>21000</v>
      </c>
      <c r="F77" s="72">
        <f>SUM(F67:F76)</f>
        <v>39450</v>
      </c>
      <c r="G77" s="72">
        <f t="shared" si="38"/>
        <v>60450</v>
      </c>
    </row>
    <row r="78" spans="1:56">
      <c r="A78" s="83" t="s">
        <v>307</v>
      </c>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row>
    <row r="79" spans="1:56">
      <c r="A79" s="592" t="s">
        <v>308</v>
      </c>
      <c r="B79" s="592"/>
      <c r="C79" s="596" t="s">
        <v>313</v>
      </c>
      <c r="D79" s="596"/>
      <c r="E79" s="596"/>
      <c r="F79" s="596"/>
      <c r="G79" s="596"/>
      <c r="H79" s="596"/>
      <c r="J79" s="592" t="s">
        <v>298</v>
      </c>
      <c r="K79" s="592"/>
      <c r="L79" s="592"/>
      <c r="M79" s="592"/>
      <c r="N79" s="592"/>
      <c r="O79" s="592"/>
      <c r="Q79" s="592" t="s">
        <v>315</v>
      </c>
      <c r="R79" s="592"/>
      <c r="V79" s="39" t="s">
        <v>314</v>
      </c>
    </row>
    <row r="80" spans="1:56">
      <c r="A80" s="3" t="s">
        <v>110</v>
      </c>
      <c r="B80" s="189">
        <v>410</v>
      </c>
      <c r="C80" s="79"/>
      <c r="D80" s="592" t="s">
        <v>148</v>
      </c>
      <c r="E80" s="592"/>
      <c r="F80" s="592" t="s">
        <v>147</v>
      </c>
      <c r="G80" s="592"/>
      <c r="H80" s="79" t="s">
        <v>35</v>
      </c>
      <c r="J80" s="79"/>
      <c r="K80" s="79"/>
      <c r="L80" s="82">
        <v>2022</v>
      </c>
      <c r="M80" s="82" t="s">
        <v>312</v>
      </c>
      <c r="N80" s="79" t="s">
        <v>313</v>
      </c>
      <c r="O80" s="42" t="s">
        <v>299</v>
      </c>
      <c r="Q80" s="21" t="s">
        <v>107</v>
      </c>
      <c r="R80" s="552">
        <f>O81</f>
        <v>50180</v>
      </c>
      <c r="V80" s="39" t="s">
        <v>602</v>
      </c>
    </row>
    <row r="81" spans="1:22">
      <c r="A81" s="3" t="s">
        <v>112</v>
      </c>
      <c r="B81" s="189">
        <v>500</v>
      </c>
      <c r="C81" s="42"/>
      <c r="D81" s="82">
        <v>2030</v>
      </c>
      <c r="E81" s="82">
        <v>2040</v>
      </c>
      <c r="F81" s="82">
        <v>2030</v>
      </c>
      <c r="G81" s="82">
        <v>2040</v>
      </c>
      <c r="H81" s="82">
        <v>2035</v>
      </c>
      <c r="J81" s="21" t="s">
        <v>38</v>
      </c>
      <c r="K81" s="21"/>
      <c r="L81" s="346">
        <f>Q31</f>
        <v>28263.13606242694</v>
      </c>
      <c r="M81" s="72">
        <v>238528.70090909093</v>
      </c>
      <c r="N81" s="72">
        <f>SUM(H82:H83)</f>
        <v>138281.4</v>
      </c>
      <c r="O81" s="222">
        <f t="shared" ref="O81:O94" si="41">C48*1000</f>
        <v>50180</v>
      </c>
      <c r="Q81" s="21" t="s">
        <v>109</v>
      </c>
      <c r="R81" s="552">
        <f t="shared" ref="R81:R86" si="42">O82</f>
        <v>3360</v>
      </c>
      <c r="V81" s="39" t="s">
        <v>311</v>
      </c>
    </row>
    <row r="82" spans="1:22">
      <c r="A82" s="3" t="s">
        <v>113</v>
      </c>
      <c r="B82" s="189">
        <v>111</v>
      </c>
      <c r="C82" s="21" t="s">
        <v>107</v>
      </c>
      <c r="D82" s="189">
        <v>50538</v>
      </c>
      <c r="E82" s="189">
        <v>157525</v>
      </c>
      <c r="F82" s="189">
        <v>6400.8</v>
      </c>
      <c r="G82" s="189">
        <v>62099</v>
      </c>
      <c r="H82" s="72">
        <f>SUM(D82:G82)/2</f>
        <v>138281.4</v>
      </c>
      <c r="J82" s="21" t="s">
        <v>39</v>
      </c>
      <c r="K82" s="21"/>
      <c r="L82" s="346">
        <f t="shared" ref="L82:L94" si="43">Q32</f>
        <v>2023.011073701919</v>
      </c>
      <c r="M82" s="72">
        <v>10776.999999999998</v>
      </c>
      <c r="N82" s="72">
        <f>H84</f>
        <v>10777</v>
      </c>
      <c r="O82" s="222">
        <f t="shared" si="41"/>
        <v>3360</v>
      </c>
      <c r="Q82" s="21" t="s">
        <v>110</v>
      </c>
      <c r="R82" s="552">
        <f t="shared" si="42"/>
        <v>3150</v>
      </c>
      <c r="V82" s="39" t="s">
        <v>700</v>
      </c>
    </row>
    <row r="83" spans="1:22">
      <c r="A83" s="3" t="s">
        <v>115</v>
      </c>
      <c r="B83" s="189">
        <v>410</v>
      </c>
      <c r="C83" s="21" t="s">
        <v>108</v>
      </c>
      <c r="D83" s="189">
        <v>0</v>
      </c>
      <c r="E83" s="189">
        <v>0</v>
      </c>
      <c r="F83" s="189">
        <v>0</v>
      </c>
      <c r="G83" s="189">
        <v>0</v>
      </c>
      <c r="H83" s="72">
        <f t="shared" ref="H83:H104" si="44">SUM(D83:G83)/2</f>
        <v>0</v>
      </c>
      <c r="J83" s="21" t="s">
        <v>75</v>
      </c>
      <c r="K83" s="21"/>
      <c r="L83" s="346">
        <f t="shared" si="43"/>
        <v>23851.874536118245</v>
      </c>
      <c r="M83" s="72">
        <v>30386.7</v>
      </c>
      <c r="N83" s="72">
        <f>SUM(H85:H86)</f>
        <v>40016.199999999997</v>
      </c>
      <c r="O83" s="222">
        <f t="shared" si="41"/>
        <v>3150</v>
      </c>
      <c r="Q83" s="21" t="s">
        <v>112</v>
      </c>
      <c r="R83" s="552">
        <f t="shared" si="42"/>
        <v>4610</v>
      </c>
    </row>
    <row r="84" spans="1:22">
      <c r="A84" s="24"/>
      <c r="B84" s="72">
        <f>SUM(B80:B83)</f>
        <v>1431</v>
      </c>
      <c r="C84" s="21" t="s">
        <v>109</v>
      </c>
      <c r="D84" s="189">
        <v>0</v>
      </c>
      <c r="E84" s="189">
        <v>0</v>
      </c>
      <c r="F84" s="189">
        <v>940</v>
      </c>
      <c r="G84" s="189">
        <v>20614</v>
      </c>
      <c r="H84" s="72">
        <f t="shared" si="44"/>
        <v>10777</v>
      </c>
      <c r="J84" s="21" t="s">
        <v>41</v>
      </c>
      <c r="K84" s="21"/>
      <c r="L84" s="346">
        <f t="shared" si="43"/>
        <v>16384.277792461638</v>
      </c>
      <c r="M84" s="72">
        <v>24825.000000000015</v>
      </c>
      <c r="N84" s="72">
        <f>H87</f>
        <v>17325</v>
      </c>
      <c r="O84" s="222">
        <f t="shared" si="41"/>
        <v>4610</v>
      </c>
      <c r="Q84" s="21" t="s">
        <v>113</v>
      </c>
      <c r="R84" s="550">
        <f t="shared" si="42"/>
        <v>0</v>
      </c>
    </row>
    <row r="85" spans="1:22">
      <c r="C85" s="21" t="s">
        <v>111</v>
      </c>
      <c r="D85" s="189">
        <v>484.21211107668529</v>
      </c>
      <c r="E85" s="189">
        <v>8659.2019032669723</v>
      </c>
      <c r="F85" s="189">
        <v>670.78788892331477</v>
      </c>
      <c r="G85" s="189">
        <v>9654.7980967330277</v>
      </c>
      <c r="H85" s="72">
        <f t="shared" si="44"/>
        <v>9734.5</v>
      </c>
      <c r="J85" s="21" t="s">
        <v>42</v>
      </c>
      <c r="K85" s="21"/>
      <c r="L85" s="346">
        <f t="shared" si="43"/>
        <v>4955.5448981347272</v>
      </c>
      <c r="M85" s="72">
        <v>0</v>
      </c>
      <c r="N85" s="72">
        <f>H88</f>
        <v>0</v>
      </c>
      <c r="O85" s="222">
        <f t="shared" si="41"/>
        <v>0</v>
      </c>
      <c r="Q85" s="21" t="s">
        <v>114</v>
      </c>
      <c r="R85" s="552">
        <f t="shared" si="42"/>
        <v>21330</v>
      </c>
    </row>
    <row r="86" spans="1:22">
      <c r="A86" s="24"/>
      <c r="C86" s="21" t="s">
        <v>110</v>
      </c>
      <c r="D86" s="189">
        <v>23375.53</v>
      </c>
      <c r="E86" s="189">
        <v>37187.870000000003</v>
      </c>
      <c r="F86" s="189">
        <v>0</v>
      </c>
      <c r="G86" s="189">
        <v>0</v>
      </c>
      <c r="H86" s="72">
        <f t="shared" si="44"/>
        <v>30281.7</v>
      </c>
      <c r="J86" s="21" t="s">
        <v>43</v>
      </c>
      <c r="K86" s="21"/>
      <c r="L86" s="346">
        <f t="shared" si="43"/>
        <v>19037.173642408819</v>
      </c>
      <c r="M86" s="72">
        <v>67142.687749999997</v>
      </c>
      <c r="N86" s="72">
        <f>H89</f>
        <v>60703.799999999996</v>
      </c>
      <c r="O86" s="222">
        <f t="shared" si="41"/>
        <v>21330</v>
      </c>
      <c r="Q86" s="21" t="s">
        <v>115</v>
      </c>
      <c r="R86" s="552">
        <f t="shared" si="42"/>
        <v>690</v>
      </c>
    </row>
    <row r="87" spans="1:22">
      <c r="A87" s="24"/>
      <c r="C87" s="21" t="s">
        <v>112</v>
      </c>
      <c r="D87" s="189">
        <v>1400</v>
      </c>
      <c r="E87" s="189">
        <v>2250</v>
      </c>
      <c r="F87" s="189">
        <v>5000</v>
      </c>
      <c r="G87" s="189">
        <v>26000</v>
      </c>
      <c r="H87" s="72">
        <f t="shared" si="44"/>
        <v>17325</v>
      </c>
      <c r="J87" s="21" t="s">
        <v>44</v>
      </c>
      <c r="K87" s="21"/>
      <c r="L87" s="346">
        <f t="shared" si="43"/>
        <v>6588.5942590695595</v>
      </c>
      <c r="M87" s="72">
        <v>3401.5</v>
      </c>
      <c r="N87" s="72">
        <f>H90</f>
        <v>2148</v>
      </c>
      <c r="O87" s="222">
        <f t="shared" si="41"/>
        <v>690</v>
      </c>
      <c r="Q87" s="21" t="s">
        <v>103</v>
      </c>
      <c r="R87" s="550">
        <f>$O$88*Demand!U30</f>
        <v>41.614022728209882</v>
      </c>
    </row>
    <row r="88" spans="1:22">
      <c r="A88" s="24"/>
      <c r="C88" s="21" t="s">
        <v>113</v>
      </c>
      <c r="D88" s="189">
        <v>0</v>
      </c>
      <c r="E88" s="189">
        <v>0</v>
      </c>
      <c r="F88" s="189">
        <v>0</v>
      </c>
      <c r="G88" s="189">
        <v>0</v>
      </c>
      <c r="H88" s="72">
        <f t="shared" si="44"/>
        <v>0</v>
      </c>
      <c r="J88" s="21" t="s">
        <v>45</v>
      </c>
      <c r="K88" s="21"/>
      <c r="L88" s="346">
        <f t="shared" si="43"/>
        <v>4588.4020416619214</v>
      </c>
      <c r="M88" s="72">
        <v>3059.219037074854</v>
      </c>
      <c r="N88" s="72">
        <f>SUM(H91:H94)</f>
        <v>1460.4</v>
      </c>
      <c r="O88" s="222">
        <f t="shared" si="41"/>
        <v>580</v>
      </c>
      <c r="Q88" s="21" t="s">
        <v>104</v>
      </c>
      <c r="R88" s="550">
        <f>$O$88*Demand!V30</f>
        <v>69.730054604866766</v>
      </c>
    </row>
    <row r="89" spans="1:22">
      <c r="A89" s="24"/>
      <c r="C89" s="21" t="s">
        <v>114</v>
      </c>
      <c r="D89" s="189">
        <v>17675.672894836782</v>
      </c>
      <c r="E89" s="189">
        <v>64349.674045981912</v>
      </c>
      <c r="F89" s="189">
        <v>8721.5271051632189</v>
      </c>
      <c r="G89" s="189">
        <v>30660.725954018082</v>
      </c>
      <c r="H89" s="72">
        <f t="shared" si="44"/>
        <v>60703.799999999996</v>
      </c>
      <c r="J89" s="21" t="s">
        <v>46</v>
      </c>
      <c r="K89" s="21"/>
      <c r="L89" s="346">
        <f t="shared" si="43"/>
        <v>207.1402480145297</v>
      </c>
      <c r="M89" s="72">
        <v>2000</v>
      </c>
      <c r="N89" s="72">
        <f>SUM(H95:H97)</f>
        <v>2000</v>
      </c>
      <c r="O89" s="222">
        <f t="shared" si="41"/>
        <v>530</v>
      </c>
      <c r="Q89" s="21" t="s">
        <v>105</v>
      </c>
      <c r="R89" s="550">
        <f>$O$88*Demand!W30</f>
        <v>366.47125805429368</v>
      </c>
    </row>
    <row r="90" spans="1:22">
      <c r="A90" s="24"/>
      <c r="C90" s="21" t="s">
        <v>115</v>
      </c>
      <c r="D90" s="189">
        <v>520</v>
      </c>
      <c r="E90" s="189">
        <v>1566</v>
      </c>
      <c r="F90" s="189">
        <v>1105</v>
      </c>
      <c r="G90" s="189">
        <v>1105</v>
      </c>
      <c r="H90" s="72">
        <f t="shared" si="44"/>
        <v>2148</v>
      </c>
      <c r="J90" s="21" t="s">
        <v>47</v>
      </c>
      <c r="K90" s="21"/>
      <c r="L90" s="346">
        <f t="shared" si="43"/>
        <v>1856.0674450460001</v>
      </c>
      <c r="M90" s="72">
        <v>4000</v>
      </c>
      <c r="N90" s="72">
        <f>H98</f>
        <v>4000</v>
      </c>
      <c r="O90" s="222">
        <f t="shared" si="41"/>
        <v>1270</v>
      </c>
      <c r="Q90" s="21" t="s">
        <v>106</v>
      </c>
      <c r="R90" s="550">
        <f>$O$88*Demand!X30</f>
        <v>102.18466461262959</v>
      </c>
    </row>
    <row r="91" spans="1:22">
      <c r="A91" s="24"/>
      <c r="C91" s="21" t="s">
        <v>103</v>
      </c>
      <c r="D91" s="189">
        <v>0</v>
      </c>
      <c r="E91" s="189">
        <v>0</v>
      </c>
      <c r="F91" s="189">
        <v>0</v>
      </c>
      <c r="G91" s="189">
        <v>0</v>
      </c>
      <c r="H91" s="72">
        <f t="shared" si="44"/>
        <v>0</v>
      </c>
      <c r="J91" s="21" t="s">
        <v>48</v>
      </c>
      <c r="K91" s="21"/>
      <c r="L91" s="346">
        <f t="shared" si="43"/>
        <v>352.82107904672631</v>
      </c>
      <c r="M91" s="72">
        <v>0</v>
      </c>
      <c r="N91" s="72">
        <f>SUM(H99:H101)</f>
        <v>0</v>
      </c>
      <c r="O91" s="222">
        <f t="shared" si="41"/>
        <v>0</v>
      </c>
      <c r="Q91" s="21" t="s">
        <v>99</v>
      </c>
      <c r="R91" s="550">
        <f>$O$89*Demand!F30</f>
        <v>210.73011909764546</v>
      </c>
    </row>
    <row r="92" spans="1:22">
      <c r="A92" s="24"/>
      <c r="C92" s="21" t="s">
        <v>104</v>
      </c>
      <c r="D92" s="189">
        <v>33.4</v>
      </c>
      <c r="E92" s="189">
        <v>100.2</v>
      </c>
      <c r="F92" s="189">
        <v>0</v>
      </c>
      <c r="G92" s="189">
        <v>0</v>
      </c>
      <c r="H92" s="72">
        <f t="shared" si="44"/>
        <v>66.8</v>
      </c>
      <c r="J92" s="21" t="s">
        <v>49</v>
      </c>
      <c r="K92" s="21"/>
      <c r="L92" s="346">
        <f t="shared" si="43"/>
        <v>763.82643941917581</v>
      </c>
      <c r="M92" s="72">
        <v>200</v>
      </c>
      <c r="N92" s="72">
        <f>H102</f>
        <v>3200</v>
      </c>
      <c r="O92" s="222">
        <f t="shared" si="41"/>
        <v>940</v>
      </c>
      <c r="Q92" s="21" t="s">
        <v>101</v>
      </c>
      <c r="R92" s="550">
        <f>O89*Demand!E30</f>
        <v>319.2698809023546</v>
      </c>
    </row>
    <row r="93" spans="1:22">
      <c r="A93" s="24"/>
      <c r="C93" s="21" t="s">
        <v>105</v>
      </c>
      <c r="D93" s="189">
        <v>485.2</v>
      </c>
      <c r="E93" s="189">
        <v>1455.5</v>
      </c>
      <c r="F93" s="189">
        <v>0</v>
      </c>
      <c r="G93" s="189">
        <v>0</v>
      </c>
      <c r="H93" s="72">
        <f t="shared" si="44"/>
        <v>970.35</v>
      </c>
      <c r="J93" s="21" t="s">
        <v>50</v>
      </c>
      <c r="K93" s="21"/>
      <c r="L93" s="346">
        <f t="shared" si="43"/>
        <v>80.794725784447508</v>
      </c>
      <c r="M93" s="72">
        <v>160</v>
      </c>
      <c r="N93" s="72">
        <f>H103</f>
        <v>160</v>
      </c>
      <c r="O93" s="222">
        <f t="shared" si="41"/>
        <v>40</v>
      </c>
      <c r="Q93" s="21" t="s">
        <v>117</v>
      </c>
      <c r="R93" s="552">
        <f>O90</f>
        <v>1270</v>
      </c>
    </row>
    <row r="94" spans="1:22">
      <c r="A94" s="24"/>
      <c r="C94" s="21" t="s">
        <v>106</v>
      </c>
      <c r="D94" s="189">
        <v>211.6</v>
      </c>
      <c r="E94" s="189">
        <v>634.9</v>
      </c>
      <c r="F94" s="189">
        <v>0</v>
      </c>
      <c r="G94" s="189">
        <v>0</v>
      </c>
      <c r="H94" s="72">
        <f t="shared" si="44"/>
        <v>423.25</v>
      </c>
      <c r="J94" s="21" t="s">
        <v>51</v>
      </c>
      <c r="K94" s="21"/>
      <c r="L94" s="346">
        <f t="shared" si="43"/>
        <v>477.40853565879365</v>
      </c>
      <c r="M94" s="72">
        <v>0</v>
      </c>
      <c r="N94" s="72">
        <f>H104</f>
        <v>0</v>
      </c>
      <c r="O94" s="222">
        <f t="shared" si="41"/>
        <v>0</v>
      </c>
      <c r="Q94" s="21" t="s">
        <v>118</v>
      </c>
      <c r="R94" s="550">
        <v>0</v>
      </c>
    </row>
    <row r="95" spans="1:22">
      <c r="A95" s="24"/>
      <c r="C95" s="21" t="s">
        <v>99</v>
      </c>
      <c r="D95" s="189">
        <v>0</v>
      </c>
      <c r="E95" s="189">
        <v>0</v>
      </c>
      <c r="F95" s="189">
        <v>0</v>
      </c>
      <c r="G95" s="189">
        <v>0</v>
      </c>
      <c r="H95" s="72">
        <f t="shared" si="44"/>
        <v>0</v>
      </c>
      <c r="J95" s="21" t="s">
        <v>35</v>
      </c>
      <c r="K95" s="21"/>
      <c r="L95" s="72">
        <f>SUM(L81:L94)</f>
        <v>109430.07277895346</v>
      </c>
      <c r="M95" s="72">
        <f>SUM(M81:M94)</f>
        <v>384480.80769616575</v>
      </c>
      <c r="N95" s="72">
        <f>SUM(N81:N94)</f>
        <v>280071.8</v>
      </c>
      <c r="O95" s="72">
        <f>SUM(O81:O94)</f>
        <v>86680</v>
      </c>
      <c r="Q95" s="21" t="s">
        <v>119</v>
      </c>
      <c r="R95" s="550">
        <v>0</v>
      </c>
    </row>
    <row r="96" spans="1:22">
      <c r="C96" s="21" t="s">
        <v>116</v>
      </c>
      <c r="D96" s="189">
        <v>0</v>
      </c>
      <c r="E96" s="189">
        <v>0</v>
      </c>
      <c r="F96" s="189">
        <v>0</v>
      </c>
      <c r="G96" s="189">
        <v>0</v>
      </c>
      <c r="H96" s="72">
        <f t="shared" si="44"/>
        <v>0</v>
      </c>
      <c r="Q96" s="21" t="s">
        <v>120</v>
      </c>
      <c r="R96" s="550">
        <v>0</v>
      </c>
    </row>
    <row r="97" spans="3:18">
      <c r="C97" s="21" t="s">
        <v>101</v>
      </c>
      <c r="D97" s="189">
        <v>150.36171954998781</v>
      </c>
      <c r="E97" s="189">
        <v>189.95607688380557</v>
      </c>
      <c r="F97" s="189">
        <v>1849.638280450012</v>
      </c>
      <c r="G97" s="189">
        <v>1810.0439231161945</v>
      </c>
      <c r="H97" s="72">
        <f t="shared" si="44"/>
        <v>2000</v>
      </c>
      <c r="O97" s="24"/>
      <c r="Q97" s="21" t="s">
        <v>121</v>
      </c>
      <c r="R97" s="552">
        <f>O92</f>
        <v>940</v>
      </c>
    </row>
    <row r="98" spans="3:18">
      <c r="C98" s="21" t="s">
        <v>117</v>
      </c>
      <c r="D98" s="189">
        <v>688.9361099260741</v>
      </c>
      <c r="E98" s="189">
        <v>2882.5111039934027</v>
      </c>
      <c r="F98" s="189">
        <v>1311.0638900739259</v>
      </c>
      <c r="G98" s="189">
        <v>3117.4888960065973</v>
      </c>
      <c r="H98" s="72">
        <f t="shared" si="44"/>
        <v>4000</v>
      </c>
      <c r="O98" s="24"/>
      <c r="Q98" s="21" t="s">
        <v>122</v>
      </c>
      <c r="R98" s="552">
        <f t="shared" ref="R98:R99" si="45">O93</f>
        <v>40</v>
      </c>
    </row>
    <row r="99" spans="3:18">
      <c r="C99" s="21" t="s">
        <v>118</v>
      </c>
      <c r="D99" s="189">
        <v>0</v>
      </c>
      <c r="E99" s="189">
        <v>0</v>
      </c>
      <c r="F99" s="189">
        <v>0</v>
      </c>
      <c r="G99" s="189">
        <v>0</v>
      </c>
      <c r="H99" s="72">
        <f t="shared" si="44"/>
        <v>0</v>
      </c>
      <c r="Q99" s="21" t="s">
        <v>123</v>
      </c>
      <c r="R99" s="550">
        <f t="shared" si="45"/>
        <v>0</v>
      </c>
    </row>
    <row r="100" spans="3:18">
      <c r="C100" s="21" t="s">
        <v>119</v>
      </c>
      <c r="D100" s="189">
        <v>0</v>
      </c>
      <c r="E100" s="189">
        <v>0</v>
      </c>
      <c r="F100" s="189">
        <v>0</v>
      </c>
      <c r="G100" s="189">
        <v>0</v>
      </c>
      <c r="H100" s="72">
        <f t="shared" si="44"/>
        <v>0</v>
      </c>
    </row>
    <row r="101" spans="3:18">
      <c r="C101" s="21" t="s">
        <v>120</v>
      </c>
      <c r="D101" s="189">
        <v>0</v>
      </c>
      <c r="E101" s="189">
        <v>0</v>
      </c>
      <c r="F101" s="189">
        <v>0</v>
      </c>
      <c r="G101" s="189">
        <v>0</v>
      </c>
      <c r="H101" s="72">
        <f t="shared" si="44"/>
        <v>0</v>
      </c>
    </row>
    <row r="102" spans="3:18">
      <c r="C102" s="21" t="s">
        <v>121</v>
      </c>
      <c r="D102" s="189">
        <v>0</v>
      </c>
      <c r="E102" s="189">
        <v>0</v>
      </c>
      <c r="F102" s="189">
        <v>2200</v>
      </c>
      <c r="G102" s="189">
        <v>4200</v>
      </c>
      <c r="H102" s="72">
        <f t="shared" si="44"/>
        <v>3200</v>
      </c>
    </row>
    <row r="103" spans="3:18">
      <c r="C103" s="21" t="s">
        <v>122</v>
      </c>
      <c r="D103" s="189">
        <v>10.956652742587139</v>
      </c>
      <c r="E103" s="189">
        <v>20.723777944719327</v>
      </c>
      <c r="F103" s="189">
        <v>149.04334725741285</v>
      </c>
      <c r="G103" s="189">
        <v>139.27622205528067</v>
      </c>
      <c r="H103" s="72">
        <f t="shared" si="44"/>
        <v>160</v>
      </c>
    </row>
    <row r="104" spans="3:18">
      <c r="C104" s="21" t="s">
        <v>123</v>
      </c>
      <c r="D104" s="189">
        <v>0</v>
      </c>
      <c r="E104" s="189">
        <v>0</v>
      </c>
      <c r="F104" s="189">
        <v>0</v>
      </c>
      <c r="G104" s="189">
        <v>0</v>
      </c>
      <c r="H104" s="72">
        <f t="shared" si="44"/>
        <v>0</v>
      </c>
    </row>
    <row r="105" spans="3:18">
      <c r="H105" s="24"/>
    </row>
    <row r="106" spans="3:18">
      <c r="H106" s="24"/>
    </row>
    <row r="107" spans="3:18">
      <c r="H107" s="24"/>
    </row>
    <row r="109" spans="3:18">
      <c r="H109" s="24"/>
    </row>
    <row r="110" spans="3:18">
      <c r="H110" s="24"/>
    </row>
    <row r="111" spans="3:18">
      <c r="H111" s="24"/>
    </row>
    <row r="113" spans="8:8">
      <c r="H113" s="24"/>
    </row>
    <row r="114" spans="8:8">
      <c r="H114" s="24"/>
    </row>
    <row r="115" spans="8:8">
      <c r="H115" s="24"/>
    </row>
    <row r="119" spans="8:8">
      <c r="H119" s="24"/>
    </row>
    <row r="124" spans="8:8">
      <c r="H124" s="24"/>
    </row>
    <row r="125" spans="8:8">
      <c r="H125" s="24"/>
    </row>
  </sheetData>
  <mergeCells count="39">
    <mergeCell ref="F80:G80"/>
    <mergeCell ref="D80:E80"/>
    <mergeCell ref="C79:H79"/>
    <mergeCell ref="Q79:R79"/>
    <mergeCell ref="A79:B79"/>
    <mergeCell ref="J79:O79"/>
    <mergeCell ref="AV2:BD2"/>
    <mergeCell ref="AV3:AX3"/>
    <mergeCell ref="AY3:BA3"/>
    <mergeCell ref="BB3:BD3"/>
    <mergeCell ref="AB3:AD3"/>
    <mergeCell ref="AI2:AT2"/>
    <mergeCell ref="AI3:AK3"/>
    <mergeCell ref="AL3:AN3"/>
    <mergeCell ref="AO3:AQ3"/>
    <mergeCell ref="AR3:AT3"/>
    <mergeCell ref="AC29:AF29"/>
    <mergeCell ref="C29:F29"/>
    <mergeCell ref="G29:J29"/>
    <mergeCell ref="K29:N29"/>
    <mergeCell ref="O29:R29"/>
    <mergeCell ref="B2:J2"/>
    <mergeCell ref="M2:AG2"/>
    <mergeCell ref="M3:O3"/>
    <mergeCell ref="P3:R3"/>
    <mergeCell ref="AE3:AG3"/>
    <mergeCell ref="S3:U3"/>
    <mergeCell ref="V3:X3"/>
    <mergeCell ref="Y3:AA3"/>
    <mergeCell ref="B3:D3"/>
    <mergeCell ref="E3:G3"/>
    <mergeCell ref="H3:J3"/>
    <mergeCell ref="B65:D65"/>
    <mergeCell ref="E65:G65"/>
    <mergeCell ref="U29:X29"/>
    <mergeCell ref="Y29:AB29"/>
    <mergeCell ref="S29:T30"/>
    <mergeCell ref="I64:N64"/>
    <mergeCell ref="A64:G64"/>
  </mergeCells>
  <conditionalFormatting sqref="U31:AF45 B5:K28 M5:AG28 AI5:AT28 AV5:BD28 C31:N44">
    <cfRule type="cellIs" dxfId="19" priority="4" operator="lessThan">
      <formula>1</formula>
    </cfRule>
  </conditionalFormatting>
  <conditionalFormatting sqref="U31:AF45">
    <cfRule type="cellIs" dxfId="18" priority="1" operator="lessThan">
      <formula>0</formula>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98B13-A9F1-4AEE-AB4C-2FEBB2D2B569}">
  <sheetPr>
    <tabColor theme="9" tint="0.59999389629810485"/>
  </sheetPr>
  <dimension ref="A1:AD81"/>
  <sheetViews>
    <sheetView showZeros="0" topLeftCell="A24" zoomScaleNormal="100" workbookViewId="0">
      <selection activeCell="B35" sqref="B35"/>
    </sheetView>
  </sheetViews>
  <sheetFormatPr defaultColWidth="8.85546875" defaultRowHeight="15"/>
  <cols>
    <col min="1" max="1" width="11.28515625" style="87" customWidth="1"/>
    <col min="2" max="2" width="23.5703125" style="39" bestFit="1" customWidth="1"/>
    <col min="3" max="3" width="8.5703125" style="39" bestFit="1" customWidth="1"/>
    <col min="4" max="24" width="8.5703125" style="39" customWidth="1"/>
    <col min="25" max="28" width="7.7109375" style="39" customWidth="1"/>
    <col min="29" max="16384" width="8.85546875" style="39"/>
  </cols>
  <sheetData>
    <row r="1" spans="1:28" s="22" customFormat="1">
      <c r="A1" s="597" t="s">
        <v>266</v>
      </c>
      <c r="B1" s="56" t="s">
        <v>291</v>
      </c>
      <c r="C1" s="56"/>
      <c r="D1" s="56"/>
      <c r="E1" s="56"/>
      <c r="F1" s="56"/>
      <c r="G1" s="56"/>
      <c r="H1" s="56"/>
      <c r="I1" s="56"/>
      <c r="J1" s="56"/>
      <c r="K1" s="56"/>
      <c r="L1" s="56"/>
      <c r="M1" s="56"/>
      <c r="N1" s="56"/>
      <c r="O1" s="56"/>
      <c r="P1" s="56"/>
      <c r="Q1" s="56"/>
      <c r="R1" s="56"/>
      <c r="S1" s="56"/>
      <c r="T1" s="56"/>
      <c r="U1" s="56"/>
      <c r="V1" s="56"/>
      <c r="W1" s="56"/>
    </row>
    <row r="2" spans="1:28" s="22" customFormat="1" ht="17.25">
      <c r="A2" s="597"/>
      <c r="B2" s="62" t="s">
        <v>659</v>
      </c>
      <c r="C2" s="56"/>
      <c r="D2" s="56"/>
      <c r="E2" s="56"/>
      <c r="F2" s="56"/>
      <c r="G2" s="56"/>
      <c r="H2" s="56"/>
      <c r="I2" s="56"/>
      <c r="J2" s="56"/>
      <c r="K2" s="56"/>
      <c r="L2" s="56"/>
      <c r="M2" s="56"/>
      <c r="N2" s="56"/>
      <c r="O2" s="56"/>
      <c r="P2" s="56"/>
      <c r="Q2" s="56"/>
      <c r="R2" s="56"/>
      <c r="S2" s="56"/>
      <c r="T2" s="56"/>
      <c r="U2" s="56"/>
      <c r="V2" s="56"/>
      <c r="W2" s="56"/>
    </row>
    <row r="3" spans="1:28" s="22" customFormat="1" ht="17.25">
      <c r="A3" s="597"/>
      <c r="B3" s="62" t="s">
        <v>294</v>
      </c>
      <c r="C3" s="56"/>
      <c r="D3" s="56"/>
      <c r="E3" s="56"/>
      <c r="F3" s="56"/>
      <c r="G3" s="56"/>
      <c r="H3" s="56"/>
      <c r="I3" s="56"/>
      <c r="J3" s="56"/>
      <c r="K3" s="56"/>
      <c r="L3" s="56"/>
      <c r="M3" s="56"/>
      <c r="N3" s="56"/>
      <c r="O3" s="56"/>
      <c r="P3" s="56"/>
      <c r="Q3" s="56"/>
      <c r="R3" s="56"/>
      <c r="S3" s="56"/>
      <c r="T3" s="56"/>
      <c r="U3" s="56"/>
      <c r="V3" s="56"/>
      <c r="W3" s="56"/>
    </row>
    <row r="4" spans="1:28" s="22" customFormat="1" ht="17.25">
      <c r="A4" s="597"/>
      <c r="B4" s="62" t="s">
        <v>296</v>
      </c>
      <c r="C4" s="56"/>
      <c r="D4" s="56"/>
      <c r="E4" s="56"/>
      <c r="F4" s="56"/>
      <c r="G4" s="56"/>
      <c r="H4" s="56"/>
      <c r="I4" s="56"/>
      <c r="J4" s="56"/>
      <c r="K4" s="56"/>
      <c r="L4" s="56"/>
      <c r="M4" s="56"/>
      <c r="N4" s="56"/>
      <c r="O4" s="56"/>
      <c r="P4" s="56"/>
      <c r="Q4" s="56"/>
      <c r="R4" s="56"/>
      <c r="S4" s="56"/>
      <c r="T4" s="56"/>
      <c r="U4" s="56"/>
      <c r="V4" s="56"/>
      <c r="W4" s="56"/>
    </row>
    <row r="5" spans="1:28" s="22" customFormat="1">
      <c r="A5" s="597"/>
      <c r="B5" s="565" t="s">
        <v>701</v>
      </c>
      <c r="C5" s="56"/>
      <c r="D5" s="56"/>
      <c r="E5" s="56"/>
      <c r="F5" s="56"/>
      <c r="G5" s="56"/>
      <c r="H5" s="56"/>
      <c r="I5" s="56"/>
      <c r="J5" s="56"/>
      <c r="K5" s="56"/>
      <c r="L5" s="56"/>
      <c r="M5" s="56"/>
      <c r="N5" s="56"/>
      <c r="O5" s="56"/>
      <c r="P5" s="56"/>
      <c r="Q5" s="56"/>
      <c r="R5" s="56"/>
      <c r="S5" s="56"/>
      <c r="T5" s="56"/>
      <c r="U5" s="56"/>
      <c r="V5" s="56"/>
      <c r="W5" s="56"/>
    </row>
    <row r="6" spans="1:28" s="22" customFormat="1" ht="14.45" customHeight="1">
      <c r="A6" s="67"/>
      <c r="B6" s="57"/>
      <c r="C6" s="57"/>
      <c r="D6" s="57" t="s">
        <v>26</v>
      </c>
      <c r="E6" s="57" t="s">
        <v>126</v>
      </c>
      <c r="F6" s="57" t="s">
        <v>75</v>
      </c>
      <c r="G6" s="57" t="s">
        <v>127</v>
      </c>
      <c r="H6" s="57" t="s">
        <v>128</v>
      </c>
      <c r="I6" s="57" t="s">
        <v>129</v>
      </c>
      <c r="J6" s="57" t="s">
        <v>130</v>
      </c>
      <c r="K6" s="57" t="s">
        <v>209</v>
      </c>
      <c r="L6" s="59" t="s">
        <v>104</v>
      </c>
      <c r="M6" s="59" t="s">
        <v>105</v>
      </c>
      <c r="N6" s="59" t="s">
        <v>106</v>
      </c>
      <c r="O6" s="57" t="s">
        <v>189</v>
      </c>
      <c r="P6" s="59" t="s">
        <v>99</v>
      </c>
      <c r="Q6" s="57" t="s">
        <v>133</v>
      </c>
      <c r="R6" s="60" t="s">
        <v>295</v>
      </c>
      <c r="S6" s="61" t="s">
        <v>119</v>
      </c>
      <c r="T6" s="61" t="s">
        <v>120</v>
      </c>
      <c r="U6" s="57" t="s">
        <v>135</v>
      </c>
      <c r="V6" s="57" t="s">
        <v>136</v>
      </c>
      <c r="W6" s="57" t="s">
        <v>137</v>
      </c>
      <c r="X6" s="58" t="s">
        <v>232</v>
      </c>
      <c r="Y6" s="58" t="s">
        <v>267</v>
      </c>
      <c r="Z6" s="58" t="s">
        <v>232</v>
      </c>
      <c r="AA6" s="58" t="s">
        <v>267</v>
      </c>
      <c r="AB6" s="58" t="s">
        <v>269</v>
      </c>
    </row>
    <row r="7" spans="1:28" s="22" customFormat="1">
      <c r="A7" s="600" t="s">
        <v>217</v>
      </c>
      <c r="B7" s="355" t="s">
        <v>225</v>
      </c>
      <c r="C7" s="603" t="s">
        <v>316</v>
      </c>
      <c r="D7" s="559">
        <v>21.03</v>
      </c>
      <c r="E7" s="559">
        <v>4.18</v>
      </c>
      <c r="F7" s="559">
        <v>19.07</v>
      </c>
      <c r="G7" s="559">
        <v>48</v>
      </c>
      <c r="H7" s="559">
        <v>5.24</v>
      </c>
      <c r="I7" s="559">
        <v>8.23</v>
      </c>
      <c r="J7" s="559">
        <v>0.37</v>
      </c>
      <c r="K7" s="559">
        <v>9.35</v>
      </c>
      <c r="L7" s="559"/>
      <c r="M7" s="559"/>
      <c r="N7" s="559"/>
      <c r="O7" s="559">
        <v>12.1</v>
      </c>
      <c r="P7" s="559"/>
      <c r="Q7" s="559">
        <v>15.3</v>
      </c>
      <c r="R7" s="559">
        <v>0.09</v>
      </c>
      <c r="S7" s="559"/>
      <c r="T7" s="559"/>
      <c r="U7" s="559">
        <v>2.2799999999999998</v>
      </c>
      <c r="V7" s="559">
        <v>1.45</v>
      </c>
      <c r="W7" s="356"/>
      <c r="X7" s="70">
        <f t="shared" ref="X7:X12" si="0">SUM(D7:W7)</f>
        <v>146.69</v>
      </c>
      <c r="Y7" s="70">
        <v>152</v>
      </c>
      <c r="Z7" s="70"/>
      <c r="AA7" s="70"/>
      <c r="AB7" s="70"/>
    </row>
    <row r="8" spans="1:28" s="22" customFormat="1">
      <c r="A8" s="601"/>
      <c r="B8" s="22" t="s">
        <v>71</v>
      </c>
      <c r="C8" s="604"/>
      <c r="D8" s="111">
        <v>98.01</v>
      </c>
      <c r="E8" s="111">
        <v>37.93</v>
      </c>
      <c r="F8" s="111">
        <v>16.649999999999999</v>
      </c>
      <c r="G8" s="111">
        <v>14.66</v>
      </c>
      <c r="H8" s="111">
        <v>14.92</v>
      </c>
      <c r="I8" s="111">
        <v>13.4</v>
      </c>
      <c r="J8" s="111">
        <v>32.36</v>
      </c>
      <c r="K8" s="111">
        <v>2.39</v>
      </c>
      <c r="L8" s="111"/>
      <c r="M8" s="111"/>
      <c r="N8" s="111"/>
      <c r="O8" s="111">
        <v>2.94</v>
      </c>
      <c r="P8" s="111"/>
      <c r="Q8" s="111">
        <v>55.31</v>
      </c>
      <c r="R8" s="111">
        <v>0.06</v>
      </c>
      <c r="S8" s="111"/>
      <c r="T8" s="111"/>
      <c r="U8" s="111">
        <v>12.5</v>
      </c>
      <c r="V8" s="111">
        <v>12.5</v>
      </c>
      <c r="W8" s="111">
        <v>12.5</v>
      </c>
      <c r="X8" s="70">
        <f t="shared" si="0"/>
        <v>326.13</v>
      </c>
      <c r="Y8" s="70">
        <v>423</v>
      </c>
      <c r="Z8" s="70"/>
      <c r="AA8" s="70"/>
      <c r="AB8" s="70"/>
    </row>
    <row r="9" spans="1:28" s="22" customFormat="1">
      <c r="A9" s="602"/>
      <c r="B9" s="357" t="s">
        <v>268</v>
      </c>
      <c r="C9" s="608"/>
      <c r="D9" s="358">
        <v>6.22</v>
      </c>
      <c r="E9" s="358">
        <v>1.68</v>
      </c>
      <c r="F9" s="358">
        <v>1.5</v>
      </c>
      <c r="G9" s="358">
        <v>1.84</v>
      </c>
      <c r="H9" s="358">
        <v>2.88</v>
      </c>
      <c r="I9" s="358">
        <v>4.3</v>
      </c>
      <c r="J9" s="358">
        <v>1.47</v>
      </c>
      <c r="K9" s="358">
        <v>0.42</v>
      </c>
      <c r="L9" s="358"/>
      <c r="M9" s="358"/>
      <c r="N9" s="358"/>
      <c r="O9" s="358"/>
      <c r="P9" s="358"/>
      <c r="Q9" s="358">
        <v>0.5</v>
      </c>
      <c r="R9" s="358"/>
      <c r="S9" s="358"/>
      <c r="T9" s="358"/>
      <c r="U9" s="358">
        <v>0.94</v>
      </c>
      <c r="V9" s="358"/>
      <c r="W9" s="358">
        <v>0.11</v>
      </c>
      <c r="X9" s="70">
        <f t="shared" si="0"/>
        <v>21.86</v>
      </c>
      <c r="Y9" s="70">
        <v>28</v>
      </c>
      <c r="Z9" s="70"/>
      <c r="AA9" s="70"/>
      <c r="AB9" s="70"/>
    </row>
    <row r="10" spans="1:28" s="22" customFormat="1" ht="14.45" customHeight="1">
      <c r="A10" s="600" t="s">
        <v>324</v>
      </c>
      <c r="B10" s="22" t="s">
        <v>225</v>
      </c>
      <c r="C10" s="603" t="s">
        <v>323</v>
      </c>
      <c r="D10" s="328">
        <v>57.56</v>
      </c>
      <c r="E10" s="328">
        <v>12.26</v>
      </c>
      <c r="F10" s="328">
        <v>68.31</v>
      </c>
      <c r="G10" s="328">
        <v>88.87</v>
      </c>
      <c r="H10" s="328">
        <v>12.93</v>
      </c>
      <c r="I10" s="328">
        <v>23.3</v>
      </c>
      <c r="J10" s="328">
        <v>0.93</v>
      </c>
      <c r="K10" s="328">
        <v>32.83</v>
      </c>
      <c r="L10" s="328"/>
      <c r="M10" s="328"/>
      <c r="N10" s="328"/>
      <c r="O10" s="328">
        <v>36.92</v>
      </c>
      <c r="P10" s="328"/>
      <c r="Q10" s="328">
        <v>50.48</v>
      </c>
      <c r="R10" s="328">
        <v>0.3</v>
      </c>
      <c r="S10" s="328"/>
      <c r="T10" s="328"/>
      <c r="U10" s="328">
        <v>7.57</v>
      </c>
      <c r="V10" s="328">
        <v>5.34</v>
      </c>
      <c r="W10" s="328"/>
      <c r="X10" s="560">
        <f t="shared" si="0"/>
        <v>397.6</v>
      </c>
      <c r="Y10" s="70">
        <v>389</v>
      </c>
      <c r="Z10" s="71">
        <f>X10/$X$13</f>
        <v>0.54438906840462231</v>
      </c>
      <c r="AA10" s="71">
        <f>Y10/$Y$13</f>
        <v>0.36085343228200373</v>
      </c>
      <c r="AB10" s="70"/>
    </row>
    <row r="11" spans="1:28" s="22" customFormat="1">
      <c r="A11" s="601"/>
      <c r="B11" s="112" t="s">
        <v>71</v>
      </c>
      <c r="C11" s="604"/>
      <c r="D11" s="111">
        <v>234.36</v>
      </c>
      <c r="E11" s="111">
        <v>63.02</v>
      </c>
      <c r="F11" s="111">
        <v>3.05</v>
      </c>
      <c r="G11" s="111">
        <v>5.49</v>
      </c>
      <c r="H11" s="111">
        <v>40.43</v>
      </c>
      <c r="I11" s="111">
        <v>20.85</v>
      </c>
      <c r="J11" s="111">
        <v>34.85</v>
      </c>
      <c r="K11" s="111">
        <v>-3.66</v>
      </c>
      <c r="L11" s="111"/>
      <c r="M11" s="111"/>
      <c r="N11" s="111"/>
      <c r="O11" s="111">
        <v>-14.61</v>
      </c>
      <c r="P11" s="111"/>
      <c r="Q11" s="111">
        <v>-28.74</v>
      </c>
      <c r="R11" s="380">
        <v>-178.17</v>
      </c>
      <c r="S11" s="111"/>
      <c r="T11" s="111"/>
      <c r="U11" s="111">
        <v>0.08</v>
      </c>
      <c r="V11" s="111">
        <v>-2.75</v>
      </c>
      <c r="W11" s="111">
        <v>1.6</v>
      </c>
      <c r="X11" s="70">
        <f>SUM(D11:W11)</f>
        <v>175.80000000000004</v>
      </c>
      <c r="Y11" s="70">
        <v>487</v>
      </c>
      <c r="Z11" s="71">
        <f>X11/$X$13</f>
        <v>0.24070321485294924</v>
      </c>
      <c r="AA11" s="71">
        <f>Y11/$Y$13</f>
        <v>0.45176252319109461</v>
      </c>
      <c r="AB11" s="71">
        <f>(X11-R11)/(X13-R13)</f>
        <v>0.38973608006782418</v>
      </c>
    </row>
    <row r="12" spans="1:28" s="22" customFormat="1">
      <c r="A12" s="601"/>
      <c r="B12" s="112" t="s">
        <v>268</v>
      </c>
      <c r="C12" s="604"/>
      <c r="D12" s="111">
        <v>54.26</v>
      </c>
      <c r="E12" s="111">
        <v>14.47</v>
      </c>
      <c r="F12" s="111">
        <v>12.97</v>
      </c>
      <c r="G12" s="111">
        <v>12.52</v>
      </c>
      <c r="H12" s="111">
        <v>7.68</v>
      </c>
      <c r="I12" s="111">
        <v>36.11</v>
      </c>
      <c r="J12" s="111">
        <v>12.77</v>
      </c>
      <c r="K12" s="111">
        <v>2.08</v>
      </c>
      <c r="L12" s="111"/>
      <c r="M12" s="111"/>
      <c r="N12" s="111"/>
      <c r="O12" s="111"/>
      <c r="P12" s="111"/>
      <c r="Q12" s="111">
        <v>2.2000000000000002</v>
      </c>
      <c r="R12" s="111"/>
      <c r="S12" s="111"/>
      <c r="T12" s="111"/>
      <c r="U12" s="111">
        <v>1.56</v>
      </c>
      <c r="V12" s="111"/>
      <c r="W12" s="111">
        <v>0.34</v>
      </c>
      <c r="X12" s="70">
        <f t="shared" si="0"/>
        <v>156.96</v>
      </c>
      <c r="Y12" s="70">
        <v>202</v>
      </c>
      <c r="Z12" s="71">
        <f>X12/$X$13</f>
        <v>0.21490771674242837</v>
      </c>
      <c r="AA12" s="71">
        <f>Y12/$Y$13</f>
        <v>0.18738404452690166</v>
      </c>
      <c r="AB12" s="70"/>
    </row>
    <row r="13" spans="1:28" s="22" customFormat="1">
      <c r="A13" s="601"/>
      <c r="B13" s="55" t="s">
        <v>35</v>
      </c>
      <c r="C13" s="604"/>
      <c r="D13" s="70">
        <f>SUM(D10:D12)</f>
        <v>346.18</v>
      </c>
      <c r="E13" s="70">
        <f t="shared" ref="E13:K13" si="1">SUM(E10:E12)</f>
        <v>89.75</v>
      </c>
      <c r="F13" s="70">
        <f t="shared" si="1"/>
        <v>84.33</v>
      </c>
      <c r="G13" s="70">
        <f t="shared" si="1"/>
        <v>106.88</v>
      </c>
      <c r="H13" s="70">
        <f t="shared" si="1"/>
        <v>61.04</v>
      </c>
      <c r="I13" s="70">
        <f t="shared" si="1"/>
        <v>80.260000000000005</v>
      </c>
      <c r="J13" s="70">
        <f t="shared" si="1"/>
        <v>48.55</v>
      </c>
      <c r="K13" s="70">
        <f t="shared" si="1"/>
        <v>31.25</v>
      </c>
      <c r="L13" s="70"/>
      <c r="M13" s="70"/>
      <c r="N13" s="70"/>
      <c r="O13" s="70">
        <f>SUM(O10:O12)</f>
        <v>22.310000000000002</v>
      </c>
      <c r="P13" s="70"/>
      <c r="Q13" s="70">
        <f>SUM(Q10:Q12)</f>
        <v>23.939999999999998</v>
      </c>
      <c r="R13" s="380">
        <f>SUM(R10:R12)</f>
        <v>-177.86999999999998</v>
      </c>
      <c r="S13" s="70"/>
      <c r="T13" s="70"/>
      <c r="U13" s="70">
        <f>SUM(U10:U12)</f>
        <v>9.2100000000000009</v>
      </c>
      <c r="V13" s="70">
        <f>SUM(V10:V12)</f>
        <v>2.59</v>
      </c>
      <c r="W13" s="70">
        <f>SUM(W10:W12)</f>
        <v>1.9400000000000002</v>
      </c>
      <c r="X13" s="70">
        <f>SUM(X10:X12)</f>
        <v>730.36000000000013</v>
      </c>
      <c r="Y13" s="70">
        <f>SUM(Y10:Y12)</f>
        <v>1078</v>
      </c>
      <c r="Z13" s="70"/>
      <c r="AA13" s="70"/>
      <c r="AB13" s="70"/>
    </row>
    <row r="14" spans="1:28" s="22" customFormat="1">
      <c r="A14" s="602"/>
      <c r="B14" s="359" t="s">
        <v>270</v>
      </c>
      <c r="C14" s="608"/>
      <c r="D14" s="360">
        <f>D10/D13</f>
        <v>0.16627188168005083</v>
      </c>
      <c r="E14" s="360">
        <f t="shared" ref="E14:Q14" si="2">E10/E13</f>
        <v>0.13660167130919221</v>
      </c>
      <c r="F14" s="360">
        <f t="shared" si="2"/>
        <v>0.81003201707577377</v>
      </c>
      <c r="G14" s="360">
        <f t="shared" si="2"/>
        <v>0.83149326347305397</v>
      </c>
      <c r="H14" s="360">
        <f t="shared" si="2"/>
        <v>0.21182830930537352</v>
      </c>
      <c r="I14" s="360">
        <f t="shared" si="2"/>
        <v>0.29030650386244705</v>
      </c>
      <c r="J14" s="360">
        <f t="shared" si="2"/>
        <v>1.9155509783728118E-2</v>
      </c>
      <c r="K14" s="360">
        <f t="shared" si="2"/>
        <v>1.0505599999999999</v>
      </c>
      <c r="L14" s="360"/>
      <c r="M14" s="360"/>
      <c r="N14" s="360"/>
      <c r="O14" s="360">
        <f t="shared" si="2"/>
        <v>1.6548632900044822</v>
      </c>
      <c r="P14" s="360"/>
      <c r="Q14" s="360">
        <f t="shared" si="2"/>
        <v>2.1086048454469508</v>
      </c>
      <c r="R14" s="361"/>
      <c r="S14" s="361"/>
      <c r="T14" s="361"/>
      <c r="U14" s="361"/>
      <c r="V14" s="361"/>
      <c r="W14" s="361"/>
      <c r="X14" s="70"/>
      <c r="Y14" s="70"/>
      <c r="Z14" s="70"/>
      <c r="AA14" s="70"/>
      <c r="AB14" s="70"/>
    </row>
    <row r="15" spans="1:28" s="22" customFormat="1">
      <c r="A15" s="601" t="s">
        <v>216</v>
      </c>
      <c r="B15" s="55" t="s">
        <v>271</v>
      </c>
      <c r="C15" s="605" t="s">
        <v>323</v>
      </c>
      <c r="D15" s="111">
        <v>45.54</v>
      </c>
      <c r="E15" s="111">
        <v>18.02</v>
      </c>
      <c r="F15" s="111"/>
      <c r="G15" s="111">
        <v>13.45</v>
      </c>
      <c r="H15" s="111">
        <v>8.25</v>
      </c>
      <c r="I15" s="111">
        <v>6.31</v>
      </c>
      <c r="J15" s="111">
        <v>5.14</v>
      </c>
      <c r="K15" s="111">
        <v>2.14</v>
      </c>
      <c r="L15" s="111"/>
      <c r="M15" s="111"/>
      <c r="N15" s="111"/>
      <c r="O15" s="111">
        <v>5.47</v>
      </c>
      <c r="P15" s="111"/>
      <c r="Q15" s="111">
        <v>3.2</v>
      </c>
      <c r="R15" s="111"/>
      <c r="S15" s="111"/>
      <c r="T15" s="111"/>
      <c r="U15" s="111">
        <v>0.51</v>
      </c>
      <c r="V15" s="111">
        <v>0.52</v>
      </c>
      <c r="W15" s="111">
        <v>0.35</v>
      </c>
      <c r="X15" s="70">
        <f t="shared" ref="X15:X20" si="3">SUM(D15:W15)</f>
        <v>108.9</v>
      </c>
      <c r="Y15" s="70"/>
      <c r="Z15" s="70"/>
      <c r="AA15" s="70"/>
      <c r="AB15" s="70"/>
    </row>
    <row r="16" spans="1:28" s="22" customFormat="1">
      <c r="A16" s="601"/>
      <c r="B16" s="55" t="s">
        <v>272</v>
      </c>
      <c r="C16" s="606"/>
      <c r="D16" s="111">
        <v>46.09</v>
      </c>
      <c r="E16" s="111">
        <v>17.940000000000001</v>
      </c>
      <c r="F16" s="111"/>
      <c r="G16" s="111">
        <v>13.17</v>
      </c>
      <c r="H16" s="111">
        <v>7.57</v>
      </c>
      <c r="I16" s="111">
        <v>6.29</v>
      </c>
      <c r="J16" s="111">
        <v>5.1100000000000003</v>
      </c>
      <c r="K16" s="111">
        <v>2.13</v>
      </c>
      <c r="L16" s="111"/>
      <c r="M16" s="111"/>
      <c r="N16" s="111"/>
      <c r="O16" s="111">
        <v>5.43</v>
      </c>
      <c r="P16" s="111"/>
      <c r="Q16" s="111">
        <v>3.18</v>
      </c>
      <c r="R16" s="111"/>
      <c r="S16" s="111"/>
      <c r="T16" s="111"/>
      <c r="U16" s="111">
        <v>0.49</v>
      </c>
      <c r="V16" s="111">
        <v>0.52</v>
      </c>
      <c r="W16" s="111">
        <v>0.35</v>
      </c>
      <c r="X16" s="70">
        <f t="shared" si="3"/>
        <v>108.27000000000001</v>
      </c>
      <c r="Y16" s="70"/>
      <c r="Z16" s="70"/>
      <c r="AA16" s="70"/>
      <c r="AB16" s="70"/>
    </row>
    <row r="17" spans="1:28" s="22" customFormat="1">
      <c r="A17" s="601"/>
      <c r="B17" s="55" t="s">
        <v>273</v>
      </c>
      <c r="C17" s="606"/>
      <c r="D17" s="111">
        <v>6.56</v>
      </c>
      <c r="E17" s="111"/>
      <c r="F17" s="111">
        <v>7.0000000000000007E-2</v>
      </c>
      <c r="G17" s="111">
        <v>0.05</v>
      </c>
      <c r="H17" s="111">
        <v>7.0000000000000007E-2</v>
      </c>
      <c r="I17" s="111"/>
      <c r="J17" s="111">
        <v>0.05</v>
      </c>
      <c r="K17" s="111">
        <v>0.31</v>
      </c>
      <c r="L17" s="111"/>
      <c r="M17" s="111"/>
      <c r="N17" s="111"/>
      <c r="O17" s="111"/>
      <c r="P17" s="111"/>
      <c r="Q17" s="111"/>
      <c r="R17" s="111"/>
      <c r="S17" s="111"/>
      <c r="T17" s="111"/>
      <c r="U17" s="111">
        <v>0.01</v>
      </c>
      <c r="V17" s="111">
        <v>0.01</v>
      </c>
      <c r="W17" s="111">
        <v>0.01</v>
      </c>
      <c r="X17" s="70">
        <f t="shared" si="3"/>
        <v>7.1399999999999988</v>
      </c>
      <c r="Y17" s="70"/>
      <c r="Z17" s="70"/>
      <c r="AA17" s="70"/>
      <c r="AB17" s="70"/>
    </row>
    <row r="18" spans="1:28" s="22" customFormat="1">
      <c r="A18" s="601"/>
      <c r="B18" s="55" t="s">
        <v>274</v>
      </c>
      <c r="C18" s="606"/>
      <c r="D18" s="111">
        <v>2.0299999999999998</v>
      </c>
      <c r="E18" s="111">
        <v>0.01</v>
      </c>
      <c r="F18" s="111"/>
      <c r="G18" s="111"/>
      <c r="H18" s="111">
        <v>0.03</v>
      </c>
      <c r="I18" s="111">
        <v>1.38</v>
      </c>
      <c r="J18" s="111">
        <v>0.08</v>
      </c>
      <c r="K18" s="111"/>
      <c r="L18" s="111"/>
      <c r="M18" s="111"/>
      <c r="N18" s="111"/>
      <c r="O18" s="111"/>
      <c r="P18" s="111"/>
      <c r="Q18" s="111"/>
      <c r="R18" s="111"/>
      <c r="S18" s="111"/>
      <c r="T18" s="111"/>
      <c r="U18" s="111"/>
      <c r="V18" s="111"/>
      <c r="W18" s="111"/>
      <c r="X18" s="70">
        <f t="shared" si="3"/>
        <v>3.5299999999999994</v>
      </c>
      <c r="Y18" s="70"/>
      <c r="Z18" s="70"/>
      <c r="AA18" s="70"/>
      <c r="AB18" s="70"/>
    </row>
    <row r="19" spans="1:28" s="22" customFormat="1">
      <c r="A19" s="601"/>
      <c r="B19" s="55" t="s">
        <v>224</v>
      </c>
      <c r="C19" s="606"/>
      <c r="D19" s="111">
        <v>205.68</v>
      </c>
      <c r="E19" s="111">
        <v>38.979999999999997</v>
      </c>
      <c r="F19" s="111">
        <v>84.4</v>
      </c>
      <c r="G19" s="111">
        <v>70.95</v>
      </c>
      <c r="H19" s="111">
        <v>36.81</v>
      </c>
      <c r="I19" s="111">
        <v>61.2</v>
      </c>
      <c r="J19" s="111">
        <v>33.700000000000003</v>
      </c>
      <c r="K19" s="111">
        <v>25.01</v>
      </c>
      <c r="L19" s="111"/>
      <c r="M19" s="111"/>
      <c r="N19" s="111"/>
      <c r="O19" s="111">
        <v>6.78</v>
      </c>
      <c r="P19" s="111"/>
      <c r="Q19" s="111">
        <v>14.91</v>
      </c>
      <c r="R19" s="111"/>
      <c r="S19" s="111"/>
      <c r="T19" s="111"/>
      <c r="U19" s="111">
        <v>7.54</v>
      </c>
      <c r="V19" s="111">
        <v>1.1000000000000001</v>
      </c>
      <c r="W19" s="111">
        <v>0.94</v>
      </c>
      <c r="X19" s="70">
        <f t="shared" si="3"/>
        <v>588</v>
      </c>
      <c r="Y19" s="70"/>
      <c r="Z19" s="70"/>
      <c r="AA19" s="70"/>
      <c r="AB19" s="70"/>
    </row>
    <row r="20" spans="1:28" s="22" customFormat="1">
      <c r="A20" s="601"/>
      <c r="B20" s="55" t="s">
        <v>275</v>
      </c>
      <c r="C20" s="606"/>
      <c r="D20" s="111">
        <v>39.17</v>
      </c>
      <c r="E20" s="111">
        <v>14.76</v>
      </c>
      <c r="F20" s="111"/>
      <c r="G20" s="111">
        <v>11.69</v>
      </c>
      <c r="H20" s="111">
        <v>8.3000000000000007</v>
      </c>
      <c r="I20" s="111">
        <v>4.96</v>
      </c>
      <c r="J20" s="111">
        <v>4.45</v>
      </c>
      <c r="K20" s="111">
        <v>1.78</v>
      </c>
      <c r="L20" s="111"/>
      <c r="M20" s="111"/>
      <c r="N20" s="111"/>
      <c r="O20" s="111">
        <v>4.92</v>
      </c>
      <c r="P20" s="111"/>
      <c r="Q20" s="111">
        <v>2.66</v>
      </c>
      <c r="R20" s="111"/>
      <c r="S20" s="111"/>
      <c r="T20" s="111"/>
      <c r="U20" s="111">
        <v>0.49</v>
      </c>
      <c r="V20" s="111">
        <v>0.45</v>
      </c>
      <c r="W20" s="111">
        <v>0.28999999999999998</v>
      </c>
      <c r="X20" s="70">
        <f t="shared" si="3"/>
        <v>93.92</v>
      </c>
      <c r="Y20" s="70"/>
      <c r="Z20" s="70"/>
      <c r="AA20" s="70"/>
      <c r="AB20" s="70"/>
    </row>
    <row r="21" spans="1:28" s="22" customFormat="1">
      <c r="A21" s="601"/>
      <c r="B21" s="55" t="s">
        <v>35</v>
      </c>
      <c r="C21" s="606"/>
      <c r="D21" s="560">
        <f>SUM(D15:D20)</f>
        <v>345.07</v>
      </c>
      <c r="E21" s="560">
        <f t="shared" ref="E21:K21" si="4">SUM(E15:E20)</f>
        <v>89.71</v>
      </c>
      <c r="F21" s="560">
        <f t="shared" si="4"/>
        <v>84.47</v>
      </c>
      <c r="G21" s="560">
        <f t="shared" si="4"/>
        <v>109.31</v>
      </c>
      <c r="H21" s="560">
        <f t="shared" si="4"/>
        <v>61.03</v>
      </c>
      <c r="I21" s="560">
        <f t="shared" si="4"/>
        <v>80.14</v>
      </c>
      <c r="J21" s="560">
        <f t="shared" si="4"/>
        <v>48.530000000000008</v>
      </c>
      <c r="K21" s="560">
        <f t="shared" si="4"/>
        <v>31.37</v>
      </c>
      <c r="L21" s="560"/>
      <c r="M21" s="560"/>
      <c r="N21" s="560"/>
      <c r="O21" s="560">
        <f>SUM(O15:O20)</f>
        <v>22.6</v>
      </c>
      <c r="P21" s="560"/>
      <c r="Q21" s="560">
        <f>SUM(Q15:Q20)</f>
        <v>23.95</v>
      </c>
      <c r="R21" s="560">
        <f>SUM(R15:R20)</f>
        <v>0</v>
      </c>
      <c r="S21" s="560"/>
      <c r="T21" s="560"/>
      <c r="U21" s="560">
        <f>SUM(U15:U20)</f>
        <v>9.0400000000000009</v>
      </c>
      <c r="V21" s="560">
        <f>SUM(V15:V20)</f>
        <v>2.6000000000000005</v>
      </c>
      <c r="W21" s="560">
        <f>SUM(W15:W20)</f>
        <v>1.94</v>
      </c>
      <c r="X21" s="560">
        <f>SUM(X15:X20)</f>
        <v>909.76</v>
      </c>
      <c r="Y21" s="70"/>
      <c r="Z21" s="70"/>
      <c r="AA21" s="70"/>
      <c r="AB21" s="70"/>
    </row>
    <row r="22" spans="1:28" s="22" customFormat="1">
      <c r="A22" s="601"/>
      <c r="B22" s="55" t="s">
        <v>276</v>
      </c>
      <c r="C22" s="606"/>
      <c r="D22" s="329">
        <f>D19/D21</f>
        <v>0.59605297475874464</v>
      </c>
      <c r="E22" s="329">
        <f t="shared" ref="E22:K22" si="5">E19/E21</f>
        <v>0.43451120276446326</v>
      </c>
      <c r="F22" s="329">
        <f t="shared" si="5"/>
        <v>0.99917130342133309</v>
      </c>
      <c r="G22" s="329">
        <f t="shared" si="5"/>
        <v>0.64907144817491536</v>
      </c>
      <c r="H22" s="329">
        <f t="shared" si="5"/>
        <v>0.60314599377355405</v>
      </c>
      <c r="I22" s="329">
        <f t="shared" si="5"/>
        <v>0.76366358871974049</v>
      </c>
      <c r="J22" s="329">
        <f t="shared" si="5"/>
        <v>0.69441582526272405</v>
      </c>
      <c r="K22" s="329">
        <f t="shared" si="5"/>
        <v>0.79725852725533952</v>
      </c>
      <c r="L22" s="70"/>
      <c r="M22" s="70"/>
      <c r="N22" s="70"/>
      <c r="O22" s="329">
        <f>O19/O21</f>
        <v>0.3</v>
      </c>
      <c r="P22" s="70"/>
      <c r="Q22" s="329">
        <f>Q19/Q21</f>
        <v>0.62254697286012528</v>
      </c>
      <c r="R22" s="329"/>
      <c r="S22" s="70"/>
      <c r="T22" s="70"/>
      <c r="U22" s="329">
        <f>U19/U21</f>
        <v>0.8340707964601769</v>
      </c>
      <c r="V22" s="329">
        <f>V19/V21</f>
        <v>0.42307692307692302</v>
      </c>
      <c r="W22" s="329">
        <f>W19/W21</f>
        <v>0.4845360824742268</v>
      </c>
      <c r="X22" s="71">
        <f>X19/X21</f>
        <v>0.64632430531129093</v>
      </c>
      <c r="Y22" s="70"/>
      <c r="Z22" s="70"/>
      <c r="AA22" s="70"/>
      <c r="AB22" s="70"/>
    </row>
    <row r="23" spans="1:28" s="22" customFormat="1" ht="17.25">
      <c r="A23" s="68"/>
      <c r="B23" s="357" t="s">
        <v>292</v>
      </c>
      <c r="C23" s="607"/>
      <c r="D23" s="362"/>
      <c r="E23" s="362"/>
      <c r="F23" s="362"/>
      <c r="G23" s="362"/>
      <c r="H23" s="362"/>
      <c r="I23" s="362"/>
      <c r="J23" s="362"/>
      <c r="K23" s="363">
        <f>Demand!U30</f>
        <v>7.1748315048637726E-2</v>
      </c>
      <c r="L23" s="363">
        <f>Demand!V30</f>
        <v>0.1202242320773565</v>
      </c>
      <c r="M23" s="363">
        <f>Demand!W30</f>
        <v>0.63184699664533395</v>
      </c>
      <c r="N23" s="363">
        <f>Demand!X30</f>
        <v>0.17618045622867171</v>
      </c>
      <c r="O23" s="363">
        <f>Demand!E30</f>
        <v>0.60239600170255581</v>
      </c>
      <c r="P23" s="363">
        <f>Demand!F30</f>
        <v>0.39760399829744425</v>
      </c>
      <c r="Q23" s="362"/>
      <c r="R23" s="363"/>
      <c r="S23" s="363"/>
      <c r="T23" s="363"/>
      <c r="U23" s="363"/>
      <c r="V23" s="363"/>
      <c r="W23" s="362"/>
      <c r="X23" s="70"/>
      <c r="Y23" s="70"/>
      <c r="Z23" s="70"/>
      <c r="AA23" s="70"/>
      <c r="AB23" s="70"/>
    </row>
    <row r="24" spans="1:28" s="22" customFormat="1" ht="17.25">
      <c r="A24" s="611" t="s">
        <v>322</v>
      </c>
      <c r="B24" s="22" t="s">
        <v>293</v>
      </c>
      <c r="C24" s="603" t="s">
        <v>262</v>
      </c>
      <c r="D24" s="550">
        <f>D7*1000</f>
        <v>21030</v>
      </c>
      <c r="E24" s="550">
        <f t="shared" ref="E24:J24" si="6">E7*1000</f>
        <v>4180</v>
      </c>
      <c r="F24" s="550">
        <f t="shared" si="6"/>
        <v>19070</v>
      </c>
      <c r="G24" s="550">
        <f t="shared" si="6"/>
        <v>48000</v>
      </c>
      <c r="H24" s="550">
        <f t="shared" si="6"/>
        <v>5240</v>
      </c>
      <c r="I24" s="550">
        <f t="shared" si="6"/>
        <v>8230</v>
      </c>
      <c r="J24" s="550">
        <f t="shared" si="6"/>
        <v>370</v>
      </c>
      <c r="K24" s="550">
        <f>$K$7*1000*K23</f>
        <v>670.84674570476272</v>
      </c>
      <c r="L24" s="550">
        <f>$K$7*1000*L23</f>
        <v>1124.0965699232831</v>
      </c>
      <c r="M24" s="550">
        <f>$K$7*1000*M23</f>
        <v>5907.7694186338722</v>
      </c>
      <c r="N24" s="550">
        <f>$K$7*1000*N23</f>
        <v>1647.2872657380804</v>
      </c>
      <c r="O24" s="550">
        <f>$O$7*1000*O23</f>
        <v>7288.9916206009257</v>
      </c>
      <c r="P24" s="550">
        <f>$O$7*1000*P23</f>
        <v>4811.0083793990752</v>
      </c>
      <c r="Q24" s="550">
        <f>Q7*1000</f>
        <v>15300</v>
      </c>
      <c r="R24" s="564"/>
      <c r="S24" s="564"/>
      <c r="T24" s="564"/>
      <c r="U24" s="550">
        <f>U7*1000</f>
        <v>2280</v>
      </c>
      <c r="V24" s="550">
        <f>V7*1000</f>
        <v>1450</v>
      </c>
      <c r="W24" s="550">
        <f>W7*1000</f>
        <v>0</v>
      </c>
      <c r="X24" s="72">
        <f>SUM(D24:W24)</f>
        <v>146600</v>
      </c>
      <c r="Y24" s="70"/>
      <c r="Z24" s="70"/>
      <c r="AA24" s="70"/>
      <c r="AB24" s="70"/>
    </row>
    <row r="25" spans="1:28" s="22" customFormat="1">
      <c r="A25" s="612"/>
      <c r="B25" s="22" t="s">
        <v>361</v>
      </c>
      <c r="C25" s="604"/>
      <c r="D25" s="550">
        <f>D21*$X$10/$X$21/0.00876</f>
        <v>17215.61871102138</v>
      </c>
      <c r="E25" s="550">
        <f t="shared" ref="E25:W25" si="7">E21*$X$10/$X$21/0.00876</f>
        <v>4475.6517650497808</v>
      </c>
      <c r="F25" s="550">
        <f t="shared" si="7"/>
        <v>4214.2270047236107</v>
      </c>
      <c r="G25" s="550">
        <f t="shared" si="7"/>
        <v>5453.5001052011112</v>
      </c>
      <c r="H25" s="550">
        <f t="shared" si="7"/>
        <v>3044.8002142569189</v>
      </c>
      <c r="I25" s="550">
        <f t="shared" si="7"/>
        <v>3998.2023459044644</v>
      </c>
      <c r="J25" s="550">
        <f t="shared" si="7"/>
        <v>2421.1724463032656</v>
      </c>
      <c r="K25" s="550">
        <f>$K$21*$X$10/$X$21/0.00876*K23</f>
        <v>112.29014863959861</v>
      </c>
      <c r="L25" s="550">
        <f t="shared" ref="L25:N25" si="8">$K$21*$X$10/$X$21/0.00876*L23</f>
        <v>188.15768538810141</v>
      </c>
      <c r="M25" s="550">
        <f t="shared" si="8"/>
        <v>988.87608890455238</v>
      </c>
      <c r="N25" s="550">
        <f t="shared" si="8"/>
        <v>275.73232352423673</v>
      </c>
      <c r="O25" s="550">
        <f>$O$21*$X$10/$X$21/0.00876*O23</f>
        <v>679.21294013047418</v>
      </c>
      <c r="P25" s="550">
        <f>$O$21*$X$10/$X$21/0.00876*P23</f>
        <v>448.30606432973173</v>
      </c>
      <c r="Q25" s="550">
        <f t="shared" si="7"/>
        <v>1194.8708033992007</v>
      </c>
      <c r="R25" s="550"/>
      <c r="S25" s="550"/>
      <c r="T25" s="550"/>
      <c r="U25" s="550">
        <f t="shared" si="7"/>
        <v>451.0076017840824</v>
      </c>
      <c r="V25" s="550">
        <f t="shared" si="7"/>
        <v>129.71457573435998</v>
      </c>
      <c r="W25" s="550">
        <f t="shared" si="7"/>
        <v>96.787029586407058</v>
      </c>
      <c r="X25" s="73">
        <f>SUM(D25:W25)</f>
        <v>45388.127853881277</v>
      </c>
      <c r="Y25" s="70"/>
      <c r="Z25" s="70"/>
      <c r="AA25" s="70"/>
      <c r="AB25" s="70"/>
    </row>
    <row r="26" spans="1:28" s="22" customFormat="1">
      <c r="A26" s="612"/>
      <c r="B26" s="55" t="s">
        <v>290</v>
      </c>
      <c r="C26" s="604"/>
      <c r="D26" s="72">
        <f>D10/0.00876</f>
        <v>6570.7762557077622</v>
      </c>
      <c r="E26" s="72">
        <f t="shared" ref="E26:J26" si="9">E10/0.00876</f>
        <v>1399.5433789954336</v>
      </c>
      <c r="F26" s="72">
        <f t="shared" si="9"/>
        <v>7797.9452054794519</v>
      </c>
      <c r="G26" s="72">
        <f t="shared" si="9"/>
        <v>10144.977168949772</v>
      </c>
      <c r="H26" s="72">
        <f t="shared" si="9"/>
        <v>1476.0273972602738</v>
      </c>
      <c r="I26" s="72">
        <f t="shared" si="9"/>
        <v>2659.8173515981734</v>
      </c>
      <c r="J26" s="72">
        <f t="shared" si="9"/>
        <v>106.16438356164383</v>
      </c>
      <c r="K26" s="72">
        <f>$K$10/0.00876*K23</f>
        <v>268.89237249392426</v>
      </c>
      <c r="L26" s="72">
        <f>$K$10/0.00876*L23</f>
        <v>450.56638574196501</v>
      </c>
      <c r="M26" s="72">
        <f>$K$10/0.00876*M23</f>
        <v>2367.9836643683002</v>
      </c>
      <c r="N26" s="72">
        <f>$K$10/0.00876*N23</f>
        <v>660.27447237297849</v>
      </c>
      <c r="O26" s="72">
        <f>$O$10/0.00876*O23</f>
        <v>2538.8653405089453</v>
      </c>
      <c r="P26" s="72">
        <f>$O$10/0.00876*P23</f>
        <v>1675.7465316371738</v>
      </c>
      <c r="Q26" s="72">
        <f>Q10/0.00876</f>
        <v>5762.5570776255699</v>
      </c>
      <c r="R26" s="70"/>
      <c r="S26" s="70"/>
      <c r="T26" s="70"/>
      <c r="U26" s="72">
        <f>U10/0.00876</f>
        <v>864.15525114155253</v>
      </c>
      <c r="V26" s="72">
        <f>V10/0.00876</f>
        <v>609.58904109589037</v>
      </c>
      <c r="W26" s="72">
        <f>W10/0.00876</f>
        <v>0</v>
      </c>
      <c r="X26" s="76"/>
      <c r="Y26" s="70"/>
      <c r="Z26" s="70"/>
      <c r="AA26" s="70"/>
      <c r="AB26" s="70"/>
    </row>
    <row r="27" spans="1:28" s="22" customFormat="1">
      <c r="A27" s="65" t="s">
        <v>277</v>
      </c>
      <c r="B27" s="42" t="s">
        <v>278</v>
      </c>
      <c r="C27" s="42" t="s">
        <v>279</v>
      </c>
      <c r="D27" s="56"/>
      <c r="E27" s="62"/>
      <c r="F27" s="56"/>
      <c r="G27" s="56"/>
      <c r="H27" s="56"/>
      <c r="I27" s="56"/>
      <c r="J27" s="56"/>
      <c r="K27" s="56"/>
      <c r="L27" s="56"/>
      <c r="M27" s="56"/>
      <c r="N27" s="56"/>
      <c r="O27" s="56"/>
      <c r="P27" s="56"/>
      <c r="Q27" s="56"/>
      <c r="R27" s="56"/>
      <c r="S27" s="56"/>
      <c r="T27" s="56"/>
      <c r="U27" s="56"/>
      <c r="V27" s="56"/>
      <c r="W27" s="56"/>
    </row>
    <row r="28" spans="1:28" s="22" customFormat="1">
      <c r="A28" s="66"/>
      <c r="B28" s="63" t="s">
        <v>280</v>
      </c>
      <c r="C28" s="64">
        <v>2035</v>
      </c>
      <c r="D28" s="56"/>
      <c r="E28" s="62"/>
      <c r="F28" s="56"/>
      <c r="G28" s="42"/>
      <c r="H28" s="42"/>
      <c r="I28" s="42"/>
      <c r="J28" s="42"/>
      <c r="K28" s="42"/>
      <c r="L28" s="42"/>
      <c r="M28" s="42"/>
      <c r="N28" s="56"/>
      <c r="O28" s="56"/>
      <c r="P28" s="56"/>
      <c r="Q28" s="56"/>
      <c r="R28" s="56"/>
      <c r="S28" s="56"/>
      <c r="T28" s="56"/>
      <c r="U28" s="56"/>
      <c r="V28" s="56"/>
      <c r="W28" s="56"/>
    </row>
    <row r="29" spans="1:28" s="22" customFormat="1">
      <c r="A29" s="66"/>
      <c r="B29" s="63" t="s">
        <v>281</v>
      </c>
      <c r="C29" s="64" t="s">
        <v>282</v>
      </c>
      <c r="D29" s="56"/>
      <c r="E29" s="62"/>
      <c r="F29" s="56"/>
      <c r="G29" s="42"/>
      <c r="H29" s="42"/>
      <c r="I29" s="42"/>
      <c r="J29" s="42"/>
      <c r="K29" s="42"/>
      <c r="L29" s="42"/>
      <c r="M29" s="42"/>
      <c r="N29" s="56"/>
      <c r="O29" s="56"/>
      <c r="P29" s="56"/>
      <c r="Q29" s="56"/>
      <c r="R29" s="56"/>
      <c r="S29" s="56"/>
      <c r="T29" s="56"/>
      <c r="U29" s="56"/>
      <c r="V29" s="56"/>
      <c r="W29" s="56"/>
    </row>
    <row r="30" spans="1:28" s="22" customFormat="1">
      <c r="A30" s="66"/>
      <c r="B30" s="63" t="s">
        <v>326</v>
      </c>
      <c r="C30" s="64" t="s">
        <v>284</v>
      </c>
      <c r="D30" s="56"/>
      <c r="E30" s="62"/>
      <c r="F30" s="56"/>
      <c r="G30" s="42"/>
      <c r="H30" s="42"/>
      <c r="I30" s="42"/>
      <c r="J30" s="42"/>
      <c r="K30" s="42"/>
      <c r="L30" s="42"/>
      <c r="M30" s="42"/>
      <c r="N30" s="56"/>
      <c r="O30" s="56"/>
      <c r="P30" s="56"/>
      <c r="Q30" s="56"/>
      <c r="R30" s="56"/>
      <c r="S30" s="56"/>
      <c r="T30" s="56"/>
      <c r="U30" s="56"/>
      <c r="V30" s="56"/>
      <c r="W30" s="56"/>
    </row>
    <row r="31" spans="1:28" s="22" customFormat="1">
      <c r="A31" s="66"/>
      <c r="B31" s="63"/>
      <c r="C31" s="64" t="s">
        <v>341</v>
      </c>
      <c r="D31" s="56"/>
      <c r="E31" s="62"/>
      <c r="F31" s="56"/>
      <c r="G31" s="42"/>
      <c r="H31" s="42"/>
      <c r="I31" s="42"/>
      <c r="J31" s="42"/>
      <c r="K31" s="42"/>
      <c r="L31" s="42"/>
      <c r="M31" s="42"/>
      <c r="N31" s="56"/>
      <c r="O31" s="56"/>
      <c r="P31" s="56"/>
      <c r="Q31" s="56"/>
      <c r="R31" s="56"/>
      <c r="S31" s="56"/>
      <c r="T31" s="56"/>
      <c r="U31" s="56"/>
      <c r="V31" s="56"/>
      <c r="W31" s="56"/>
    </row>
    <row r="32" spans="1:28" s="22" customFormat="1">
      <c r="A32" s="66"/>
      <c r="B32" s="63" t="s">
        <v>258</v>
      </c>
      <c r="C32" s="64" t="s">
        <v>603</v>
      </c>
      <c r="D32" s="56"/>
      <c r="E32" s="62"/>
      <c r="F32" s="56"/>
      <c r="G32" s="42"/>
      <c r="H32" s="42"/>
      <c r="I32" s="42"/>
      <c r="J32" s="42"/>
      <c r="K32" s="42"/>
      <c r="L32" s="42"/>
      <c r="M32" s="42"/>
      <c r="N32" s="56"/>
      <c r="O32" s="56"/>
      <c r="P32" s="56"/>
      <c r="Q32" s="56"/>
      <c r="R32" s="56"/>
      <c r="S32" s="56"/>
      <c r="T32" s="56"/>
      <c r="U32" s="56"/>
      <c r="V32" s="56"/>
      <c r="W32" s="56"/>
    </row>
    <row r="33" spans="1:30" s="22" customFormat="1">
      <c r="A33" s="66"/>
      <c r="B33" s="63"/>
      <c r="C33" s="64" t="s">
        <v>703</v>
      </c>
      <c r="D33" s="56"/>
      <c r="E33" s="62"/>
      <c r="F33" s="56"/>
      <c r="G33" s="42"/>
      <c r="H33" s="42"/>
      <c r="I33" s="42"/>
      <c r="J33" s="42"/>
      <c r="K33" s="42"/>
      <c r="L33" s="42"/>
      <c r="M33" s="42"/>
      <c r="N33" s="56"/>
      <c r="O33" s="56"/>
      <c r="P33" s="56"/>
      <c r="Q33" s="56"/>
      <c r="R33" s="56"/>
      <c r="S33" s="56"/>
      <c r="T33" s="56"/>
      <c r="U33" s="56"/>
      <c r="V33" s="56"/>
      <c r="W33" s="56"/>
    </row>
    <row r="34" spans="1:30" s="22" customFormat="1">
      <c r="A34" s="66"/>
      <c r="B34" s="567" t="s">
        <v>704</v>
      </c>
      <c r="C34" s="565" t="s">
        <v>702</v>
      </c>
      <c r="D34" s="56"/>
      <c r="E34" s="62"/>
      <c r="F34" s="56"/>
      <c r="G34" s="42"/>
      <c r="H34" s="42"/>
      <c r="I34" s="42"/>
      <c r="J34" s="42"/>
      <c r="K34" s="42"/>
      <c r="L34" s="42"/>
      <c r="M34" s="42"/>
      <c r="N34" s="56"/>
      <c r="O34" s="56"/>
      <c r="P34" s="56"/>
      <c r="Q34" s="56"/>
      <c r="R34" s="56"/>
      <c r="S34" s="56"/>
      <c r="T34" s="56"/>
      <c r="U34" s="56"/>
      <c r="V34" s="56"/>
      <c r="W34" s="56"/>
    </row>
    <row r="35" spans="1:30" s="22" customFormat="1">
      <c r="A35" s="67"/>
      <c r="B35" s="44"/>
      <c r="C35" s="44"/>
      <c r="D35" s="57" t="s">
        <v>26</v>
      </c>
      <c r="E35" s="57" t="s">
        <v>126</v>
      </c>
      <c r="F35" s="57" t="s">
        <v>75</v>
      </c>
      <c r="G35" s="57" t="s">
        <v>127</v>
      </c>
      <c r="H35" s="57" t="s">
        <v>128</v>
      </c>
      <c r="I35" s="57" t="s">
        <v>129</v>
      </c>
      <c r="J35" s="57" t="s">
        <v>130</v>
      </c>
      <c r="K35" s="57" t="s">
        <v>209</v>
      </c>
      <c r="L35" s="59" t="s">
        <v>104</v>
      </c>
      <c r="M35" s="59" t="s">
        <v>105</v>
      </c>
      <c r="N35" s="59" t="s">
        <v>106</v>
      </c>
      <c r="O35" s="57" t="s">
        <v>189</v>
      </c>
      <c r="P35" s="59" t="s">
        <v>99</v>
      </c>
      <c r="Q35" s="86" t="s">
        <v>133</v>
      </c>
      <c r="R35" s="60" t="s">
        <v>289</v>
      </c>
      <c r="S35" s="61" t="s">
        <v>119</v>
      </c>
      <c r="T35" s="61" t="s">
        <v>120</v>
      </c>
      <c r="U35" s="57" t="s">
        <v>135</v>
      </c>
      <c r="V35" s="57" t="s">
        <v>136</v>
      </c>
      <c r="W35" s="57" t="s">
        <v>137</v>
      </c>
      <c r="X35" s="69" t="s">
        <v>232</v>
      </c>
      <c r="Y35" s="85"/>
    </row>
    <row r="36" spans="1:30" s="22" customFormat="1">
      <c r="A36" s="609" t="s">
        <v>286</v>
      </c>
      <c r="B36" s="365" t="s">
        <v>217</v>
      </c>
      <c r="C36" s="365" t="s">
        <v>317</v>
      </c>
      <c r="D36" s="568">
        <v>77.961789999999993</v>
      </c>
      <c r="E36" s="568">
        <v>13.288069999999999</v>
      </c>
      <c r="F36" s="568">
        <v>12.685560000000001</v>
      </c>
      <c r="G36" s="568">
        <v>16.973189999999999</v>
      </c>
      <c r="H36" s="568">
        <v>20.092690000000001</v>
      </c>
      <c r="I36" s="568">
        <v>20.837009999999999</v>
      </c>
      <c r="J36" s="568">
        <v>14.32016</v>
      </c>
      <c r="K36" s="568">
        <v>4.7020629999999999</v>
      </c>
      <c r="L36" s="563"/>
      <c r="M36" s="563"/>
      <c r="N36" s="563"/>
      <c r="O36" s="568">
        <v>0.97431800000000002</v>
      </c>
      <c r="P36" s="563"/>
      <c r="Q36" s="568">
        <v>6.4012039999999999</v>
      </c>
      <c r="R36" s="569"/>
      <c r="S36" s="563"/>
      <c r="T36" s="563"/>
      <c r="U36" s="568">
        <v>4.033709</v>
      </c>
      <c r="V36" s="568">
        <v>0.52988199999999996</v>
      </c>
      <c r="W36" s="568">
        <v>0.36564200000000002</v>
      </c>
      <c r="X36" s="72">
        <f>SUM(D36:W36)</f>
        <v>193.16528799999998</v>
      </c>
      <c r="Y36" s="85"/>
      <c r="AD36" s="39"/>
    </row>
    <row r="37" spans="1:30" s="22" customFormat="1">
      <c r="A37" s="610"/>
      <c r="B37" s="366" t="s">
        <v>320</v>
      </c>
      <c r="C37" s="366" t="s">
        <v>262</v>
      </c>
      <c r="D37" s="566">
        <v>3248.4079999999999</v>
      </c>
      <c r="E37" s="566">
        <v>553.66970000000003</v>
      </c>
      <c r="F37" s="566">
        <v>528.56510000000003</v>
      </c>
      <c r="G37" s="566">
        <v>707.21609999999998</v>
      </c>
      <c r="H37" s="566">
        <v>837.1952</v>
      </c>
      <c r="I37" s="566">
        <v>868.20870000000002</v>
      </c>
      <c r="J37" s="566">
        <v>596.67349999999999</v>
      </c>
      <c r="K37" s="566">
        <v>195.91929999999999</v>
      </c>
      <c r="L37" s="556"/>
      <c r="M37" s="556"/>
      <c r="N37" s="556"/>
      <c r="O37" s="566">
        <v>40.596580000000003</v>
      </c>
      <c r="P37" s="556"/>
      <c r="Q37" s="566">
        <v>266.71679999999998</v>
      </c>
      <c r="R37" s="552"/>
      <c r="S37" s="556"/>
      <c r="T37" s="556"/>
      <c r="U37" s="566">
        <v>168.0712</v>
      </c>
      <c r="V37" s="566">
        <v>22.078420000000001</v>
      </c>
      <c r="W37" s="566">
        <v>15.23509</v>
      </c>
      <c r="X37" s="73">
        <f>SUM(D37:W37)</f>
        <v>8048.5536899999997</v>
      </c>
      <c r="Y37" s="85"/>
      <c r="AD37" s="39"/>
    </row>
    <row r="38" spans="1:30" s="22" customFormat="1">
      <c r="A38" s="609" t="s">
        <v>285</v>
      </c>
      <c r="B38" s="367" t="s">
        <v>217</v>
      </c>
      <c r="C38" s="367" t="s">
        <v>317</v>
      </c>
      <c r="D38" s="368">
        <v>718.5</v>
      </c>
      <c r="E38" s="368">
        <v>2315.6998719539038</v>
      </c>
      <c r="F38" s="368">
        <v>0</v>
      </c>
      <c r="G38" s="368">
        <v>575</v>
      </c>
      <c r="H38" s="368">
        <v>4.884615384615385</v>
      </c>
      <c r="I38" s="368">
        <v>250</v>
      </c>
      <c r="J38" s="368">
        <v>0</v>
      </c>
      <c r="K38" s="368">
        <v>0</v>
      </c>
      <c r="L38" s="369"/>
      <c r="M38" s="369"/>
      <c r="N38" s="369"/>
      <c r="O38" s="368">
        <v>116</v>
      </c>
      <c r="P38" s="369"/>
      <c r="Q38" s="368">
        <v>0</v>
      </c>
      <c r="R38" s="370"/>
      <c r="S38" s="369"/>
      <c r="T38" s="369"/>
      <c r="U38" s="368">
        <v>0</v>
      </c>
      <c r="V38" s="368">
        <v>150</v>
      </c>
      <c r="W38" s="368">
        <v>0</v>
      </c>
      <c r="X38" s="72">
        <f t="shared" ref="X38:X43" si="10">SUM(D38:W38)</f>
        <v>4130.0844873385195</v>
      </c>
      <c r="Y38" s="70"/>
      <c r="AD38" s="39"/>
    </row>
    <row r="39" spans="1:30" s="22" customFormat="1">
      <c r="A39" s="610"/>
      <c r="B39" s="366" t="s">
        <v>319</v>
      </c>
      <c r="C39" s="366" t="s">
        <v>317</v>
      </c>
      <c r="D39" s="381">
        <v>13913</v>
      </c>
      <c r="E39" s="381">
        <v>2315.6998719539038</v>
      </c>
      <c r="F39" s="381">
        <v>1583.2052963587535</v>
      </c>
      <c r="G39" s="381">
        <v>575</v>
      </c>
      <c r="H39" s="381">
        <v>63.5</v>
      </c>
      <c r="I39" s="381">
        <v>625</v>
      </c>
      <c r="J39" s="381">
        <v>4327.5998447331303</v>
      </c>
      <c r="K39" s="381">
        <v>280.95418810588234</v>
      </c>
      <c r="L39" s="328"/>
      <c r="M39" s="328"/>
      <c r="N39" s="328"/>
      <c r="O39" s="381">
        <v>230</v>
      </c>
      <c r="P39" s="328"/>
      <c r="Q39" s="381">
        <v>1533.584995649411</v>
      </c>
      <c r="R39" s="382"/>
      <c r="S39" s="328"/>
      <c r="T39" s="328"/>
      <c r="U39" s="381">
        <v>399.36653716733304</v>
      </c>
      <c r="V39" s="381">
        <v>1445.1878767051282</v>
      </c>
      <c r="W39" s="381">
        <v>327.78196931177263</v>
      </c>
      <c r="X39" s="72">
        <f t="shared" si="10"/>
        <v>27619.880579985314</v>
      </c>
      <c r="Y39" s="70"/>
      <c r="AD39" s="39"/>
    </row>
    <row r="40" spans="1:30" s="22" customFormat="1">
      <c r="A40" s="610"/>
      <c r="B40" s="46" t="s">
        <v>332</v>
      </c>
      <c r="C40" s="55" t="s">
        <v>262</v>
      </c>
      <c r="D40" s="271">
        <v>1398.75</v>
      </c>
      <c r="E40" s="271">
        <v>333.33333333333331</v>
      </c>
      <c r="F40" s="271">
        <v>0</v>
      </c>
      <c r="G40" s="271">
        <v>5916.666666666667</v>
      </c>
      <c r="H40" s="271">
        <v>41.666666666666664</v>
      </c>
      <c r="I40" s="271">
        <v>1000</v>
      </c>
      <c r="J40" s="271">
        <v>0</v>
      </c>
      <c r="K40" s="271">
        <v>0</v>
      </c>
      <c r="L40" s="111"/>
      <c r="M40" s="111"/>
      <c r="N40" s="111"/>
      <c r="O40" s="271">
        <v>395.83333333333331</v>
      </c>
      <c r="P40" s="111"/>
      <c r="Q40" s="271">
        <v>0</v>
      </c>
      <c r="R40" s="111"/>
      <c r="S40" s="111"/>
      <c r="T40" s="111"/>
      <c r="U40" s="271">
        <v>0</v>
      </c>
      <c r="V40" s="271">
        <v>312.5</v>
      </c>
      <c r="W40" s="271">
        <v>0</v>
      </c>
      <c r="X40" s="72">
        <f>SUM(D40:W40)</f>
        <v>9398.7500000000018</v>
      </c>
      <c r="Y40" s="70"/>
      <c r="AD40" s="39"/>
    </row>
    <row r="41" spans="1:30" s="22" customFormat="1">
      <c r="A41" s="610"/>
      <c r="B41" s="366" t="s">
        <v>334</v>
      </c>
      <c r="C41" s="366" t="s">
        <v>262</v>
      </c>
      <c r="D41" s="381">
        <v>30020.833333333336</v>
      </c>
      <c r="E41" s="381">
        <v>1666.6666666666667</v>
      </c>
      <c r="F41" s="381">
        <v>3276.0416666666665</v>
      </c>
      <c r="G41" s="381">
        <v>5916.666666666667</v>
      </c>
      <c r="H41" s="381">
        <v>291.66666666666663</v>
      </c>
      <c r="I41" s="381">
        <v>7250</v>
      </c>
      <c r="J41" s="381">
        <v>3395.4732916666667</v>
      </c>
      <c r="K41" s="381">
        <v>1105.6067291666668</v>
      </c>
      <c r="L41" s="328"/>
      <c r="M41" s="328"/>
      <c r="N41" s="328"/>
      <c r="O41" s="381">
        <v>1200</v>
      </c>
      <c r="P41" s="328"/>
      <c r="Q41" s="381">
        <v>1094.2060208333332</v>
      </c>
      <c r="R41" s="328"/>
      <c r="S41" s="328"/>
      <c r="T41" s="328"/>
      <c r="U41" s="381">
        <v>284.94622916666668</v>
      </c>
      <c r="V41" s="381">
        <v>625</v>
      </c>
      <c r="W41" s="381">
        <v>233.8709375</v>
      </c>
      <c r="X41" s="72">
        <f>SUM(D41:W41)</f>
        <v>56360.978208333341</v>
      </c>
      <c r="Y41" s="70"/>
      <c r="AD41" s="39"/>
    </row>
    <row r="42" spans="1:30" s="22" customFormat="1">
      <c r="A42" s="610"/>
      <c r="B42" s="46" t="s">
        <v>331</v>
      </c>
      <c r="C42" s="46" t="s">
        <v>262</v>
      </c>
      <c r="D42" s="271">
        <v>1232.5</v>
      </c>
      <c r="E42" s="271">
        <v>333.33333333333331</v>
      </c>
      <c r="F42" s="271">
        <v>0</v>
      </c>
      <c r="G42" s="271">
        <v>2958.3333333333335</v>
      </c>
      <c r="H42" s="271">
        <v>41.666666666666664</v>
      </c>
      <c r="I42" s="271">
        <v>1000</v>
      </c>
      <c r="J42" s="271">
        <v>0</v>
      </c>
      <c r="K42" s="271">
        <v>0</v>
      </c>
      <c r="L42" s="111"/>
      <c r="M42" s="111"/>
      <c r="N42" s="111"/>
      <c r="O42" s="271">
        <v>131.66666666666669</v>
      </c>
      <c r="P42" s="111"/>
      <c r="Q42" s="271">
        <v>0</v>
      </c>
      <c r="R42" s="189"/>
      <c r="S42" s="111"/>
      <c r="T42" s="111"/>
      <c r="U42" s="271">
        <v>0</v>
      </c>
      <c r="V42" s="271">
        <v>187.5</v>
      </c>
      <c r="W42" s="271">
        <v>0</v>
      </c>
      <c r="X42" s="72">
        <f t="shared" si="10"/>
        <v>5885.0000000000009</v>
      </c>
      <c r="Y42" s="70"/>
      <c r="AD42" s="39"/>
    </row>
    <row r="43" spans="1:30" s="22" customFormat="1">
      <c r="A43" s="610"/>
      <c r="B43" s="366" t="s">
        <v>333</v>
      </c>
      <c r="C43" s="366" t="s">
        <v>262</v>
      </c>
      <c r="D43" s="381">
        <v>10020.833333333332</v>
      </c>
      <c r="E43" s="381">
        <v>1666.6666666666667</v>
      </c>
      <c r="F43" s="381">
        <v>2340.0537291666669</v>
      </c>
      <c r="G43" s="381">
        <v>2958.3333333333335</v>
      </c>
      <c r="H43" s="381">
        <v>270.83333333333331</v>
      </c>
      <c r="I43" s="381">
        <v>7250</v>
      </c>
      <c r="J43" s="381">
        <v>2024.8655833333335</v>
      </c>
      <c r="K43" s="381">
        <v>758.33331249999992</v>
      </c>
      <c r="L43" s="328"/>
      <c r="M43" s="328"/>
      <c r="N43" s="328"/>
      <c r="O43" s="381">
        <v>1200</v>
      </c>
      <c r="P43" s="328"/>
      <c r="Q43" s="381">
        <v>815.97220833333336</v>
      </c>
      <c r="R43" s="328"/>
      <c r="S43" s="328"/>
      <c r="T43" s="328"/>
      <c r="U43" s="381">
        <v>168.05554166666667</v>
      </c>
      <c r="V43" s="381">
        <v>241.26343750000001</v>
      </c>
      <c r="W43" s="381">
        <v>163.97845833333332</v>
      </c>
      <c r="X43" s="73">
        <f t="shared" si="10"/>
        <v>29879.188937499999</v>
      </c>
      <c r="Y43" s="55" t="s">
        <v>358</v>
      </c>
      <c r="AD43" s="39"/>
    </row>
    <row r="44" spans="1:30" s="22" customFormat="1">
      <c r="A44" s="84"/>
      <c r="B44" s="371" t="s">
        <v>339</v>
      </c>
      <c r="C44" s="371" t="s">
        <v>262</v>
      </c>
      <c r="D44" s="550">
        <f t="shared" ref="D44:J44" si="11">D39*1000/$D$49/24</f>
        <v>28390.792188318675</v>
      </c>
      <c r="E44" s="550">
        <f t="shared" si="11"/>
        <v>4725.4045737913784</v>
      </c>
      <c r="F44" s="550">
        <f t="shared" si="11"/>
        <v>3230.6801236517535</v>
      </c>
      <c r="G44" s="550">
        <f t="shared" si="11"/>
        <v>1173.3418751012175</v>
      </c>
      <c r="H44" s="550">
        <f t="shared" si="11"/>
        <v>129.57775490248227</v>
      </c>
      <c r="I44" s="550">
        <f t="shared" si="11"/>
        <v>1275.3716033708886</v>
      </c>
      <c r="J44" s="550">
        <f t="shared" si="11"/>
        <v>8830.8767243598413</v>
      </c>
      <c r="K44" s="550">
        <f>$K$39*1000/$D$49/24*K23</f>
        <v>41.134284032026919</v>
      </c>
      <c r="L44" s="550">
        <f>$K$39*1000/$D$49/24*L23</f>
        <v>68.926186021928061</v>
      </c>
      <c r="M44" s="550">
        <f>$K$39*1000/$D$49/24*M23</f>
        <v>362.24646958152931</v>
      </c>
      <c r="N44" s="550">
        <f>$K$39*1000/$D$49/24*N23</f>
        <v>101.00664973790025</v>
      </c>
      <c r="O44" s="550">
        <f>$O$39*1000/$D$49/24*O23</f>
        <v>282.72658167646119</v>
      </c>
      <c r="P44" s="550">
        <f>$O$39*1000/$D$49/24*P23</f>
        <v>186.61016836402581</v>
      </c>
      <c r="Q44" s="550">
        <f t="shared" ref="Q44:W44" si="12">Q39*1000/$D$49/24</f>
        <v>3129.4252076910821</v>
      </c>
      <c r="R44" s="550">
        <f t="shared" si="12"/>
        <v>0</v>
      </c>
      <c r="S44" s="550">
        <f t="shared" si="12"/>
        <v>0</v>
      </c>
      <c r="T44" s="550">
        <f t="shared" si="12"/>
        <v>0</v>
      </c>
      <c r="U44" s="550">
        <f t="shared" si="12"/>
        <v>814.94518534364977</v>
      </c>
      <c r="V44" s="550">
        <f t="shared" si="12"/>
        <v>2949.0425271769432</v>
      </c>
      <c r="W44" s="550">
        <f t="shared" si="12"/>
        <v>668.87010521155651</v>
      </c>
      <c r="X44" s="72"/>
      <c r="AD44" s="39"/>
    </row>
    <row r="45" spans="1:30" s="22" customFormat="1">
      <c r="A45" s="84"/>
      <c r="B45" s="371" t="s">
        <v>340</v>
      </c>
      <c r="C45" s="371" t="s">
        <v>262</v>
      </c>
      <c r="D45" s="550">
        <f t="shared" ref="D45:J45" si="13">D39*1000/$D$50/24</f>
        <v>15051.084470969081</v>
      </c>
      <c r="E45" s="550">
        <f t="shared" si="13"/>
        <v>2505.1242997333784</v>
      </c>
      <c r="F45" s="550">
        <f t="shared" si="13"/>
        <v>1712.7116114699375</v>
      </c>
      <c r="G45" s="550">
        <f t="shared" si="13"/>
        <v>622.03504426128245</v>
      </c>
      <c r="H45" s="550">
        <f t="shared" si="13"/>
        <v>68.694304887985098</v>
      </c>
      <c r="I45" s="550">
        <f t="shared" si="13"/>
        <v>676.12504811008955</v>
      </c>
      <c r="J45" s="550">
        <f t="shared" si="13"/>
        <v>4681.597845154246</v>
      </c>
      <c r="K45" s="550">
        <f>$K$39*1000/$D$50/24*K23</f>
        <v>21.806914703620194</v>
      </c>
      <c r="L45" s="550">
        <f>$K$39*1000/$D$50/24*L23</f>
        <v>36.540503737849519</v>
      </c>
      <c r="M45" s="550">
        <f>$K$39*1000/$D$50/24*M23</f>
        <v>192.04121451831926</v>
      </c>
      <c r="N45" s="550">
        <f>$K$39*1000/$D$50/24*N23</f>
        <v>53.547629359924343</v>
      </c>
      <c r="O45" s="550">
        <f>$O$39*1000/$D$50/24*O23</f>
        <v>149.88456943274755</v>
      </c>
      <c r="P45" s="550">
        <f>$O$39*1000/$D$50/24*P23</f>
        <v>98.929448271765438</v>
      </c>
      <c r="Q45" s="550">
        <f t="shared" ref="Q45:W45" si="14">Q39*1000/$D$50/24</f>
        <v>1659.0323663429911</v>
      </c>
      <c r="R45" s="550">
        <f t="shared" si="14"/>
        <v>0</v>
      </c>
      <c r="S45" s="550">
        <f t="shared" si="14"/>
        <v>0</v>
      </c>
      <c r="T45" s="550">
        <f t="shared" si="14"/>
        <v>0</v>
      </c>
      <c r="U45" s="550">
        <f t="shared" si="14"/>
        <v>432.03475064931666</v>
      </c>
      <c r="V45" s="550">
        <f t="shared" si="14"/>
        <v>1563.4043562645968</v>
      </c>
      <c r="W45" s="550">
        <f t="shared" si="14"/>
        <v>354.59455963286746</v>
      </c>
      <c r="AD45" s="97"/>
    </row>
    <row r="46" spans="1:30" s="22" customFormat="1">
      <c r="A46" s="84"/>
      <c r="B46" s="371" t="s">
        <v>359</v>
      </c>
      <c r="C46" s="371"/>
      <c r="D46" s="94">
        <f>D40/D42</f>
        <v>1.1348884381338742</v>
      </c>
      <c r="E46" s="94">
        <f>E40/E42</f>
        <v>1</v>
      </c>
      <c r="F46" s="94"/>
      <c r="G46" s="94">
        <f t="shared" ref="G46:I47" si="15">G40/G42</f>
        <v>2</v>
      </c>
      <c r="H46" s="94">
        <f t="shared" si="15"/>
        <v>1</v>
      </c>
      <c r="I46" s="94">
        <f t="shared" si="15"/>
        <v>1</v>
      </c>
      <c r="J46" s="94"/>
      <c r="K46" s="94"/>
      <c r="L46" s="94"/>
      <c r="M46" s="94"/>
      <c r="N46" s="94"/>
      <c r="O46" s="94">
        <f>O40/O42</f>
        <v>3.0063291139240502</v>
      </c>
      <c r="P46" s="94"/>
      <c r="Q46" s="94"/>
      <c r="R46" s="94"/>
      <c r="S46" s="94"/>
      <c r="T46" s="94"/>
      <c r="U46" s="94"/>
      <c r="V46" s="94">
        <f>V40/V42</f>
        <v>1.6666666666666667</v>
      </c>
      <c r="W46" s="94"/>
      <c r="X46" s="94">
        <f>X40/X42</f>
        <v>1.5970688190314359</v>
      </c>
      <c r="AD46" s="97"/>
    </row>
    <row r="47" spans="1:30" s="22" customFormat="1">
      <c r="A47" s="96"/>
      <c r="B47" s="372" t="s">
        <v>360</v>
      </c>
      <c r="C47" s="372"/>
      <c r="D47" s="373">
        <f>D41/D43</f>
        <v>2.9958419958419964</v>
      </c>
      <c r="E47" s="373">
        <f>E41/E43</f>
        <v>1</v>
      </c>
      <c r="F47" s="373">
        <f>F41/F43</f>
        <v>1.3999856609417771</v>
      </c>
      <c r="G47" s="373">
        <f t="shared" si="15"/>
        <v>2</v>
      </c>
      <c r="H47" s="373">
        <f t="shared" si="15"/>
        <v>1.0769230769230769</v>
      </c>
      <c r="I47" s="373">
        <f t="shared" si="15"/>
        <v>1</v>
      </c>
      <c r="J47" s="373">
        <f>J41/J43</f>
        <v>1.6768882436517287</v>
      </c>
      <c r="K47" s="373">
        <f>K41/K43</f>
        <v>1.4579429796138184</v>
      </c>
      <c r="L47" s="373"/>
      <c r="M47" s="373"/>
      <c r="N47" s="373"/>
      <c r="O47" s="373">
        <f>O41/O43</f>
        <v>1</v>
      </c>
      <c r="P47" s="373"/>
      <c r="Q47" s="373">
        <f>Q41/Q43</f>
        <v>1.3409844228252665</v>
      </c>
      <c r="R47" s="373"/>
      <c r="S47" s="373"/>
      <c r="T47" s="373"/>
      <c r="U47" s="373">
        <f>U41/U43</f>
        <v>1.6955479500452852</v>
      </c>
      <c r="V47" s="373">
        <f>V41/V43</f>
        <v>2.5905292839906586</v>
      </c>
      <c r="W47" s="373">
        <f>W41/W43</f>
        <v>1.4262296394114777</v>
      </c>
      <c r="X47" s="94">
        <f>X41/X43</f>
        <v>1.8862954522034319</v>
      </c>
      <c r="Y47" s="95"/>
      <c r="AD47" s="39"/>
    </row>
    <row r="48" spans="1:30" s="22" customFormat="1">
      <c r="A48" s="57" t="s">
        <v>286</v>
      </c>
      <c r="B48" s="22" t="s">
        <v>336</v>
      </c>
      <c r="C48" s="22" t="s">
        <v>338</v>
      </c>
      <c r="D48" s="22">
        <f>X36*1000/X37/24</f>
        <v>0.99999999710092835</v>
      </c>
      <c r="AD48" s="39"/>
    </row>
    <row r="49" spans="1:30" s="22" customFormat="1">
      <c r="A49" s="57" t="s">
        <v>285</v>
      </c>
      <c r="B49" s="22" t="s">
        <v>337</v>
      </c>
      <c r="C49" s="22" t="s">
        <v>338</v>
      </c>
      <c r="D49" s="22">
        <f>X39*1000/X41/24</f>
        <v>20.418885443142123</v>
      </c>
      <c r="AD49" s="39"/>
    </row>
    <row r="50" spans="1:30" s="22" customFormat="1">
      <c r="A50" s="57"/>
      <c r="B50" s="22" t="s">
        <v>335</v>
      </c>
      <c r="C50" s="22" t="s">
        <v>338</v>
      </c>
      <c r="D50" s="22">
        <f>X39*1000/X43/24</f>
        <v>38.516050750461844</v>
      </c>
      <c r="AD50" s="39"/>
    </row>
    <row r="51" spans="1:30" s="22" customFormat="1">
      <c r="A51" s="65" t="s">
        <v>277</v>
      </c>
      <c r="B51" s="42" t="s">
        <v>278</v>
      </c>
      <c r="C51" s="42" t="s">
        <v>325</v>
      </c>
      <c r="D51" s="56"/>
      <c r="E51" s="56"/>
      <c r="F51" s="56"/>
      <c r="G51" s="56"/>
      <c r="H51" s="56"/>
      <c r="I51" s="56"/>
      <c r="J51" s="56"/>
      <c r="K51" s="56"/>
      <c r="L51" s="56"/>
      <c r="M51" s="56"/>
      <c r="N51" s="56"/>
      <c r="O51" s="56"/>
      <c r="P51" s="56"/>
      <c r="Q51" s="56"/>
      <c r="R51" s="56"/>
      <c r="S51" s="56"/>
      <c r="T51" s="56"/>
      <c r="U51" s="56"/>
      <c r="V51" s="56"/>
      <c r="W51" s="56"/>
    </row>
    <row r="52" spans="1:30" s="22" customFormat="1">
      <c r="A52" s="66"/>
      <c r="B52" s="63" t="s">
        <v>283</v>
      </c>
      <c r="C52" s="64" t="s">
        <v>328</v>
      </c>
      <c r="D52" s="56"/>
      <c r="E52" s="56"/>
      <c r="F52" s="56"/>
      <c r="G52" s="42"/>
      <c r="H52" s="42"/>
      <c r="I52" s="42"/>
      <c r="J52" s="42"/>
      <c r="K52" s="42"/>
      <c r="L52" s="42"/>
      <c r="M52" s="42"/>
      <c r="N52" s="56"/>
      <c r="O52" s="56"/>
      <c r="P52" s="56"/>
      <c r="Q52" s="56"/>
      <c r="R52" s="56"/>
      <c r="S52" s="56"/>
      <c r="T52" s="56"/>
      <c r="U52" s="56"/>
      <c r="V52" s="56"/>
      <c r="W52" s="56"/>
    </row>
    <row r="53" spans="1:30" s="22" customFormat="1">
      <c r="A53" s="66"/>
      <c r="B53" s="63" t="s">
        <v>347</v>
      </c>
      <c r="C53" s="64" t="s">
        <v>350</v>
      </c>
      <c r="D53" s="56"/>
      <c r="E53" s="56"/>
      <c r="F53" s="56"/>
      <c r="G53" s="42"/>
      <c r="H53" s="42"/>
      <c r="I53" s="42"/>
      <c r="J53" s="42"/>
      <c r="K53" s="42"/>
      <c r="L53" s="42"/>
      <c r="M53" s="42"/>
      <c r="N53" s="56"/>
      <c r="O53" s="56"/>
      <c r="P53" s="56"/>
      <c r="Q53" s="56"/>
      <c r="R53" s="56"/>
      <c r="S53" s="56"/>
      <c r="T53" s="56"/>
      <c r="U53" s="56"/>
      <c r="V53" s="56"/>
      <c r="W53" s="56"/>
    </row>
    <row r="54" spans="1:30" s="22" customFormat="1">
      <c r="A54" s="67"/>
      <c r="B54" s="44"/>
      <c r="C54" s="44"/>
      <c r="D54" s="57" t="s">
        <v>26</v>
      </c>
      <c r="E54" s="57" t="s">
        <v>126</v>
      </c>
      <c r="F54" s="57" t="s">
        <v>75</v>
      </c>
      <c r="G54" s="57" t="s">
        <v>127</v>
      </c>
      <c r="H54" s="57" t="s">
        <v>128</v>
      </c>
      <c r="I54" s="57" t="s">
        <v>129</v>
      </c>
      <c r="J54" s="57" t="s">
        <v>130</v>
      </c>
      <c r="K54" s="57" t="s">
        <v>209</v>
      </c>
      <c r="L54" s="59" t="s">
        <v>104</v>
      </c>
      <c r="M54" s="59" t="s">
        <v>105</v>
      </c>
      <c r="N54" s="59" t="s">
        <v>106</v>
      </c>
      <c r="O54" s="57" t="s">
        <v>189</v>
      </c>
      <c r="P54" s="59" t="s">
        <v>99</v>
      </c>
      <c r="Q54" s="86" t="s">
        <v>133</v>
      </c>
      <c r="R54" s="60" t="s">
        <v>289</v>
      </c>
      <c r="S54" s="61" t="s">
        <v>119</v>
      </c>
      <c r="T54" s="61" t="s">
        <v>120</v>
      </c>
      <c r="U54" s="57" t="s">
        <v>135</v>
      </c>
      <c r="V54" s="57" t="s">
        <v>136</v>
      </c>
      <c r="W54" s="57" t="s">
        <v>137</v>
      </c>
      <c r="X54" s="88" t="s">
        <v>232</v>
      </c>
    </row>
    <row r="55" spans="1:30" s="22" customFormat="1">
      <c r="A55" s="600" t="s">
        <v>286</v>
      </c>
      <c r="B55" s="374" t="s">
        <v>327</v>
      </c>
      <c r="C55" s="374" t="s">
        <v>317</v>
      </c>
      <c r="D55" s="339">
        <v>7074.1180000000004</v>
      </c>
      <c r="E55" s="270">
        <v>1638.3530000000001</v>
      </c>
      <c r="F55" s="339">
        <v>1506.0989999999999</v>
      </c>
      <c r="G55" s="339">
        <v>2572.8809999999999</v>
      </c>
      <c r="H55" s="339">
        <v>1304.6289999999999</v>
      </c>
      <c r="I55" s="339">
        <v>1723.492</v>
      </c>
      <c r="J55" s="339">
        <v>1484.72</v>
      </c>
      <c r="K55" s="339">
        <v>625.56200000000001</v>
      </c>
      <c r="L55" s="369"/>
      <c r="M55" s="369"/>
      <c r="N55" s="369"/>
      <c r="O55" s="369"/>
      <c r="P55" s="369"/>
      <c r="Q55" s="339">
        <v>815.40700000000004</v>
      </c>
      <c r="R55" s="369"/>
      <c r="S55" s="369"/>
      <c r="T55" s="369"/>
      <c r="U55" s="270">
        <v>216.72300000000001</v>
      </c>
      <c r="V55" s="339">
        <v>75.244</v>
      </c>
      <c r="W55" s="369"/>
      <c r="X55" s="72">
        <f>SUM(D55:W55)</f>
        <v>19037.228000000003</v>
      </c>
      <c r="Z55" s="70"/>
    </row>
    <row r="56" spans="1:30" s="22" customFormat="1">
      <c r="A56" s="601"/>
      <c r="B56" s="375" t="s">
        <v>329</v>
      </c>
      <c r="C56" s="376" t="s">
        <v>262</v>
      </c>
      <c r="D56" s="189">
        <v>77960</v>
      </c>
      <c r="E56" s="271">
        <v>13290</v>
      </c>
      <c r="F56" s="189">
        <v>12690</v>
      </c>
      <c r="G56" s="189">
        <v>16970</v>
      </c>
      <c r="H56" s="189">
        <v>20090</v>
      </c>
      <c r="I56" s="189">
        <v>20840</v>
      </c>
      <c r="J56" s="189">
        <v>14320</v>
      </c>
      <c r="K56" s="189">
        <v>4700</v>
      </c>
      <c r="L56" s="111"/>
      <c r="M56" s="111"/>
      <c r="N56" s="111"/>
      <c r="O56" s="111"/>
      <c r="P56" s="111"/>
      <c r="Q56" s="111"/>
      <c r="R56" s="189">
        <v>6400</v>
      </c>
      <c r="S56" s="111"/>
      <c r="T56" s="111"/>
      <c r="U56" s="189">
        <v>4030</v>
      </c>
      <c r="V56" s="189">
        <v>530</v>
      </c>
      <c r="W56" s="189">
        <v>370</v>
      </c>
      <c r="X56" s="72">
        <f t="shared" ref="X56:X58" si="16">SUM(D56:W56)</f>
        <v>192190</v>
      </c>
      <c r="Y56" s="70"/>
    </row>
    <row r="57" spans="1:30" s="22" customFormat="1">
      <c r="A57" s="601" t="s">
        <v>285</v>
      </c>
      <c r="B57" s="376" t="s">
        <v>327</v>
      </c>
      <c r="C57" s="376" t="s">
        <v>317</v>
      </c>
      <c r="D57" s="271">
        <v>4417.4790000000003</v>
      </c>
      <c r="E57" s="271">
        <v>1402.338</v>
      </c>
      <c r="F57" s="111"/>
      <c r="G57" s="189">
        <v>27256.37</v>
      </c>
      <c r="H57" s="189">
        <v>776.81600000000003</v>
      </c>
      <c r="I57" s="189">
        <v>23538.58</v>
      </c>
      <c r="J57" s="111"/>
      <c r="K57" s="111"/>
      <c r="L57" s="111"/>
      <c r="M57" s="111"/>
      <c r="N57" s="111"/>
      <c r="O57" s="111"/>
      <c r="P57" s="111"/>
      <c r="Q57" s="111"/>
      <c r="R57" s="111"/>
      <c r="S57" s="111"/>
      <c r="T57" s="111"/>
      <c r="U57" s="111"/>
      <c r="V57" s="189">
        <v>899.20399999999995</v>
      </c>
      <c r="W57" s="111"/>
      <c r="X57" s="72">
        <f t="shared" si="16"/>
        <v>58290.786999999997</v>
      </c>
      <c r="Z57" s="70"/>
    </row>
    <row r="58" spans="1:30" s="22" customFormat="1">
      <c r="A58" s="602"/>
      <c r="B58" s="377" t="s">
        <v>329</v>
      </c>
      <c r="C58" s="378" t="s">
        <v>262</v>
      </c>
      <c r="D58" s="282">
        <v>718500</v>
      </c>
      <c r="E58" s="272">
        <v>2315700</v>
      </c>
      <c r="F58" s="358"/>
      <c r="G58" s="282">
        <v>1150000</v>
      </c>
      <c r="H58" s="282">
        <v>48315</v>
      </c>
      <c r="I58" s="282">
        <v>875000</v>
      </c>
      <c r="J58" s="358"/>
      <c r="K58" s="358"/>
      <c r="L58" s="358"/>
      <c r="M58" s="358"/>
      <c r="N58" s="358"/>
      <c r="O58" s="358"/>
      <c r="P58" s="358"/>
      <c r="Q58" s="358"/>
      <c r="R58" s="358"/>
      <c r="S58" s="358"/>
      <c r="T58" s="358"/>
      <c r="U58" s="358"/>
      <c r="V58" s="282">
        <v>150000</v>
      </c>
      <c r="W58" s="358"/>
      <c r="X58" s="72">
        <f t="shared" si="16"/>
        <v>5257515</v>
      </c>
      <c r="Y58" s="70"/>
    </row>
    <row r="59" spans="1:30" s="22" customFormat="1">
      <c r="A59" s="57"/>
      <c r="B59" s="57"/>
      <c r="C59" s="57"/>
      <c r="D59" s="59" t="s">
        <v>286</v>
      </c>
      <c r="E59" s="59" t="s">
        <v>285</v>
      </c>
    </row>
    <row r="60" spans="1:30" s="22" customFormat="1">
      <c r="A60" s="55" t="s">
        <v>330</v>
      </c>
      <c r="C60" s="55" t="s">
        <v>338</v>
      </c>
      <c r="D60" s="70">
        <f>X55*1000/X25/24</f>
        <v>17.476328521126764</v>
      </c>
      <c r="E60" s="70">
        <f>X57*1000/X25/24</f>
        <v>53.511411607142861</v>
      </c>
    </row>
    <row r="61" spans="1:30" s="22" customFormat="1">
      <c r="A61" s="55" t="s">
        <v>342</v>
      </c>
      <c r="C61" s="55" t="s">
        <v>338</v>
      </c>
      <c r="D61" s="70">
        <f>X55*1000/X56/24</f>
        <v>4.1272586156060855</v>
      </c>
      <c r="E61" s="70">
        <f>X57*1000/X58/24</f>
        <v>0.4619640251462272</v>
      </c>
      <c r="F61" s="55" t="s">
        <v>343</v>
      </c>
    </row>
    <row r="62" spans="1:30" s="22" customFormat="1">
      <c r="A62" s="55" t="s">
        <v>345</v>
      </c>
      <c r="B62" s="55"/>
      <c r="C62" s="55" t="s">
        <v>348</v>
      </c>
      <c r="D62" s="70">
        <f>X55/X36</f>
        <v>98.554083899380544</v>
      </c>
      <c r="E62" s="70">
        <f>X57/X43</f>
        <v>1.9508825062798778</v>
      </c>
      <c r="F62" s="55" t="s">
        <v>344</v>
      </c>
    </row>
    <row r="63" spans="1:30" s="22" customFormat="1">
      <c r="A63" s="55" t="s">
        <v>346</v>
      </c>
      <c r="B63" s="55"/>
      <c r="C63" s="55" t="s">
        <v>318</v>
      </c>
      <c r="D63" s="70">
        <f>X55*1000/X56</f>
        <v>99.054206774546046</v>
      </c>
      <c r="E63" s="70">
        <f>X57*1000/X58</f>
        <v>11.087136603509453</v>
      </c>
      <c r="F63" s="55" t="s">
        <v>349</v>
      </c>
    </row>
    <row r="64" spans="1:30">
      <c r="A64" s="62" t="s">
        <v>287</v>
      </c>
      <c r="B64" s="56"/>
      <c r="C64" s="56"/>
      <c r="D64" s="56"/>
      <c r="E64" s="56"/>
      <c r="F64" s="56"/>
      <c r="G64" s="56"/>
      <c r="H64" s="56"/>
      <c r="I64" s="56"/>
      <c r="J64" s="56"/>
      <c r="K64" s="56"/>
      <c r="L64" s="56"/>
      <c r="M64" s="56"/>
      <c r="N64" s="56"/>
      <c r="O64" s="56"/>
      <c r="P64" s="56"/>
      <c r="Q64" s="56"/>
      <c r="R64" s="56"/>
      <c r="S64" s="56"/>
      <c r="T64" s="56"/>
      <c r="U64" s="56"/>
      <c r="V64" s="56"/>
      <c r="W64" s="56"/>
    </row>
    <row r="65" spans="1:24">
      <c r="A65" s="67"/>
      <c r="B65" s="57"/>
      <c r="C65" s="57"/>
      <c r="D65" s="59" t="s">
        <v>26</v>
      </c>
      <c r="E65" s="59" t="s">
        <v>126</v>
      </c>
      <c r="F65" s="59" t="s">
        <v>75</v>
      </c>
      <c r="G65" s="59" t="s">
        <v>127</v>
      </c>
      <c r="H65" s="59" t="s">
        <v>128</v>
      </c>
      <c r="I65" s="59" t="s">
        <v>129</v>
      </c>
      <c r="J65" s="59" t="s">
        <v>130</v>
      </c>
      <c r="K65" s="59" t="s">
        <v>103</v>
      </c>
      <c r="L65" s="59" t="s">
        <v>104</v>
      </c>
      <c r="M65" s="59" t="s">
        <v>105</v>
      </c>
      <c r="N65" s="59" t="s">
        <v>106</v>
      </c>
      <c r="O65" s="59" t="s">
        <v>101</v>
      </c>
      <c r="P65" s="59" t="s">
        <v>99</v>
      </c>
      <c r="Q65" s="59" t="s">
        <v>133</v>
      </c>
      <c r="R65" s="61" t="s">
        <v>118</v>
      </c>
      <c r="S65" s="61" t="s">
        <v>119</v>
      </c>
      <c r="T65" s="61" t="s">
        <v>120</v>
      </c>
      <c r="U65" s="59" t="s">
        <v>135</v>
      </c>
      <c r="V65" s="59" t="s">
        <v>136</v>
      </c>
      <c r="W65" s="59" t="s">
        <v>137</v>
      </c>
    </row>
    <row r="66" spans="1:24">
      <c r="A66" s="67"/>
      <c r="B66" s="55" t="s">
        <v>321</v>
      </c>
      <c r="C66" s="55" t="s">
        <v>316</v>
      </c>
      <c r="D66" s="111">
        <v>200</v>
      </c>
      <c r="E66" s="111">
        <v>120</v>
      </c>
      <c r="F66" s="111">
        <v>160</v>
      </c>
      <c r="G66" s="111">
        <v>120</v>
      </c>
      <c r="H66" s="111">
        <v>60</v>
      </c>
      <c r="I66" s="111">
        <v>80</v>
      </c>
      <c r="J66" s="111">
        <v>24</v>
      </c>
      <c r="K66" s="111">
        <f>45*K23</f>
        <v>3.2286741771886978</v>
      </c>
      <c r="L66" s="111">
        <f>45*L23</f>
        <v>5.4100904434810424</v>
      </c>
      <c r="M66" s="111">
        <f>45*M23</f>
        <v>28.433114849040027</v>
      </c>
      <c r="N66" s="111">
        <f>45*N23</f>
        <v>7.9281205302902267</v>
      </c>
      <c r="O66" s="111">
        <f>60*O23</f>
        <v>36.143760102153351</v>
      </c>
      <c r="P66" s="111">
        <f>60*P23</f>
        <v>23.856239897846656</v>
      </c>
      <c r="Q66" s="111">
        <v>60</v>
      </c>
      <c r="R66" s="111"/>
      <c r="S66" s="111"/>
      <c r="T66" s="111"/>
      <c r="U66" s="111">
        <v>10</v>
      </c>
      <c r="V66" s="111">
        <v>2</v>
      </c>
      <c r="W66" s="111">
        <v>3.2</v>
      </c>
    </row>
    <row r="67" spans="1:24">
      <c r="A67" s="67"/>
      <c r="B67" s="55" t="s">
        <v>288</v>
      </c>
      <c r="C67" s="55"/>
      <c r="D67" s="379">
        <f t="shared" ref="D67:Q67" si="17">D26/1000/D66</f>
        <v>3.2853881278538812E-2</v>
      </c>
      <c r="E67" s="379">
        <f t="shared" si="17"/>
        <v>1.1662861491628615E-2</v>
      </c>
      <c r="F67" s="379">
        <f t="shared" si="17"/>
        <v>4.8737157534246574E-2</v>
      </c>
      <c r="G67" s="379">
        <f t="shared" si="17"/>
        <v>8.4541476407914776E-2</v>
      </c>
      <c r="H67" s="379">
        <f t="shared" si="17"/>
        <v>2.4600456621004563E-2</v>
      </c>
      <c r="I67" s="379">
        <f t="shared" si="17"/>
        <v>3.3247716894977172E-2</v>
      </c>
      <c r="J67" s="379">
        <f t="shared" si="17"/>
        <v>4.4235159817351596E-3</v>
      </c>
      <c r="K67" s="379">
        <f t="shared" si="17"/>
        <v>8.3282597666159308E-2</v>
      </c>
      <c r="L67" s="379">
        <f t="shared" si="17"/>
        <v>8.3282597666159308E-2</v>
      </c>
      <c r="M67" s="379">
        <f t="shared" si="17"/>
        <v>8.3282597666159294E-2</v>
      </c>
      <c r="N67" s="379">
        <f t="shared" si="17"/>
        <v>8.3282597666159308E-2</v>
      </c>
      <c r="O67" s="379">
        <f t="shared" si="17"/>
        <v>7.0243531202435316E-2</v>
      </c>
      <c r="P67" s="379">
        <f t="shared" si="17"/>
        <v>7.0243531202435316E-2</v>
      </c>
      <c r="Q67" s="379">
        <f t="shared" si="17"/>
        <v>9.6042617960426166E-2</v>
      </c>
      <c r="R67" s="379"/>
      <c r="S67" s="379"/>
      <c r="T67" s="379"/>
      <c r="U67" s="379">
        <f>U26/1000/U66</f>
        <v>8.6415525114155262E-2</v>
      </c>
      <c r="V67" s="379">
        <f>V26/1000/V66</f>
        <v>0.3047945205479452</v>
      </c>
      <c r="W67" s="379">
        <f>W26/1000/W66</f>
        <v>0</v>
      </c>
    </row>
    <row r="68" spans="1:24">
      <c r="A68" s="98" t="s">
        <v>351</v>
      </c>
      <c r="B68" s="42" t="s">
        <v>278</v>
      </c>
      <c r="C68" s="91" t="s">
        <v>352</v>
      </c>
      <c r="D68" s="79"/>
      <c r="E68" s="79"/>
      <c r="F68" s="79"/>
      <c r="G68" s="90"/>
      <c r="H68" s="91"/>
      <c r="I68" s="79"/>
      <c r="J68" s="79"/>
      <c r="K68" s="79"/>
      <c r="L68" s="79"/>
      <c r="M68" s="79"/>
      <c r="N68" s="79"/>
      <c r="O68" s="79"/>
      <c r="P68" s="79"/>
      <c r="Q68" s="79"/>
      <c r="R68" s="79"/>
      <c r="S68" s="79"/>
      <c r="T68" s="79"/>
      <c r="U68" s="79"/>
      <c r="V68" s="79"/>
      <c r="W68" s="79"/>
    </row>
    <row r="69" spans="1:24">
      <c r="A69" s="89"/>
      <c r="B69" s="92" t="s">
        <v>326</v>
      </c>
      <c r="C69" s="92" t="s">
        <v>357</v>
      </c>
      <c r="D69" s="79"/>
      <c r="E69" s="79"/>
      <c r="F69" s="79"/>
      <c r="G69" s="90"/>
      <c r="H69" s="91"/>
      <c r="I69" s="79"/>
      <c r="J69" s="79"/>
      <c r="K69" s="79"/>
      <c r="L69" s="79"/>
      <c r="M69" s="90"/>
      <c r="N69" s="91"/>
      <c r="O69" s="91"/>
      <c r="P69" s="91"/>
      <c r="Q69" s="79"/>
      <c r="R69" s="79"/>
      <c r="S69" s="79"/>
      <c r="T69" s="79"/>
      <c r="U69" s="79"/>
      <c r="V69" s="79"/>
      <c r="W69" s="79"/>
    </row>
    <row r="70" spans="1:24">
      <c r="A70" s="67"/>
      <c r="B70" s="57"/>
      <c r="C70" s="57"/>
      <c r="D70" s="57" t="s">
        <v>26</v>
      </c>
      <c r="E70" s="57" t="s">
        <v>126</v>
      </c>
      <c r="F70" s="57" t="s">
        <v>75</v>
      </c>
      <c r="G70" s="57" t="s">
        <v>127</v>
      </c>
      <c r="H70" s="57" t="s">
        <v>128</v>
      </c>
      <c r="I70" s="57" t="s">
        <v>129</v>
      </c>
      <c r="J70" s="57" t="s">
        <v>130</v>
      </c>
      <c r="K70" s="57" t="s">
        <v>209</v>
      </c>
      <c r="L70" s="59" t="s">
        <v>104</v>
      </c>
      <c r="M70" s="59" t="s">
        <v>105</v>
      </c>
      <c r="N70" s="59" t="s">
        <v>106</v>
      </c>
      <c r="O70" s="57" t="s">
        <v>189</v>
      </c>
      <c r="P70" s="59" t="s">
        <v>99</v>
      </c>
      <c r="Q70" s="86" t="s">
        <v>133</v>
      </c>
      <c r="R70" s="60" t="s">
        <v>289</v>
      </c>
      <c r="S70" s="61" t="s">
        <v>119</v>
      </c>
      <c r="T70" s="61" t="s">
        <v>120</v>
      </c>
      <c r="U70" s="57" t="s">
        <v>135</v>
      </c>
      <c r="V70" s="57" t="s">
        <v>136</v>
      </c>
      <c r="W70" s="57" t="s">
        <v>137</v>
      </c>
      <c r="X70" s="88" t="s">
        <v>232</v>
      </c>
    </row>
    <row r="71" spans="1:24">
      <c r="A71" s="598" t="s">
        <v>353</v>
      </c>
      <c r="B71" s="39" t="s">
        <v>271</v>
      </c>
      <c r="C71" s="599" t="s">
        <v>356</v>
      </c>
      <c r="D71" s="271">
        <v>4209</v>
      </c>
      <c r="E71" s="189">
        <v>1583</v>
      </c>
      <c r="F71" s="189"/>
      <c r="G71" s="271">
        <v>1250</v>
      </c>
      <c r="H71" s="189">
        <v>893</v>
      </c>
      <c r="I71" s="189">
        <v>531</v>
      </c>
      <c r="J71" s="189">
        <v>479</v>
      </c>
      <c r="K71" s="189">
        <v>190</v>
      </c>
      <c r="L71" s="189"/>
      <c r="M71" s="189"/>
      <c r="N71" s="189"/>
      <c r="O71" s="189">
        <v>527</v>
      </c>
      <c r="P71" s="189"/>
      <c r="Q71" s="189">
        <v>284</v>
      </c>
      <c r="R71" s="189"/>
      <c r="S71" s="189"/>
      <c r="T71" s="189"/>
      <c r="U71" s="189">
        <v>53</v>
      </c>
      <c r="V71" s="189">
        <v>49</v>
      </c>
      <c r="W71" s="189">
        <v>32</v>
      </c>
      <c r="X71" s="72">
        <f>SUM(D71:W71)</f>
        <v>10080</v>
      </c>
    </row>
    <row r="72" spans="1:24">
      <c r="A72" s="598"/>
      <c r="B72" s="39" t="s">
        <v>272</v>
      </c>
      <c r="C72" s="599"/>
      <c r="D72" s="189">
        <v>4199</v>
      </c>
      <c r="E72" s="189">
        <v>1578</v>
      </c>
      <c r="F72" s="189"/>
      <c r="G72" s="271">
        <v>1247</v>
      </c>
      <c r="H72" s="189">
        <v>891</v>
      </c>
      <c r="I72" s="189">
        <v>531</v>
      </c>
      <c r="J72" s="189">
        <v>477</v>
      </c>
      <c r="K72" s="189">
        <v>189</v>
      </c>
      <c r="L72" s="189"/>
      <c r="M72" s="189"/>
      <c r="N72" s="189"/>
      <c r="O72" s="189">
        <v>526</v>
      </c>
      <c r="P72" s="189"/>
      <c r="Q72" s="189">
        <v>284</v>
      </c>
      <c r="R72" s="189"/>
      <c r="S72" s="189"/>
      <c r="T72" s="189"/>
      <c r="U72" s="189">
        <v>53</v>
      </c>
      <c r="V72" s="189">
        <v>49</v>
      </c>
      <c r="W72" s="189">
        <v>32</v>
      </c>
      <c r="X72" s="72">
        <f t="shared" ref="X72:X76" si="18">SUM(D72:W72)</f>
        <v>10056</v>
      </c>
    </row>
    <row r="73" spans="1:24">
      <c r="A73" s="598"/>
      <c r="B73" s="39" t="s">
        <v>275</v>
      </c>
      <c r="C73" s="599"/>
      <c r="D73" s="189">
        <v>3428</v>
      </c>
      <c r="E73" s="189">
        <v>1288</v>
      </c>
      <c r="F73" s="189"/>
      <c r="G73" s="271">
        <v>1018</v>
      </c>
      <c r="H73" s="189">
        <v>726</v>
      </c>
      <c r="I73" s="189">
        <v>433</v>
      </c>
      <c r="J73" s="189">
        <v>390</v>
      </c>
      <c r="K73" s="189">
        <v>155</v>
      </c>
      <c r="L73" s="189"/>
      <c r="M73" s="189"/>
      <c r="N73" s="189"/>
      <c r="O73" s="189">
        <v>429</v>
      </c>
      <c r="P73" s="189"/>
      <c r="Q73" s="189">
        <v>232</v>
      </c>
      <c r="R73" s="189"/>
      <c r="S73" s="189"/>
      <c r="T73" s="189"/>
      <c r="U73" s="189">
        <v>43</v>
      </c>
      <c r="V73" s="189">
        <v>39</v>
      </c>
      <c r="W73" s="189">
        <v>26</v>
      </c>
      <c r="X73" s="72">
        <f t="shared" si="18"/>
        <v>8207</v>
      </c>
    </row>
    <row r="74" spans="1:24">
      <c r="A74" s="598" t="s">
        <v>354</v>
      </c>
      <c r="B74" s="39" t="s">
        <v>271</v>
      </c>
      <c r="C74" s="599" t="s">
        <v>355</v>
      </c>
      <c r="D74" s="189">
        <v>33505.997000000003</v>
      </c>
      <c r="E74" s="189">
        <v>12976.596</v>
      </c>
      <c r="F74" s="189"/>
      <c r="G74" s="271">
        <v>9681.3320000000003</v>
      </c>
      <c r="H74" s="189">
        <v>5940.576</v>
      </c>
      <c r="I74" s="189">
        <v>4540.451</v>
      </c>
      <c r="J74" s="189">
        <v>3702.1419999999998</v>
      </c>
      <c r="K74" s="189">
        <v>1537.5920000000001</v>
      </c>
      <c r="L74" s="189"/>
      <c r="M74" s="189"/>
      <c r="N74" s="189"/>
      <c r="O74" s="189">
        <v>3934.2379999999998</v>
      </c>
      <c r="P74" s="189"/>
      <c r="Q74" s="189">
        <v>2298.5419999999999</v>
      </c>
      <c r="R74" s="189"/>
      <c r="S74" s="189"/>
      <c r="T74" s="189"/>
      <c r="U74" s="189">
        <v>368.24799999999999</v>
      </c>
      <c r="V74" s="189">
        <v>377.06900000000002</v>
      </c>
      <c r="W74" s="189">
        <v>254.72800000000001</v>
      </c>
      <c r="X74" s="72">
        <f t="shared" si="18"/>
        <v>79117.511000000028</v>
      </c>
    </row>
    <row r="75" spans="1:24">
      <c r="A75" s="598"/>
      <c r="B75" s="39" t="s">
        <v>272</v>
      </c>
      <c r="C75" s="599"/>
      <c r="D75" s="189">
        <v>33188.480000000003</v>
      </c>
      <c r="E75" s="189">
        <v>12913.062</v>
      </c>
      <c r="F75" s="189"/>
      <c r="G75" s="271">
        <v>9482.1939999999995</v>
      </c>
      <c r="H75" s="189">
        <v>5456.5919999999996</v>
      </c>
      <c r="I75" s="189">
        <v>4535.6260000000002</v>
      </c>
      <c r="J75" s="189">
        <v>3677.8290000000002</v>
      </c>
      <c r="K75" s="189">
        <v>1526.364</v>
      </c>
      <c r="L75" s="189"/>
      <c r="M75" s="189"/>
      <c r="N75" s="189"/>
      <c r="O75" s="189">
        <v>3907.3209999999999</v>
      </c>
      <c r="P75" s="189"/>
      <c r="Q75" s="189">
        <v>2286.7660000000001</v>
      </c>
      <c r="R75" s="189"/>
      <c r="S75" s="189"/>
      <c r="T75" s="189"/>
      <c r="U75" s="189">
        <v>356.33100000000002</v>
      </c>
      <c r="V75" s="189">
        <v>373.89</v>
      </c>
      <c r="W75" s="189">
        <v>253.666</v>
      </c>
      <c r="X75" s="72">
        <f t="shared" si="18"/>
        <v>77958.120999999999</v>
      </c>
    </row>
    <row r="76" spans="1:24">
      <c r="A76" s="598"/>
      <c r="B76" s="39" t="s">
        <v>275</v>
      </c>
      <c r="C76" s="599"/>
      <c r="D76" s="189">
        <v>29768.707999999999</v>
      </c>
      <c r="E76" s="189">
        <v>11211.665000000001</v>
      </c>
      <c r="F76" s="189"/>
      <c r="G76" s="271">
        <v>8883.7739999999994</v>
      </c>
      <c r="H76" s="189">
        <v>6296.9750000000004</v>
      </c>
      <c r="I76" s="189">
        <v>3768.5360000000001</v>
      </c>
      <c r="J76" s="189">
        <v>3386.7489999999998</v>
      </c>
      <c r="K76" s="189">
        <v>1351.29</v>
      </c>
      <c r="L76" s="189"/>
      <c r="M76" s="189"/>
      <c r="N76" s="189"/>
      <c r="O76" s="189">
        <v>3733.3049999999998</v>
      </c>
      <c r="P76" s="189"/>
      <c r="Q76" s="189">
        <v>2022.5650000000001</v>
      </c>
      <c r="R76" s="189"/>
      <c r="S76" s="189"/>
      <c r="T76" s="189"/>
      <c r="U76" s="189">
        <v>372.91899999999998</v>
      </c>
      <c r="V76" s="189">
        <v>338.70299999999997</v>
      </c>
      <c r="W76" s="189">
        <v>226.15299999999999</v>
      </c>
      <c r="X76" s="72">
        <f t="shared" si="18"/>
        <v>71361.34199999999</v>
      </c>
    </row>
    <row r="77" spans="1:24">
      <c r="A77" s="39"/>
    </row>
    <row r="78" spans="1:24">
      <c r="A78" s="39"/>
      <c r="B78" s="87"/>
      <c r="C78" s="87"/>
      <c r="D78" s="87"/>
    </row>
    <row r="79" spans="1:24">
      <c r="A79" s="39"/>
    </row>
    <row r="80" spans="1:24">
      <c r="A80" s="39"/>
    </row>
    <row r="81" spans="1:1">
      <c r="A81" s="39"/>
    </row>
  </sheetData>
  <mergeCells count="17">
    <mergeCell ref="A36:A37"/>
    <mergeCell ref="A1:A5"/>
    <mergeCell ref="A71:A73"/>
    <mergeCell ref="A74:A76"/>
    <mergeCell ref="C71:C73"/>
    <mergeCell ref="C74:C76"/>
    <mergeCell ref="A55:A56"/>
    <mergeCell ref="A57:A58"/>
    <mergeCell ref="C24:C26"/>
    <mergeCell ref="C15:C23"/>
    <mergeCell ref="C10:C14"/>
    <mergeCell ref="C7:C9"/>
    <mergeCell ref="A38:A43"/>
    <mergeCell ref="A7:A9"/>
    <mergeCell ref="A10:A14"/>
    <mergeCell ref="A15:A22"/>
    <mergeCell ref="A24:A26"/>
  </mergeCells>
  <phoneticPr fontId="20" type="noConversion"/>
  <conditionalFormatting sqref="D7:K13 O7:O13 Q7:R13 U7:W13 X13:Y13 D15:K20 O15:O20 Q15:R20 U15:X20 X24:X25 D26:Q26 U26:X26">
    <cfRule type="cellIs" dxfId="17" priority="3" operator="lessThan">
      <formula>1</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91483-C946-493E-8937-403CF23A1352}">
  <sheetPr>
    <tabColor theme="9" tint="0.59999389629810485"/>
  </sheetPr>
  <dimension ref="A1:Y222"/>
  <sheetViews>
    <sheetView zoomScaleNormal="100" workbookViewId="0">
      <selection activeCell="A8" sqref="A8:X8"/>
    </sheetView>
  </sheetViews>
  <sheetFormatPr defaultColWidth="9.140625" defaultRowHeight="15"/>
  <cols>
    <col min="1" max="13" width="7.7109375" style="39" customWidth="1"/>
    <col min="14" max="15" width="7.140625" style="39" customWidth="1"/>
    <col min="16" max="16" width="7.7109375" style="39" customWidth="1"/>
    <col min="17" max="24" width="7.140625" style="39" customWidth="1"/>
    <col min="25" max="31" width="9.140625" style="39"/>
    <col min="32" max="32" width="11.28515625" style="39" bestFit="1" customWidth="1"/>
    <col min="33" max="16384" width="9.140625" style="39"/>
  </cols>
  <sheetData>
    <row r="1" spans="1:25">
      <c r="A1" s="620" t="s">
        <v>514</v>
      </c>
      <c r="B1" s="620"/>
      <c r="C1" s="620" t="s">
        <v>521</v>
      </c>
      <c r="D1" s="620"/>
      <c r="E1" s="620"/>
      <c r="F1" s="620"/>
      <c r="G1" s="620"/>
      <c r="H1" s="620"/>
      <c r="I1" s="620"/>
      <c r="J1" s="620"/>
      <c r="K1" s="620"/>
      <c r="L1" s="620"/>
      <c r="M1" s="620"/>
      <c r="N1" s="620"/>
      <c r="O1" s="620"/>
      <c r="P1" s="620"/>
      <c r="Q1" s="620"/>
      <c r="R1" s="620"/>
      <c r="S1" s="620"/>
      <c r="T1" s="620"/>
      <c r="U1" s="620"/>
      <c r="V1" s="620"/>
      <c r="W1" s="620"/>
      <c r="X1" s="620"/>
    </row>
    <row r="2" spans="1:25">
      <c r="A2" s="620" t="s">
        <v>494</v>
      </c>
      <c r="B2" s="620"/>
      <c r="C2" s="620" t="s">
        <v>498</v>
      </c>
      <c r="D2" s="620"/>
      <c r="E2" s="620"/>
      <c r="F2" s="620"/>
      <c r="G2" s="620"/>
      <c r="H2" s="620"/>
      <c r="I2" s="620"/>
      <c r="J2" s="620"/>
      <c r="K2" s="620"/>
      <c r="L2" s="620"/>
      <c r="M2" s="620"/>
      <c r="N2" s="620"/>
      <c r="O2" s="620"/>
      <c r="P2" s="620"/>
      <c r="Q2" s="620"/>
      <c r="R2" s="620"/>
      <c r="S2" s="620"/>
      <c r="T2" s="620"/>
      <c r="U2" s="620"/>
      <c r="V2" s="620"/>
      <c r="W2" s="620"/>
      <c r="X2" s="620"/>
    </row>
    <row r="3" spans="1:25" ht="15" customHeight="1">
      <c r="A3" s="622" t="s">
        <v>167</v>
      </c>
      <c r="B3" s="622"/>
      <c r="C3" s="622" t="s">
        <v>168</v>
      </c>
      <c r="D3" s="622"/>
      <c r="E3" s="622"/>
      <c r="F3" s="622"/>
      <c r="G3" s="622"/>
      <c r="H3" s="622"/>
      <c r="I3" s="622"/>
      <c r="J3" s="622"/>
      <c r="K3" s="622"/>
      <c r="L3" s="622"/>
      <c r="M3" s="622"/>
      <c r="N3" s="622"/>
      <c r="O3" s="622"/>
      <c r="P3" s="622"/>
      <c r="Q3" s="622"/>
      <c r="R3" s="622"/>
      <c r="S3" s="622"/>
      <c r="T3" s="622"/>
      <c r="U3" s="622"/>
      <c r="V3" s="622"/>
      <c r="W3" s="622"/>
      <c r="X3" s="622"/>
    </row>
    <row r="4" spans="1:25">
      <c r="A4" s="621" t="s">
        <v>604</v>
      </c>
      <c r="B4" s="621"/>
      <c r="C4" s="623" t="s">
        <v>605</v>
      </c>
      <c r="D4" s="623"/>
      <c r="E4" s="623"/>
      <c r="F4" s="623"/>
      <c r="G4" s="623"/>
      <c r="H4" s="623"/>
      <c r="I4" s="623"/>
      <c r="J4" s="623"/>
      <c r="K4" s="623"/>
      <c r="L4" s="623"/>
      <c r="M4" s="623"/>
      <c r="N4" s="623"/>
      <c r="O4" s="623"/>
      <c r="P4" s="623"/>
      <c r="Q4" s="623"/>
      <c r="R4" s="623"/>
      <c r="S4" s="623"/>
      <c r="T4" s="623"/>
      <c r="U4" s="623"/>
      <c r="V4" s="623"/>
      <c r="W4" s="623"/>
      <c r="X4" s="623"/>
    </row>
    <row r="5" spans="1:25" ht="120.75" customHeight="1">
      <c r="A5" s="619" t="s">
        <v>169</v>
      </c>
      <c r="B5" s="619"/>
      <c r="C5" s="619" t="s">
        <v>520</v>
      </c>
      <c r="D5" s="619"/>
      <c r="E5" s="619"/>
      <c r="F5" s="619"/>
      <c r="G5" s="619"/>
      <c r="H5" s="619"/>
      <c r="I5" s="619"/>
      <c r="J5" s="619"/>
      <c r="K5" s="619"/>
      <c r="L5" s="619"/>
      <c r="M5" s="619"/>
      <c r="N5" s="619"/>
      <c r="O5" s="619"/>
      <c r="P5" s="619"/>
      <c r="Q5" s="619"/>
      <c r="R5" s="619"/>
      <c r="S5" s="619"/>
      <c r="T5" s="619"/>
      <c r="U5" s="619"/>
      <c r="V5" s="619"/>
      <c r="W5" s="619"/>
      <c r="X5" s="619"/>
    </row>
    <row r="6" spans="1:25">
      <c r="A6" s="624" t="s">
        <v>497</v>
      </c>
      <c r="B6" s="624"/>
      <c r="C6" s="619" t="s">
        <v>606</v>
      </c>
      <c r="D6" s="619"/>
      <c r="E6" s="619"/>
      <c r="F6" s="619"/>
      <c r="G6" s="619"/>
      <c r="H6" s="619"/>
      <c r="I6" s="619"/>
      <c r="J6" s="619"/>
      <c r="K6" s="619"/>
      <c r="L6" s="619"/>
      <c r="M6" s="619"/>
      <c r="N6" s="619"/>
      <c r="O6" s="619"/>
      <c r="P6" s="619"/>
      <c r="Q6" s="619"/>
      <c r="R6" s="619"/>
      <c r="S6" s="619"/>
      <c r="T6" s="619"/>
      <c r="U6" s="619"/>
      <c r="V6" s="619"/>
      <c r="W6" s="619"/>
      <c r="X6" s="619"/>
    </row>
    <row r="7" spans="1:25">
      <c r="A7" s="624"/>
      <c r="B7" s="624"/>
      <c r="C7" s="619" t="s">
        <v>503</v>
      </c>
      <c r="D7" s="619"/>
      <c r="E7" s="619"/>
      <c r="F7" s="619"/>
      <c r="G7" s="619"/>
      <c r="H7" s="619"/>
      <c r="I7" s="619"/>
      <c r="J7" s="619"/>
      <c r="K7" s="619"/>
      <c r="L7" s="619"/>
      <c r="M7" s="619"/>
      <c r="N7" s="619"/>
      <c r="O7" s="619"/>
      <c r="P7" s="619"/>
      <c r="Q7" s="619"/>
      <c r="R7" s="619"/>
      <c r="S7" s="619"/>
      <c r="T7" s="619"/>
      <c r="U7" s="619"/>
      <c r="V7" s="619"/>
      <c r="W7" s="619"/>
      <c r="X7" s="619"/>
    </row>
    <row r="8" spans="1:25">
      <c r="A8" s="613" t="s">
        <v>704</v>
      </c>
      <c r="B8" s="613"/>
      <c r="C8" s="614" t="s">
        <v>705</v>
      </c>
      <c r="D8" s="614"/>
      <c r="E8" s="614"/>
      <c r="F8" s="614"/>
      <c r="G8" s="614"/>
      <c r="H8" s="614"/>
      <c r="I8" s="614"/>
      <c r="J8" s="614"/>
      <c r="K8" s="614"/>
      <c r="L8" s="614"/>
      <c r="M8" s="614"/>
      <c r="N8" s="614"/>
      <c r="O8" s="614"/>
      <c r="P8" s="614"/>
      <c r="Q8" s="614"/>
      <c r="R8" s="614"/>
      <c r="S8" s="614"/>
      <c r="T8" s="614"/>
      <c r="U8" s="614"/>
      <c r="V8" s="614"/>
      <c r="W8" s="614"/>
      <c r="X8" s="614"/>
    </row>
    <row r="10" spans="1:25">
      <c r="A10" s="592" t="s">
        <v>509</v>
      </c>
      <c r="B10" s="592"/>
      <c r="C10" s="592"/>
      <c r="D10" s="592"/>
      <c r="E10" s="592"/>
      <c r="F10" s="592"/>
      <c r="H10" s="592" t="s">
        <v>495</v>
      </c>
      <c r="I10" s="592"/>
      <c r="J10" s="592"/>
      <c r="K10" s="592"/>
      <c r="L10" s="592"/>
      <c r="M10" s="592"/>
      <c r="O10" s="615" t="s">
        <v>496</v>
      </c>
      <c r="P10" s="615"/>
      <c r="Q10" s="615"/>
      <c r="R10" s="615"/>
      <c r="T10" s="592" t="s">
        <v>492</v>
      </c>
      <c r="U10" s="592"/>
      <c r="V10" s="592"/>
      <c r="W10" s="592"/>
      <c r="X10" s="592"/>
      <c r="Y10" s="592"/>
    </row>
    <row r="11" spans="1:25">
      <c r="A11" s="227"/>
      <c r="B11" s="227"/>
      <c r="C11" s="618" t="s">
        <v>170</v>
      </c>
      <c r="D11" s="618"/>
      <c r="E11" s="616" t="s">
        <v>171</v>
      </c>
      <c r="F11" s="616"/>
      <c r="H11" s="227"/>
      <c r="I11" s="227"/>
      <c r="J11" s="226" t="s">
        <v>170</v>
      </c>
      <c r="K11" s="226"/>
      <c r="L11" s="281" t="s">
        <v>171</v>
      </c>
      <c r="M11" s="227"/>
      <c r="O11" s="18"/>
      <c r="P11" s="18"/>
      <c r="Q11" s="18"/>
      <c r="R11" s="18"/>
      <c r="T11" s="21"/>
      <c r="U11" s="617" t="s">
        <v>522</v>
      </c>
      <c r="V11" s="616"/>
      <c r="W11" s="616"/>
      <c r="X11" s="616" t="s">
        <v>493</v>
      </c>
      <c r="Y11" s="616"/>
    </row>
    <row r="12" spans="1:25">
      <c r="A12" s="43" t="s">
        <v>172</v>
      </c>
      <c r="B12" s="43" t="s">
        <v>173</v>
      </c>
      <c r="C12" s="93" t="s">
        <v>174</v>
      </c>
      <c r="D12" s="93" t="s">
        <v>175</v>
      </c>
      <c r="E12" s="43" t="s">
        <v>174</v>
      </c>
      <c r="F12" s="43" t="s">
        <v>175</v>
      </c>
      <c r="H12" s="43" t="s">
        <v>172</v>
      </c>
      <c r="I12" s="43" t="s">
        <v>173</v>
      </c>
      <c r="J12" s="93" t="s">
        <v>174</v>
      </c>
      <c r="K12" s="93" t="s">
        <v>175</v>
      </c>
      <c r="L12" s="43" t="s">
        <v>174</v>
      </c>
      <c r="M12" s="43" t="s">
        <v>175</v>
      </c>
      <c r="O12" s="18" t="s">
        <v>491</v>
      </c>
      <c r="P12" s="18"/>
      <c r="Q12" s="19" t="s">
        <v>461</v>
      </c>
      <c r="R12" s="19" t="s">
        <v>460</v>
      </c>
      <c r="T12" s="43" t="s">
        <v>172</v>
      </c>
      <c r="U12" s="43" t="s">
        <v>173</v>
      </c>
      <c r="V12" s="21" t="s">
        <v>461</v>
      </c>
      <c r="W12" s="21" t="s">
        <v>460</v>
      </c>
      <c r="X12" s="21" t="s">
        <v>461</v>
      </c>
      <c r="Y12" s="21" t="s">
        <v>460</v>
      </c>
    </row>
    <row r="13" spans="1:25">
      <c r="A13" s="230" t="s">
        <v>178</v>
      </c>
      <c r="B13" s="231" t="s">
        <v>462</v>
      </c>
      <c r="C13" s="271"/>
      <c r="D13" s="271"/>
      <c r="E13" s="381">
        <v>400</v>
      </c>
      <c r="F13" s="381">
        <v>400</v>
      </c>
      <c r="H13" s="231" t="s">
        <v>178</v>
      </c>
      <c r="I13" s="231" t="s">
        <v>180</v>
      </c>
      <c r="J13" s="271"/>
      <c r="K13" s="271"/>
      <c r="L13" s="381">
        <v>4800</v>
      </c>
      <c r="M13" s="381">
        <v>4800</v>
      </c>
      <c r="O13" s="39" t="str">
        <f>T13&amp;"-"&amp;U13</f>
        <v>DE00-FR00</v>
      </c>
      <c r="Q13" s="552">
        <f>L13</f>
        <v>4800</v>
      </c>
      <c r="R13" s="552">
        <f>-M13</f>
        <v>-4800</v>
      </c>
      <c r="T13" s="231" t="s">
        <v>178</v>
      </c>
      <c r="U13" s="231" t="s">
        <v>180</v>
      </c>
      <c r="V13" s="189">
        <v>3000</v>
      </c>
      <c r="W13" s="189">
        <v>-3000</v>
      </c>
      <c r="X13" s="72">
        <f t="shared" ref="X13:X52" si="0">Q13-V13</f>
        <v>1800</v>
      </c>
      <c r="Y13" s="72">
        <f>W13-R13</f>
        <v>1800</v>
      </c>
    </row>
    <row r="14" spans="1:25">
      <c r="A14" s="230" t="s">
        <v>178</v>
      </c>
      <c r="B14" s="231" t="s">
        <v>180</v>
      </c>
      <c r="C14" s="271"/>
      <c r="D14" s="271"/>
      <c r="E14" s="381">
        <v>4800</v>
      </c>
      <c r="F14" s="381">
        <v>4800</v>
      </c>
      <c r="H14" s="231" t="s">
        <v>178</v>
      </c>
      <c r="I14" s="231" t="s">
        <v>182</v>
      </c>
      <c r="J14" s="271"/>
      <c r="K14" s="271"/>
      <c r="L14" s="381">
        <v>1400</v>
      </c>
      <c r="M14" s="381">
        <v>1400</v>
      </c>
      <c r="O14" s="39" t="str">
        <f t="shared" ref="O14:O52" si="1">T14&amp;"-"&amp;U14</f>
        <v>DE00-UK00</v>
      </c>
      <c r="Q14" s="552">
        <f>L14+L78</f>
        <v>2800</v>
      </c>
      <c r="R14" s="552">
        <f>-M14-M78</f>
        <v>-2800</v>
      </c>
      <c r="T14" s="231" t="s">
        <v>178</v>
      </c>
      <c r="U14" s="231" t="s">
        <v>182</v>
      </c>
      <c r="V14" s="189">
        <v>0</v>
      </c>
      <c r="W14" s="189">
        <v>0</v>
      </c>
      <c r="X14" s="72">
        <f t="shared" si="0"/>
        <v>2800</v>
      </c>
      <c r="Y14" s="72">
        <f t="shared" ref="Y14:Y52" si="2">W14-R14</f>
        <v>2800</v>
      </c>
    </row>
    <row r="15" spans="1:25">
      <c r="A15" s="230" t="s">
        <v>178</v>
      </c>
      <c r="B15" s="231" t="s">
        <v>182</v>
      </c>
      <c r="C15" s="271"/>
      <c r="D15" s="271"/>
      <c r="E15" s="381">
        <v>1400</v>
      </c>
      <c r="F15" s="381">
        <v>1400</v>
      </c>
      <c r="H15" s="231" t="s">
        <v>178</v>
      </c>
      <c r="I15" s="231" t="s">
        <v>199</v>
      </c>
      <c r="J15" s="271"/>
      <c r="K15" s="271"/>
      <c r="L15" s="381">
        <v>2000</v>
      </c>
      <c r="M15" s="381">
        <v>3000</v>
      </c>
      <c r="O15" s="39" t="str">
        <f t="shared" si="1"/>
        <v>DE00-PL00</v>
      </c>
      <c r="Q15" s="550">
        <f>L15</f>
        <v>2000</v>
      </c>
      <c r="R15" s="550">
        <f>-M15</f>
        <v>-3000</v>
      </c>
      <c r="T15" s="231" t="s">
        <v>178</v>
      </c>
      <c r="U15" s="231" t="s">
        <v>199</v>
      </c>
      <c r="V15" s="189">
        <v>2000</v>
      </c>
      <c r="W15" s="189">
        <v>-3000</v>
      </c>
      <c r="X15" s="72">
        <f t="shared" si="0"/>
        <v>0</v>
      </c>
      <c r="Y15" s="72">
        <f t="shared" si="2"/>
        <v>0</v>
      </c>
    </row>
    <row r="16" spans="1:25">
      <c r="A16" s="230" t="s">
        <v>178</v>
      </c>
      <c r="B16" s="231" t="s">
        <v>463</v>
      </c>
      <c r="C16" s="271"/>
      <c r="D16" s="271"/>
      <c r="E16" s="381">
        <v>2000</v>
      </c>
      <c r="F16" s="381">
        <v>0</v>
      </c>
      <c r="H16" s="231" t="s">
        <v>178</v>
      </c>
      <c r="I16" s="231" t="s">
        <v>184</v>
      </c>
      <c r="J16" s="271"/>
      <c r="K16" s="271"/>
      <c r="L16" s="381">
        <v>5000</v>
      </c>
      <c r="M16" s="381">
        <v>5000</v>
      </c>
      <c r="O16" s="39" t="str">
        <f t="shared" si="1"/>
        <v>DE00-NL00</v>
      </c>
      <c r="Q16" s="550">
        <f>L16+L79</f>
        <v>6000</v>
      </c>
      <c r="R16" s="550">
        <f>-M16-M79</f>
        <v>-6000</v>
      </c>
      <c r="T16" s="231" t="s">
        <v>178</v>
      </c>
      <c r="U16" s="231" t="s">
        <v>184</v>
      </c>
      <c r="V16" s="189">
        <v>5000</v>
      </c>
      <c r="W16" s="189">
        <v>-5000</v>
      </c>
      <c r="X16" s="72">
        <f t="shared" si="0"/>
        <v>1000</v>
      </c>
      <c r="Y16" s="72">
        <f t="shared" si="2"/>
        <v>1000</v>
      </c>
    </row>
    <row r="17" spans="1:25">
      <c r="A17" s="81" t="s">
        <v>107</v>
      </c>
      <c r="B17" s="231" t="s">
        <v>464</v>
      </c>
      <c r="C17" s="225"/>
      <c r="D17" s="225"/>
      <c r="E17" s="381">
        <v>0</v>
      </c>
      <c r="F17" s="381">
        <v>3000</v>
      </c>
      <c r="H17" s="231" t="s">
        <v>178</v>
      </c>
      <c r="I17" s="231" t="s">
        <v>185</v>
      </c>
      <c r="J17" s="271"/>
      <c r="K17" s="271"/>
      <c r="L17" s="381">
        <v>1000</v>
      </c>
      <c r="M17" s="381">
        <v>1000</v>
      </c>
      <c r="O17" s="39" t="str">
        <f t="shared" si="1"/>
        <v>DE00-BE00</v>
      </c>
      <c r="Q17" s="552">
        <f>L17</f>
        <v>1000</v>
      </c>
      <c r="R17" s="552">
        <f>-M17</f>
        <v>-1000</v>
      </c>
      <c r="T17" s="231" t="s">
        <v>178</v>
      </c>
      <c r="U17" s="231" t="s">
        <v>185</v>
      </c>
      <c r="V17" s="189">
        <v>1000</v>
      </c>
      <c r="W17" s="189">
        <v>-1000</v>
      </c>
      <c r="X17" s="72">
        <f t="shared" si="0"/>
        <v>0</v>
      </c>
      <c r="Y17" s="72">
        <f t="shared" si="2"/>
        <v>0</v>
      </c>
    </row>
    <row r="18" spans="1:25">
      <c r="A18" s="230" t="s">
        <v>178</v>
      </c>
      <c r="B18" s="231" t="s">
        <v>184</v>
      </c>
      <c r="C18" s="271"/>
      <c r="D18" s="271"/>
      <c r="E18" s="381">
        <v>5000</v>
      </c>
      <c r="F18" s="381">
        <v>5000</v>
      </c>
      <c r="H18" s="231" t="s">
        <v>178</v>
      </c>
      <c r="I18" s="39" t="s">
        <v>186</v>
      </c>
      <c r="J18" s="271"/>
      <c r="K18" s="271"/>
      <c r="L18" s="381">
        <v>1315</v>
      </c>
      <c r="M18" s="381">
        <v>1315</v>
      </c>
      <c r="O18" s="39" t="str">
        <f t="shared" si="1"/>
        <v>DE00-SE04</v>
      </c>
      <c r="Q18" s="550">
        <f>L18+L82</f>
        <v>2015</v>
      </c>
      <c r="R18" s="550">
        <f>-M18-M82</f>
        <v>-2015</v>
      </c>
      <c r="T18" s="231" t="s">
        <v>178</v>
      </c>
      <c r="U18" s="39" t="s">
        <v>186</v>
      </c>
      <c r="V18" s="189">
        <v>615</v>
      </c>
      <c r="W18" s="189">
        <v>-615</v>
      </c>
      <c r="X18" s="72">
        <f t="shared" si="0"/>
        <v>1400</v>
      </c>
      <c r="Y18" s="72">
        <f t="shared" si="2"/>
        <v>1400</v>
      </c>
    </row>
    <row r="19" spans="1:25">
      <c r="A19" s="230" t="s">
        <v>178</v>
      </c>
      <c r="B19" s="231" t="s">
        <v>185</v>
      </c>
      <c r="C19" s="271"/>
      <c r="D19" s="271"/>
      <c r="E19" s="381">
        <v>1000</v>
      </c>
      <c r="F19" s="381">
        <v>1000</v>
      </c>
      <c r="H19" s="231" t="s">
        <v>178</v>
      </c>
      <c r="I19" s="231" t="s">
        <v>200</v>
      </c>
      <c r="J19" s="279">
        <f>MIN(E21,C62)+MIN(C22,C64)+E23</f>
        <v>2200</v>
      </c>
      <c r="K19" s="279">
        <f>MIN(F21,D62)+MIN(D22,D64)+F23</f>
        <v>2200</v>
      </c>
      <c r="L19" s="586">
        <f>MIN(E21,E62)+MIN(E22,E64)+E23</f>
        <v>1000</v>
      </c>
      <c r="M19" s="586">
        <f>MIN(F21,F62)+MIN(F22,F64)+F23</f>
        <v>1000</v>
      </c>
      <c r="O19" s="39" t="str">
        <f t="shared" si="1"/>
        <v>DE00-DKE1</v>
      </c>
      <c r="Q19" s="550">
        <f>L19+L84</f>
        <v>1500</v>
      </c>
      <c r="R19" s="550">
        <f>-M19-M84</f>
        <v>-1500</v>
      </c>
      <c r="T19" s="231" t="s">
        <v>178</v>
      </c>
      <c r="U19" s="231" t="s">
        <v>200</v>
      </c>
      <c r="V19" s="189">
        <v>600</v>
      </c>
      <c r="W19" s="189">
        <v>-585</v>
      </c>
      <c r="X19" s="72">
        <f t="shared" si="0"/>
        <v>900</v>
      </c>
      <c r="Y19" s="72">
        <f t="shared" si="2"/>
        <v>915</v>
      </c>
    </row>
    <row r="20" spans="1:25">
      <c r="A20" s="230" t="s">
        <v>178</v>
      </c>
      <c r="B20" s="39" t="s">
        <v>186</v>
      </c>
      <c r="C20" s="271"/>
      <c r="D20" s="271"/>
      <c r="E20" s="381">
        <v>1315</v>
      </c>
      <c r="F20" s="381">
        <v>1315</v>
      </c>
      <c r="H20" s="231" t="s">
        <v>178</v>
      </c>
      <c r="I20" s="39" t="s">
        <v>189</v>
      </c>
      <c r="J20" s="271"/>
      <c r="K20" s="271"/>
      <c r="L20" s="381">
        <v>3500</v>
      </c>
      <c r="M20" s="381">
        <v>3500</v>
      </c>
      <c r="O20" s="39" t="str">
        <f t="shared" si="1"/>
        <v>DE00-DKW1</v>
      </c>
      <c r="Q20" s="552">
        <f t="shared" ref="Q20:Q22" si="3">L20</f>
        <v>3500</v>
      </c>
      <c r="R20" s="552">
        <f>-M20</f>
        <v>-3500</v>
      </c>
      <c r="T20" s="231" t="s">
        <v>178</v>
      </c>
      <c r="U20" s="39" t="s">
        <v>189</v>
      </c>
      <c r="V20" s="189">
        <v>3500</v>
      </c>
      <c r="W20" s="189">
        <v>-3500</v>
      </c>
      <c r="X20" s="72">
        <f t="shared" si="0"/>
        <v>0</v>
      </c>
      <c r="Y20" s="72">
        <f t="shared" si="2"/>
        <v>0</v>
      </c>
    </row>
    <row r="21" spans="1:25">
      <c r="A21" s="230" t="s">
        <v>462</v>
      </c>
      <c r="B21" s="231" t="s">
        <v>465</v>
      </c>
      <c r="C21" s="271"/>
      <c r="D21" s="271"/>
      <c r="E21" s="381">
        <v>400</v>
      </c>
      <c r="F21" s="381">
        <v>400</v>
      </c>
      <c r="H21" s="236" t="s">
        <v>178</v>
      </c>
      <c r="I21" s="236" t="s">
        <v>191</v>
      </c>
      <c r="J21" s="272"/>
      <c r="K21" s="272"/>
      <c r="L21" s="583">
        <v>1400</v>
      </c>
      <c r="M21" s="583">
        <v>1400</v>
      </c>
      <c r="O21" s="232" t="str">
        <f t="shared" si="1"/>
        <v>DE00-NOS0</v>
      </c>
      <c r="P21" s="232"/>
      <c r="Q21" s="578">
        <f t="shared" si="3"/>
        <v>1400</v>
      </c>
      <c r="R21" s="578">
        <f>-M21</f>
        <v>-1400</v>
      </c>
      <c r="T21" s="236" t="s">
        <v>178</v>
      </c>
      <c r="U21" s="236" t="s">
        <v>191</v>
      </c>
      <c r="V21" s="282">
        <v>1400</v>
      </c>
      <c r="W21" s="282">
        <v>-1400</v>
      </c>
      <c r="X21" s="72">
        <f t="shared" si="0"/>
        <v>0</v>
      </c>
      <c r="Y21" s="72">
        <f t="shared" si="2"/>
        <v>0</v>
      </c>
    </row>
    <row r="22" spans="1:25">
      <c r="A22" s="230" t="s">
        <v>178</v>
      </c>
      <c r="B22" s="231" t="s">
        <v>466</v>
      </c>
      <c r="C22" s="271">
        <v>2000</v>
      </c>
      <c r="D22" s="271">
        <v>2000</v>
      </c>
      <c r="E22" s="222"/>
      <c r="F22" s="222"/>
      <c r="H22" s="231" t="s">
        <v>180</v>
      </c>
      <c r="I22" s="231" t="s">
        <v>182</v>
      </c>
      <c r="J22" s="271"/>
      <c r="K22" s="271"/>
      <c r="L22" s="381">
        <v>5600</v>
      </c>
      <c r="M22" s="381">
        <v>5600</v>
      </c>
      <c r="O22" s="39" t="str">
        <f t="shared" si="1"/>
        <v>FR00-UK00</v>
      </c>
      <c r="Q22" s="552">
        <f t="shared" si="3"/>
        <v>5600</v>
      </c>
      <c r="R22" s="552">
        <f>-M22</f>
        <v>-5600</v>
      </c>
      <c r="T22" s="231" t="s">
        <v>180</v>
      </c>
      <c r="U22" s="231" t="s">
        <v>182</v>
      </c>
      <c r="V22" s="189">
        <v>4000</v>
      </c>
      <c r="W22" s="189">
        <v>-4000</v>
      </c>
      <c r="X22" s="72">
        <f t="shared" si="0"/>
        <v>1600</v>
      </c>
      <c r="Y22" s="72">
        <f t="shared" si="2"/>
        <v>1600</v>
      </c>
    </row>
    <row r="23" spans="1:25">
      <c r="A23" s="230" t="s">
        <v>178</v>
      </c>
      <c r="B23" s="39" t="s">
        <v>188</v>
      </c>
      <c r="C23" s="271"/>
      <c r="D23" s="271"/>
      <c r="E23" s="381">
        <v>600</v>
      </c>
      <c r="F23" s="381">
        <v>600</v>
      </c>
      <c r="H23" s="231" t="s">
        <v>180</v>
      </c>
      <c r="I23" s="231" t="s">
        <v>195</v>
      </c>
      <c r="J23" s="271"/>
      <c r="K23" s="271"/>
      <c r="L23" s="381">
        <v>5000</v>
      </c>
      <c r="M23" s="381">
        <v>5000</v>
      </c>
      <c r="O23" s="39" t="str">
        <f t="shared" si="1"/>
        <v>FR00-ES00</v>
      </c>
      <c r="Q23" s="550">
        <f>L23+L86+L87</f>
        <v>8000</v>
      </c>
      <c r="R23" s="550">
        <f>-M23-M86-M87</f>
        <v>-8000</v>
      </c>
      <c r="T23" s="231" t="s">
        <v>180</v>
      </c>
      <c r="U23" s="231" t="s">
        <v>195</v>
      </c>
      <c r="V23" s="189">
        <v>2800</v>
      </c>
      <c r="W23" s="189">
        <v>-2800</v>
      </c>
      <c r="X23" s="72">
        <f t="shared" si="0"/>
        <v>5200</v>
      </c>
      <c r="Y23" s="72">
        <f t="shared" si="2"/>
        <v>5200</v>
      </c>
    </row>
    <row r="24" spans="1:25">
      <c r="A24" s="230" t="s">
        <v>178</v>
      </c>
      <c r="B24" s="39" t="s">
        <v>189</v>
      </c>
      <c r="C24" s="271"/>
      <c r="D24" s="271"/>
      <c r="E24" s="381">
        <v>3500</v>
      </c>
      <c r="F24" s="381">
        <v>3500</v>
      </c>
      <c r="H24" s="236" t="s">
        <v>180</v>
      </c>
      <c r="I24" s="236" t="s">
        <v>185</v>
      </c>
      <c r="J24" s="272"/>
      <c r="K24" s="272"/>
      <c r="L24" s="583">
        <v>4300</v>
      </c>
      <c r="M24" s="583">
        <v>2800</v>
      </c>
      <c r="O24" s="232" t="str">
        <f t="shared" si="1"/>
        <v>FR00-BE00</v>
      </c>
      <c r="P24" s="232"/>
      <c r="Q24" s="581">
        <f>L24+L88</f>
        <v>5300</v>
      </c>
      <c r="R24" s="581">
        <f>-M24-M88</f>
        <v>-3800</v>
      </c>
      <c r="T24" s="236" t="s">
        <v>180</v>
      </c>
      <c r="U24" s="236" t="s">
        <v>185</v>
      </c>
      <c r="V24" s="282">
        <v>650</v>
      </c>
      <c r="W24" s="282">
        <v>-1800</v>
      </c>
      <c r="X24" s="72">
        <f t="shared" si="0"/>
        <v>4650</v>
      </c>
      <c r="Y24" s="72">
        <f t="shared" si="2"/>
        <v>2000</v>
      </c>
    </row>
    <row r="25" spans="1:25">
      <c r="A25" s="235" t="s">
        <v>178</v>
      </c>
      <c r="B25" s="236" t="s">
        <v>191</v>
      </c>
      <c r="C25" s="272"/>
      <c r="D25" s="272"/>
      <c r="E25" s="583">
        <v>1400</v>
      </c>
      <c r="F25" s="583">
        <v>1400</v>
      </c>
      <c r="H25" s="231" t="s">
        <v>182</v>
      </c>
      <c r="I25" s="231" t="s">
        <v>184</v>
      </c>
      <c r="J25" s="280">
        <f>C30+C31</f>
        <v>1800</v>
      </c>
      <c r="K25" s="280">
        <f>D30+D31</f>
        <v>1800</v>
      </c>
      <c r="L25" s="222">
        <v>1000</v>
      </c>
      <c r="M25" s="222">
        <v>1000</v>
      </c>
      <c r="O25" s="39" t="str">
        <f t="shared" si="1"/>
        <v>UK00-NL00</v>
      </c>
      <c r="Q25" s="552">
        <f>L25</f>
        <v>1000</v>
      </c>
      <c r="R25" s="552">
        <f>-M25</f>
        <v>-1000</v>
      </c>
      <c r="T25" s="231" t="s">
        <v>182</v>
      </c>
      <c r="U25" s="231" t="s">
        <v>184</v>
      </c>
      <c r="V25" s="189">
        <v>1000</v>
      </c>
      <c r="W25" s="189">
        <v>-1000</v>
      </c>
      <c r="X25" s="72">
        <f t="shared" si="0"/>
        <v>0</v>
      </c>
      <c r="Y25" s="72">
        <f t="shared" si="2"/>
        <v>0</v>
      </c>
    </row>
    <row r="26" spans="1:25">
      <c r="A26" s="230" t="s">
        <v>180</v>
      </c>
      <c r="B26" s="231" t="s">
        <v>182</v>
      </c>
      <c r="C26" s="271"/>
      <c r="D26" s="271"/>
      <c r="E26" s="381">
        <v>5600</v>
      </c>
      <c r="F26" s="381">
        <v>5600</v>
      </c>
      <c r="H26" s="231" t="s">
        <v>182</v>
      </c>
      <c r="I26" s="231" t="s">
        <v>185</v>
      </c>
      <c r="J26" s="280">
        <f>C32+C33</f>
        <v>1400</v>
      </c>
      <c r="K26" s="280">
        <f>D32+D33</f>
        <v>1400</v>
      </c>
      <c r="L26" s="222">
        <v>1000</v>
      </c>
      <c r="M26" s="222">
        <v>1000</v>
      </c>
      <c r="O26" s="39" t="str">
        <f t="shared" si="1"/>
        <v>UK00-BE00</v>
      </c>
      <c r="Q26" s="552">
        <f>L26</f>
        <v>1000</v>
      </c>
      <c r="R26" s="552">
        <f>-M26</f>
        <v>-1000</v>
      </c>
      <c r="T26" s="231" t="s">
        <v>182</v>
      </c>
      <c r="U26" s="231" t="s">
        <v>185</v>
      </c>
      <c r="V26" s="189">
        <v>1000</v>
      </c>
      <c r="W26" s="189">
        <v>-1000</v>
      </c>
      <c r="X26" s="72">
        <f t="shared" si="0"/>
        <v>0</v>
      </c>
      <c r="Y26" s="72">
        <f t="shared" si="2"/>
        <v>0</v>
      </c>
    </row>
    <row r="27" spans="1:25">
      <c r="A27" s="230" t="s">
        <v>180</v>
      </c>
      <c r="B27" s="231" t="s">
        <v>195</v>
      </c>
      <c r="C27" s="271"/>
      <c r="D27" s="271"/>
      <c r="E27" s="381">
        <v>5000</v>
      </c>
      <c r="F27" s="381">
        <v>5000</v>
      </c>
      <c r="H27" s="39" t="s">
        <v>197</v>
      </c>
      <c r="I27" s="39" t="s">
        <v>189</v>
      </c>
      <c r="J27" s="225"/>
      <c r="K27" s="225"/>
      <c r="L27" s="222">
        <v>1400</v>
      </c>
      <c r="M27" s="222">
        <v>1400</v>
      </c>
      <c r="O27" s="39" t="str">
        <f t="shared" si="1"/>
        <v>UK00-DKW1</v>
      </c>
      <c r="Q27" s="550">
        <f>L27+L92</f>
        <v>2800</v>
      </c>
      <c r="R27" s="550">
        <f>-M27-M92</f>
        <v>-2800</v>
      </c>
      <c r="T27" s="39" t="s">
        <v>197</v>
      </c>
      <c r="U27" s="39" t="s">
        <v>189</v>
      </c>
      <c r="V27" s="189">
        <v>1400</v>
      </c>
      <c r="W27" s="189">
        <v>-1400</v>
      </c>
      <c r="X27" s="72">
        <f t="shared" si="0"/>
        <v>1400</v>
      </c>
      <c r="Y27" s="72">
        <f t="shared" si="2"/>
        <v>1400</v>
      </c>
    </row>
    <row r="28" spans="1:25">
      <c r="A28" s="230" t="s">
        <v>180</v>
      </c>
      <c r="B28" s="231" t="s">
        <v>185</v>
      </c>
      <c r="C28" s="271"/>
      <c r="D28" s="271"/>
      <c r="E28" s="381">
        <v>4300</v>
      </c>
      <c r="F28" s="381">
        <v>2800</v>
      </c>
      <c r="H28" s="236" t="s">
        <v>182</v>
      </c>
      <c r="I28" s="236" t="s">
        <v>191</v>
      </c>
      <c r="J28" s="272"/>
      <c r="K28" s="272"/>
      <c r="L28" s="584">
        <v>1400</v>
      </c>
      <c r="M28" s="584">
        <v>1400</v>
      </c>
      <c r="O28" s="232" t="str">
        <f t="shared" si="1"/>
        <v>UK00-NOS0</v>
      </c>
      <c r="P28" s="232"/>
      <c r="Q28" s="578">
        <f t="shared" ref="Q28:Q30" si="4">L28</f>
        <v>1400</v>
      </c>
      <c r="R28" s="578">
        <f>-M28</f>
        <v>-1400</v>
      </c>
      <c r="T28" s="236" t="s">
        <v>182</v>
      </c>
      <c r="U28" s="580" t="s">
        <v>120</v>
      </c>
      <c r="V28" s="282">
        <v>1400</v>
      </c>
      <c r="W28" s="282">
        <v>-1400</v>
      </c>
      <c r="X28" s="72">
        <f t="shared" si="0"/>
        <v>0</v>
      </c>
      <c r="Y28" s="72">
        <f t="shared" si="2"/>
        <v>0</v>
      </c>
    </row>
    <row r="29" spans="1:25">
      <c r="A29" s="228" t="s">
        <v>182</v>
      </c>
      <c r="B29" s="229" t="s">
        <v>467</v>
      </c>
      <c r="C29" s="270"/>
      <c r="D29" s="270"/>
      <c r="E29" s="562">
        <v>450</v>
      </c>
      <c r="F29" s="562">
        <v>400</v>
      </c>
      <c r="H29" s="231" t="s">
        <v>199</v>
      </c>
      <c r="I29" s="39" t="s">
        <v>186</v>
      </c>
      <c r="J29" s="271"/>
      <c r="K29" s="271"/>
      <c r="L29" s="381">
        <v>600</v>
      </c>
      <c r="M29" s="381">
        <v>600</v>
      </c>
      <c r="O29" s="39" t="str">
        <f t="shared" si="1"/>
        <v>PL00-SE04</v>
      </c>
      <c r="Q29" s="552">
        <f t="shared" si="4"/>
        <v>600</v>
      </c>
      <c r="R29" s="552">
        <f>-M29</f>
        <v>-600</v>
      </c>
      <c r="T29" s="231" t="s">
        <v>199</v>
      </c>
      <c r="U29" s="39" t="s">
        <v>186</v>
      </c>
      <c r="V29" s="189">
        <v>600</v>
      </c>
      <c r="W29" s="189">
        <v>-600</v>
      </c>
      <c r="X29" s="72">
        <f t="shared" si="0"/>
        <v>0</v>
      </c>
      <c r="Y29" s="72">
        <f t="shared" si="2"/>
        <v>0</v>
      </c>
    </row>
    <row r="30" spans="1:25">
      <c r="A30" s="230" t="s">
        <v>182</v>
      </c>
      <c r="B30" s="231" t="s">
        <v>184</v>
      </c>
      <c r="C30" s="271"/>
      <c r="D30" s="271"/>
      <c r="E30" s="222">
        <v>1000</v>
      </c>
      <c r="F30" s="222">
        <v>1000</v>
      </c>
      <c r="H30" s="236" t="s">
        <v>199</v>
      </c>
      <c r="I30" s="236" t="s">
        <v>201</v>
      </c>
      <c r="J30" s="272"/>
      <c r="K30" s="272"/>
      <c r="L30" s="583">
        <v>700</v>
      </c>
      <c r="M30" s="583">
        <v>700</v>
      </c>
      <c r="O30" s="232" t="str">
        <f t="shared" si="1"/>
        <v>PL00-LT00</v>
      </c>
      <c r="P30" s="232"/>
      <c r="Q30" s="578">
        <f t="shared" si="4"/>
        <v>700</v>
      </c>
      <c r="R30" s="578">
        <f>-M30</f>
        <v>-700</v>
      </c>
      <c r="T30" s="236" t="s">
        <v>199</v>
      </c>
      <c r="U30" s="236" t="s">
        <v>201</v>
      </c>
      <c r="V30" s="282">
        <v>500</v>
      </c>
      <c r="W30" s="282">
        <v>-500</v>
      </c>
      <c r="X30" s="72">
        <f t="shared" si="0"/>
        <v>200</v>
      </c>
      <c r="Y30" s="72">
        <f t="shared" si="2"/>
        <v>200</v>
      </c>
    </row>
    <row r="31" spans="1:25">
      <c r="A31" s="230" t="s">
        <v>182</v>
      </c>
      <c r="B31" s="231" t="s">
        <v>468</v>
      </c>
      <c r="C31" s="271">
        <v>1800</v>
      </c>
      <c r="D31" s="271">
        <v>1800</v>
      </c>
      <c r="E31" s="222"/>
      <c r="F31" s="222"/>
      <c r="H31" s="231" t="s">
        <v>184</v>
      </c>
      <c r="I31" s="231" t="s">
        <v>185</v>
      </c>
      <c r="J31" s="271"/>
      <c r="K31" s="271"/>
      <c r="L31" s="222">
        <v>3400</v>
      </c>
      <c r="M31" s="222">
        <v>3400</v>
      </c>
      <c r="O31" s="39" t="str">
        <f t="shared" si="1"/>
        <v>NL00-BE00</v>
      </c>
      <c r="Q31" s="550">
        <f>L31+L94</f>
        <v>4400</v>
      </c>
      <c r="R31" s="550">
        <f>-M31-M94</f>
        <v>-4400</v>
      </c>
      <c r="T31" s="231" t="s">
        <v>184</v>
      </c>
      <c r="U31" s="231" t="s">
        <v>185</v>
      </c>
      <c r="V31" s="189">
        <v>2400</v>
      </c>
      <c r="W31" s="189">
        <v>-2400</v>
      </c>
      <c r="X31" s="72">
        <f t="shared" si="0"/>
        <v>2000</v>
      </c>
      <c r="Y31" s="72">
        <f t="shared" si="2"/>
        <v>2000</v>
      </c>
    </row>
    <row r="32" spans="1:25">
      <c r="A32" s="230" t="s">
        <v>182</v>
      </c>
      <c r="B32" s="231" t="s">
        <v>185</v>
      </c>
      <c r="C32" s="271"/>
      <c r="D32" s="271"/>
      <c r="E32" s="222">
        <v>1000</v>
      </c>
      <c r="F32" s="222">
        <v>1000</v>
      </c>
      <c r="H32" s="231" t="s">
        <v>472</v>
      </c>
      <c r="I32" s="231" t="s">
        <v>203</v>
      </c>
      <c r="J32" s="271"/>
      <c r="K32" s="271"/>
      <c r="L32" s="381">
        <v>700</v>
      </c>
      <c r="M32" s="381">
        <v>700</v>
      </c>
      <c r="O32" s="39" t="str">
        <f t="shared" si="1"/>
        <v>NL00-DKW1</v>
      </c>
      <c r="Q32" s="552">
        <f t="shared" ref="Q32:Q34" si="5">L32</f>
        <v>700</v>
      </c>
      <c r="R32" s="552">
        <f>-M32</f>
        <v>-700</v>
      </c>
      <c r="T32" s="231" t="s">
        <v>472</v>
      </c>
      <c r="U32" s="231" t="s">
        <v>203</v>
      </c>
      <c r="V32" s="189">
        <v>700</v>
      </c>
      <c r="W32" s="189">
        <v>-700</v>
      </c>
      <c r="X32" s="72">
        <f t="shared" si="0"/>
        <v>0</v>
      </c>
      <c r="Y32" s="72">
        <f t="shared" si="2"/>
        <v>0</v>
      </c>
    </row>
    <row r="33" spans="1:25">
      <c r="A33" s="230" t="s">
        <v>182</v>
      </c>
      <c r="B33" s="231" t="s">
        <v>469</v>
      </c>
      <c r="C33" s="271">
        <v>1400</v>
      </c>
      <c r="D33" s="271">
        <v>1400</v>
      </c>
      <c r="E33" s="222"/>
      <c r="F33" s="222"/>
      <c r="H33" s="236" t="s">
        <v>184</v>
      </c>
      <c r="I33" s="236" t="s">
        <v>191</v>
      </c>
      <c r="J33" s="272"/>
      <c r="K33" s="272"/>
      <c r="L33" s="584">
        <v>700</v>
      </c>
      <c r="M33" s="584">
        <v>700</v>
      </c>
      <c r="O33" s="232" t="str">
        <f t="shared" si="1"/>
        <v>NL00-NOS0</v>
      </c>
      <c r="P33" s="232"/>
      <c r="Q33" s="578">
        <f t="shared" si="5"/>
        <v>700</v>
      </c>
      <c r="R33" s="578">
        <f>-M33</f>
        <v>-700</v>
      </c>
      <c r="T33" s="236" t="s">
        <v>184</v>
      </c>
      <c r="U33" s="236" t="s">
        <v>191</v>
      </c>
      <c r="V33" s="282">
        <v>700</v>
      </c>
      <c r="W33" s="282">
        <v>-700</v>
      </c>
      <c r="X33" s="72">
        <f t="shared" si="0"/>
        <v>0</v>
      </c>
      <c r="Y33" s="72">
        <f t="shared" si="2"/>
        <v>0</v>
      </c>
    </row>
    <row r="34" spans="1:25">
      <c r="A34" s="81" t="s">
        <v>197</v>
      </c>
      <c r="B34" s="39" t="s">
        <v>189</v>
      </c>
      <c r="C34" s="225"/>
      <c r="D34" s="225"/>
      <c r="E34" s="222">
        <v>1400</v>
      </c>
      <c r="F34" s="222">
        <v>1400</v>
      </c>
      <c r="H34" s="231" t="s">
        <v>204</v>
      </c>
      <c r="I34" s="39" t="s">
        <v>205</v>
      </c>
      <c r="J34" s="271"/>
      <c r="K34" s="271"/>
      <c r="L34" s="381">
        <v>3300</v>
      </c>
      <c r="M34" s="381">
        <v>3300</v>
      </c>
      <c r="O34" s="39" t="str">
        <f t="shared" si="1"/>
        <v>SE01-SE02</v>
      </c>
      <c r="Q34" s="552">
        <f t="shared" si="5"/>
        <v>3300</v>
      </c>
      <c r="R34" s="552">
        <f>-M34</f>
        <v>-3300</v>
      </c>
      <c r="T34" s="231" t="s">
        <v>204</v>
      </c>
      <c r="U34" s="39" t="s">
        <v>205</v>
      </c>
      <c r="V34" s="189">
        <v>3300</v>
      </c>
      <c r="W34" s="189">
        <v>-3300</v>
      </c>
      <c r="X34" s="72">
        <f t="shared" si="0"/>
        <v>0</v>
      </c>
      <c r="Y34" s="72">
        <f t="shared" si="2"/>
        <v>0</v>
      </c>
    </row>
    <row r="35" spans="1:25">
      <c r="A35" s="230" t="s">
        <v>182</v>
      </c>
      <c r="B35" s="231" t="s">
        <v>191</v>
      </c>
      <c r="C35" s="271"/>
      <c r="D35" s="271"/>
      <c r="E35" s="222">
        <v>1400</v>
      </c>
      <c r="F35" s="222">
        <v>1400</v>
      </c>
      <c r="H35" s="231" t="s">
        <v>206</v>
      </c>
      <c r="I35" s="39" t="s">
        <v>207</v>
      </c>
      <c r="J35" s="271"/>
      <c r="K35" s="271"/>
      <c r="L35" s="381">
        <v>7300</v>
      </c>
      <c r="M35" s="381">
        <v>7300</v>
      </c>
      <c r="O35" s="39" t="str">
        <f t="shared" si="1"/>
        <v>SE02-SE03</v>
      </c>
      <c r="Q35" s="550">
        <f>L35+L97</f>
        <v>9300</v>
      </c>
      <c r="R35" s="550">
        <f>-M35-M97</f>
        <v>-9300</v>
      </c>
      <c r="T35" s="231" t="s">
        <v>206</v>
      </c>
      <c r="U35" s="39" t="s">
        <v>207</v>
      </c>
      <c r="V35" s="189">
        <v>8100</v>
      </c>
      <c r="W35" s="189">
        <v>-8100</v>
      </c>
      <c r="X35" s="72">
        <f t="shared" si="0"/>
        <v>1200</v>
      </c>
      <c r="Y35" s="72">
        <f t="shared" si="2"/>
        <v>1200</v>
      </c>
    </row>
    <row r="36" spans="1:25">
      <c r="A36" s="228" t="s">
        <v>199</v>
      </c>
      <c r="B36" s="229" t="s">
        <v>464</v>
      </c>
      <c r="C36" s="270"/>
      <c r="D36" s="270"/>
      <c r="E36" s="561">
        <v>3000</v>
      </c>
      <c r="F36" s="561">
        <v>0</v>
      </c>
      <c r="H36" s="231" t="s">
        <v>208</v>
      </c>
      <c r="I36" s="39" t="s">
        <v>186</v>
      </c>
      <c r="J36" s="271"/>
      <c r="K36" s="271"/>
      <c r="L36" s="381">
        <v>6200</v>
      </c>
      <c r="M36" s="381">
        <v>2800</v>
      </c>
      <c r="O36" s="39" t="str">
        <f t="shared" si="1"/>
        <v>SE03-SE04</v>
      </c>
      <c r="Q36" s="189">
        <f>L36</f>
        <v>6200</v>
      </c>
      <c r="R36" s="189">
        <f>-M36</f>
        <v>-2800</v>
      </c>
      <c r="T36" s="231" t="s">
        <v>208</v>
      </c>
      <c r="U36" s="39" t="s">
        <v>186</v>
      </c>
      <c r="V36" s="552">
        <v>7200</v>
      </c>
      <c r="W36" s="552">
        <v>-3600</v>
      </c>
      <c r="X36" s="317">
        <f t="shared" si="0"/>
        <v>-1000</v>
      </c>
      <c r="Y36" s="317">
        <f t="shared" si="2"/>
        <v>-800</v>
      </c>
    </row>
    <row r="37" spans="1:25">
      <c r="A37" s="230" t="s">
        <v>463</v>
      </c>
      <c r="B37" s="231" t="s">
        <v>199</v>
      </c>
      <c r="C37" s="271"/>
      <c r="D37" s="271"/>
      <c r="E37" s="381">
        <v>3000</v>
      </c>
      <c r="F37" s="381">
        <v>0</v>
      </c>
      <c r="H37" s="39" t="s">
        <v>186</v>
      </c>
      <c r="I37" s="231" t="s">
        <v>200</v>
      </c>
      <c r="J37" s="271"/>
      <c r="K37" s="271"/>
      <c r="L37" s="381">
        <v>1300</v>
      </c>
      <c r="M37" s="381">
        <v>1700</v>
      </c>
      <c r="O37" s="39" t="str">
        <f t="shared" si="1"/>
        <v>SE04-DKE1</v>
      </c>
      <c r="Q37" s="550">
        <f>L37+L99</f>
        <v>1800</v>
      </c>
      <c r="R37" s="550">
        <f>-M37-M99</f>
        <v>-2200</v>
      </c>
      <c r="T37" s="39" t="s">
        <v>186</v>
      </c>
      <c r="U37" s="231" t="s">
        <v>200</v>
      </c>
      <c r="V37" s="189">
        <v>1300</v>
      </c>
      <c r="W37" s="189">
        <v>-1700</v>
      </c>
      <c r="X37" s="72">
        <f t="shared" si="0"/>
        <v>500</v>
      </c>
      <c r="Y37" s="72">
        <f t="shared" si="2"/>
        <v>500</v>
      </c>
    </row>
    <row r="38" spans="1:25">
      <c r="A38" s="230" t="s">
        <v>199</v>
      </c>
      <c r="B38" s="39" t="s">
        <v>186</v>
      </c>
      <c r="C38" s="271"/>
      <c r="D38" s="271"/>
      <c r="E38" s="381">
        <v>600</v>
      </c>
      <c r="F38" s="381">
        <v>600</v>
      </c>
      <c r="H38" s="39" t="s">
        <v>207</v>
      </c>
      <c r="I38" s="231" t="s">
        <v>203</v>
      </c>
      <c r="J38" s="271"/>
      <c r="K38" s="271"/>
      <c r="L38" s="381">
        <v>715</v>
      </c>
      <c r="M38" s="381">
        <v>715</v>
      </c>
      <c r="O38" s="39" t="str">
        <f t="shared" si="1"/>
        <v>SE03-DKW1</v>
      </c>
      <c r="Q38" s="550">
        <f>L38+L98</f>
        <v>1415</v>
      </c>
      <c r="R38" s="550">
        <f>-M38-M98</f>
        <v>-1415</v>
      </c>
      <c r="T38" s="39" t="s">
        <v>207</v>
      </c>
      <c r="U38" s="231" t="s">
        <v>203</v>
      </c>
      <c r="V38" s="189">
        <v>680</v>
      </c>
      <c r="W38" s="189">
        <v>-740</v>
      </c>
      <c r="X38" s="72">
        <f t="shared" si="0"/>
        <v>735</v>
      </c>
      <c r="Y38" s="72">
        <f t="shared" si="2"/>
        <v>675</v>
      </c>
    </row>
    <row r="39" spans="1:25">
      <c r="A39" s="230" t="s">
        <v>199</v>
      </c>
      <c r="B39" s="231" t="s">
        <v>200</v>
      </c>
      <c r="C39" s="271"/>
      <c r="D39" s="271"/>
      <c r="E39" s="381">
        <v>0</v>
      </c>
      <c r="F39" s="381">
        <v>0</v>
      </c>
      <c r="H39" s="39" t="s">
        <v>209</v>
      </c>
      <c r="I39" s="231" t="s">
        <v>210</v>
      </c>
      <c r="J39" s="271"/>
      <c r="K39" s="271"/>
      <c r="L39" s="381">
        <v>2000</v>
      </c>
      <c r="M39" s="381">
        <v>2000</v>
      </c>
      <c r="O39" s="39" t="str">
        <f t="shared" si="1"/>
        <v>SE01-FI00</v>
      </c>
      <c r="Q39" s="550">
        <f>L39+SUM(L106:L108)</f>
        <v>4500</v>
      </c>
      <c r="R39" s="550">
        <f>-M39-SUM(M106:M108)</f>
        <v>-4400</v>
      </c>
      <c r="T39" s="39" t="s">
        <v>209</v>
      </c>
      <c r="U39" s="231" t="s">
        <v>210</v>
      </c>
      <c r="V39" s="189">
        <v>2000</v>
      </c>
      <c r="W39" s="189">
        <v>-2000</v>
      </c>
      <c r="X39" s="72">
        <f t="shared" si="0"/>
        <v>2500</v>
      </c>
      <c r="Y39" s="72">
        <f t="shared" si="2"/>
        <v>2400</v>
      </c>
    </row>
    <row r="40" spans="1:25">
      <c r="A40" s="235" t="s">
        <v>199</v>
      </c>
      <c r="B40" s="236" t="s">
        <v>201</v>
      </c>
      <c r="C40" s="272"/>
      <c r="D40" s="272"/>
      <c r="E40" s="583">
        <v>700</v>
      </c>
      <c r="F40" s="583">
        <v>700</v>
      </c>
      <c r="H40" s="39" t="s">
        <v>207</v>
      </c>
      <c r="I40" s="231" t="s">
        <v>210</v>
      </c>
      <c r="J40" s="271"/>
      <c r="K40" s="271"/>
      <c r="L40" s="381">
        <v>1200</v>
      </c>
      <c r="M40" s="381">
        <v>1200</v>
      </c>
      <c r="O40" s="39" t="str">
        <f t="shared" si="1"/>
        <v>SE03-FI00</v>
      </c>
      <c r="Q40" s="550">
        <f>L40+L110</f>
        <v>1700</v>
      </c>
      <c r="R40" s="550">
        <f>-M40-M110</f>
        <v>-1700</v>
      </c>
      <c r="T40" s="39" t="s">
        <v>207</v>
      </c>
      <c r="U40" s="231" t="s">
        <v>210</v>
      </c>
      <c r="V40" s="189">
        <v>700</v>
      </c>
      <c r="W40" s="189">
        <v>-1200</v>
      </c>
      <c r="X40" s="72">
        <f t="shared" si="0"/>
        <v>1000</v>
      </c>
      <c r="Y40" s="72">
        <f t="shared" si="2"/>
        <v>500</v>
      </c>
    </row>
    <row r="41" spans="1:25">
      <c r="A41" s="230" t="s">
        <v>184</v>
      </c>
      <c r="B41" s="231" t="s">
        <v>196</v>
      </c>
      <c r="C41" s="271">
        <v>2000</v>
      </c>
      <c r="D41" s="271">
        <v>2000</v>
      </c>
      <c r="E41" s="222"/>
      <c r="F41" s="222"/>
      <c r="H41" s="39" t="s">
        <v>209</v>
      </c>
      <c r="I41" s="231" t="s">
        <v>212</v>
      </c>
      <c r="J41" s="271"/>
      <c r="K41" s="271"/>
      <c r="L41" s="381">
        <v>600</v>
      </c>
      <c r="M41" s="381">
        <v>700</v>
      </c>
      <c r="O41" s="39" t="str">
        <f t="shared" si="1"/>
        <v>SE01-NON1</v>
      </c>
      <c r="Q41" s="552">
        <f t="shared" ref="Q41:Q44" si="6">L41</f>
        <v>600</v>
      </c>
      <c r="R41" s="552">
        <f>-M41</f>
        <v>-700</v>
      </c>
      <c r="T41" s="39" t="s">
        <v>209</v>
      </c>
      <c r="U41" s="231" t="s">
        <v>212</v>
      </c>
      <c r="V41" s="189">
        <v>600</v>
      </c>
      <c r="W41" s="189">
        <v>-700</v>
      </c>
      <c r="X41" s="72">
        <f t="shared" si="0"/>
        <v>0</v>
      </c>
      <c r="Y41" s="72">
        <f t="shared" si="2"/>
        <v>0</v>
      </c>
    </row>
    <row r="42" spans="1:25">
      <c r="A42" s="230" t="s">
        <v>184</v>
      </c>
      <c r="B42" s="231" t="s">
        <v>185</v>
      </c>
      <c r="C42" s="271"/>
      <c r="D42" s="271"/>
      <c r="E42" s="222">
        <v>3400</v>
      </c>
      <c r="F42" s="222">
        <v>3400</v>
      </c>
      <c r="H42" s="39" t="s">
        <v>205</v>
      </c>
      <c r="I42" s="231" t="s">
        <v>212</v>
      </c>
      <c r="J42" s="271"/>
      <c r="K42" s="271"/>
      <c r="L42" s="381">
        <v>300</v>
      </c>
      <c r="M42" s="381">
        <v>250</v>
      </c>
      <c r="O42" s="39" t="str">
        <f t="shared" si="1"/>
        <v>SE02-NON1</v>
      </c>
      <c r="Q42" s="552">
        <f t="shared" si="6"/>
        <v>300</v>
      </c>
      <c r="R42" s="552">
        <f>-M42</f>
        <v>-250</v>
      </c>
      <c r="T42" s="39" t="s">
        <v>205</v>
      </c>
      <c r="U42" s="231" t="s">
        <v>212</v>
      </c>
      <c r="V42" s="189">
        <v>300</v>
      </c>
      <c r="W42" s="189">
        <v>-250</v>
      </c>
      <c r="X42" s="72">
        <f t="shared" si="0"/>
        <v>0</v>
      </c>
      <c r="Y42" s="72">
        <f t="shared" si="2"/>
        <v>0</v>
      </c>
    </row>
    <row r="43" spans="1:25">
      <c r="A43" s="230" t="s">
        <v>202</v>
      </c>
      <c r="B43" s="231" t="s">
        <v>203</v>
      </c>
      <c r="C43" s="271"/>
      <c r="D43" s="271"/>
      <c r="E43" s="381">
        <v>700</v>
      </c>
      <c r="F43" s="381">
        <v>700</v>
      </c>
      <c r="H43" s="39" t="s">
        <v>205</v>
      </c>
      <c r="I43" s="231" t="s">
        <v>211</v>
      </c>
      <c r="J43" s="271"/>
      <c r="K43" s="271"/>
      <c r="L43" s="381">
        <v>1000</v>
      </c>
      <c r="M43" s="381">
        <v>600</v>
      </c>
      <c r="O43" s="39" t="str">
        <f t="shared" si="1"/>
        <v>SE02-NOM1</v>
      </c>
      <c r="Q43" s="552">
        <f t="shared" si="6"/>
        <v>1000</v>
      </c>
      <c r="R43" s="552">
        <f>-M43</f>
        <v>-600</v>
      </c>
      <c r="T43" s="39" t="s">
        <v>205</v>
      </c>
      <c r="U43" s="231" t="s">
        <v>211</v>
      </c>
      <c r="V43" s="189">
        <v>1000</v>
      </c>
      <c r="W43" s="189">
        <v>-600</v>
      </c>
      <c r="X43" s="72">
        <f t="shared" si="0"/>
        <v>0</v>
      </c>
      <c r="Y43" s="72">
        <f t="shared" si="2"/>
        <v>0</v>
      </c>
    </row>
    <row r="44" spans="1:25">
      <c r="A44" s="230" t="s">
        <v>184</v>
      </c>
      <c r="B44" s="231" t="s">
        <v>191</v>
      </c>
      <c r="C44" s="271"/>
      <c r="D44" s="271"/>
      <c r="E44" s="222">
        <v>700</v>
      </c>
      <c r="F44" s="222">
        <v>700</v>
      </c>
      <c r="H44" s="39" t="s">
        <v>207</v>
      </c>
      <c r="I44" s="231" t="s">
        <v>191</v>
      </c>
      <c r="J44" s="271"/>
      <c r="K44" s="271"/>
      <c r="L44" s="381">
        <v>2095</v>
      </c>
      <c r="M44" s="381">
        <v>2145</v>
      </c>
      <c r="O44" s="39" t="str">
        <f t="shared" si="1"/>
        <v>SE03-NOS0</v>
      </c>
      <c r="Q44" s="552">
        <f t="shared" si="6"/>
        <v>2095</v>
      </c>
      <c r="R44" s="552">
        <f>-M44</f>
        <v>-2145</v>
      </c>
      <c r="T44" s="39" t="s">
        <v>207</v>
      </c>
      <c r="U44" s="231" t="s">
        <v>191</v>
      </c>
      <c r="V44" s="189">
        <v>2095</v>
      </c>
      <c r="W44" s="189">
        <v>-2145</v>
      </c>
      <c r="X44" s="72">
        <f t="shared" si="0"/>
        <v>0</v>
      </c>
      <c r="Y44" s="72">
        <f t="shared" si="2"/>
        <v>0</v>
      </c>
    </row>
    <row r="45" spans="1:25">
      <c r="A45" s="235" t="s">
        <v>184</v>
      </c>
      <c r="B45" s="236" t="s">
        <v>470</v>
      </c>
      <c r="C45" s="272">
        <v>0</v>
      </c>
      <c r="D45" s="272">
        <v>0</v>
      </c>
      <c r="E45" s="584"/>
      <c r="F45" s="584"/>
      <c r="H45" s="232" t="s">
        <v>186</v>
      </c>
      <c r="I45" s="236" t="s">
        <v>201</v>
      </c>
      <c r="J45" s="272"/>
      <c r="K45" s="272"/>
      <c r="L45" s="583">
        <v>700</v>
      </c>
      <c r="M45" s="583">
        <v>700</v>
      </c>
      <c r="O45" s="232" t="str">
        <f t="shared" si="1"/>
        <v>SE04-LT00</v>
      </c>
      <c r="P45" s="232"/>
      <c r="Q45" s="581">
        <f>L45+L111</f>
        <v>1300</v>
      </c>
      <c r="R45" s="581">
        <f>-M45-M111</f>
        <v>-1300</v>
      </c>
      <c r="T45" s="232" t="s">
        <v>186</v>
      </c>
      <c r="U45" s="236" t="s">
        <v>201</v>
      </c>
      <c r="V45" s="282">
        <v>700</v>
      </c>
      <c r="W45" s="282">
        <v>-700</v>
      </c>
      <c r="X45" s="72">
        <f t="shared" si="0"/>
        <v>600</v>
      </c>
      <c r="Y45" s="72">
        <f t="shared" si="2"/>
        <v>600</v>
      </c>
    </row>
    <row r="46" spans="1:25">
      <c r="A46" s="230" t="s">
        <v>185</v>
      </c>
      <c r="B46" s="231" t="s">
        <v>469</v>
      </c>
      <c r="C46" s="271">
        <v>1400</v>
      </c>
      <c r="D46" s="271">
        <v>1400</v>
      </c>
      <c r="E46" s="222"/>
      <c r="F46" s="222"/>
      <c r="H46" s="231" t="s">
        <v>200</v>
      </c>
      <c r="I46" s="39" t="s">
        <v>189</v>
      </c>
      <c r="J46" s="271"/>
      <c r="K46" s="271"/>
      <c r="L46" s="381">
        <v>600</v>
      </c>
      <c r="M46" s="381">
        <v>590</v>
      </c>
      <c r="O46" s="39" t="str">
        <f t="shared" si="1"/>
        <v>DKE1-DKW1</v>
      </c>
      <c r="Q46" s="552">
        <f>L46</f>
        <v>600</v>
      </c>
      <c r="R46" s="552">
        <f>-M46</f>
        <v>-590</v>
      </c>
      <c r="T46" s="231" t="s">
        <v>200</v>
      </c>
      <c r="U46" s="39" t="s">
        <v>189</v>
      </c>
      <c r="V46" s="189">
        <v>600</v>
      </c>
      <c r="W46" s="189">
        <v>-590</v>
      </c>
      <c r="X46" s="72">
        <f t="shared" si="0"/>
        <v>0</v>
      </c>
      <c r="Y46" s="72">
        <f t="shared" si="2"/>
        <v>0</v>
      </c>
    </row>
    <row r="47" spans="1:25">
      <c r="A47" s="230" t="s">
        <v>469</v>
      </c>
      <c r="B47" s="231" t="s">
        <v>470</v>
      </c>
      <c r="C47" s="271">
        <v>0</v>
      </c>
      <c r="D47" s="271">
        <v>0</v>
      </c>
      <c r="E47" s="222"/>
      <c r="F47" s="222"/>
      <c r="H47" s="236" t="s">
        <v>203</v>
      </c>
      <c r="I47" s="236" t="s">
        <v>191</v>
      </c>
      <c r="J47" s="272"/>
      <c r="K47" s="272"/>
      <c r="L47" s="583">
        <v>1632</v>
      </c>
      <c r="M47" s="583">
        <v>1632</v>
      </c>
      <c r="O47" s="232" t="str">
        <f t="shared" si="1"/>
        <v>DKW1-NOS0</v>
      </c>
      <c r="P47" s="232"/>
      <c r="Q47" s="578">
        <f>L47</f>
        <v>1632</v>
      </c>
      <c r="R47" s="578">
        <f>-M47</f>
        <v>-1632</v>
      </c>
      <c r="T47" s="236" t="s">
        <v>203</v>
      </c>
      <c r="U47" s="236" t="s">
        <v>191</v>
      </c>
      <c r="V47" s="282">
        <v>1640</v>
      </c>
      <c r="W47" s="282">
        <v>-1640</v>
      </c>
      <c r="X47" s="72">
        <f t="shared" si="0"/>
        <v>-8</v>
      </c>
      <c r="Y47" s="72">
        <f t="shared" si="2"/>
        <v>-8</v>
      </c>
    </row>
    <row r="48" spans="1:25">
      <c r="A48" s="228" t="s">
        <v>204</v>
      </c>
      <c r="B48" s="233" t="s">
        <v>205</v>
      </c>
      <c r="C48" s="270"/>
      <c r="D48" s="270"/>
      <c r="E48" s="561">
        <v>3300</v>
      </c>
      <c r="F48" s="561">
        <v>3300</v>
      </c>
      <c r="H48" s="236" t="s">
        <v>210</v>
      </c>
      <c r="I48" s="236" t="s">
        <v>214</v>
      </c>
      <c r="J48" s="272"/>
      <c r="K48" s="272"/>
      <c r="L48" s="583">
        <v>1016</v>
      </c>
      <c r="M48" s="583">
        <v>1016</v>
      </c>
      <c r="O48" s="292" t="str">
        <f t="shared" si="1"/>
        <v>FI00-EE00</v>
      </c>
      <c r="P48" s="292"/>
      <c r="Q48" s="582">
        <f>L48+L114</f>
        <v>1716</v>
      </c>
      <c r="R48" s="582">
        <f>-M48-M114</f>
        <v>-1716</v>
      </c>
      <c r="T48" s="236" t="s">
        <v>210</v>
      </c>
      <c r="U48" s="236" t="s">
        <v>214</v>
      </c>
      <c r="V48" s="283">
        <v>1000</v>
      </c>
      <c r="W48" s="283">
        <v>-1016</v>
      </c>
      <c r="X48" s="72">
        <f t="shared" si="0"/>
        <v>716</v>
      </c>
      <c r="Y48" s="72">
        <f t="shared" si="2"/>
        <v>700</v>
      </c>
    </row>
    <row r="49" spans="1:25">
      <c r="A49" s="230" t="s">
        <v>206</v>
      </c>
      <c r="B49" s="39" t="s">
        <v>207</v>
      </c>
      <c r="C49" s="271"/>
      <c r="D49" s="271"/>
      <c r="E49" s="381">
        <v>7300</v>
      </c>
      <c r="F49" s="381">
        <v>7300</v>
      </c>
      <c r="H49" s="231" t="s">
        <v>211</v>
      </c>
      <c r="I49" s="39" t="s">
        <v>213</v>
      </c>
      <c r="J49" s="271"/>
      <c r="K49" s="271"/>
      <c r="L49" s="222">
        <v>350</v>
      </c>
      <c r="M49" s="562">
        <v>1300</v>
      </c>
      <c r="O49" s="39" t="str">
        <f t="shared" si="1"/>
        <v>NOM1-NON1</v>
      </c>
      <c r="Q49" s="189">
        <f t="shared" ref="Q49:Q52" si="7">L49</f>
        <v>350</v>
      </c>
      <c r="R49" s="570">
        <f>-M49</f>
        <v>-1300</v>
      </c>
      <c r="T49" s="231" t="s">
        <v>211</v>
      </c>
      <c r="U49" s="39" t="s">
        <v>213</v>
      </c>
      <c r="V49" s="552">
        <v>1300</v>
      </c>
      <c r="W49" s="189">
        <v>-1300</v>
      </c>
      <c r="X49" s="317">
        <f t="shared" si="0"/>
        <v>-950</v>
      </c>
      <c r="Y49" s="72">
        <f t="shared" si="2"/>
        <v>0</v>
      </c>
    </row>
    <row r="50" spans="1:25">
      <c r="A50" s="230" t="s">
        <v>208</v>
      </c>
      <c r="B50" s="39" t="s">
        <v>186</v>
      </c>
      <c r="C50" s="271"/>
      <c r="D50" s="271"/>
      <c r="E50" s="381">
        <v>6200</v>
      </c>
      <c r="F50" s="381">
        <v>2800</v>
      </c>
      <c r="G50" s="231"/>
      <c r="H50" s="236" t="s">
        <v>211</v>
      </c>
      <c r="I50" s="236" t="s">
        <v>191</v>
      </c>
      <c r="J50" s="272"/>
      <c r="K50" s="272"/>
      <c r="L50" s="584">
        <v>800</v>
      </c>
      <c r="M50" s="584">
        <v>600</v>
      </c>
      <c r="O50" s="232" t="str">
        <f t="shared" si="1"/>
        <v>NOM1-NOS0</v>
      </c>
      <c r="P50" s="232"/>
      <c r="Q50" s="282">
        <f t="shared" si="7"/>
        <v>800</v>
      </c>
      <c r="R50" s="282">
        <f>-M50</f>
        <v>-600</v>
      </c>
      <c r="T50" s="236" t="s">
        <v>211</v>
      </c>
      <c r="U50" s="236" t="s">
        <v>191</v>
      </c>
      <c r="V50" s="578">
        <v>1400</v>
      </c>
      <c r="W50" s="578">
        <v>-1400</v>
      </c>
      <c r="X50" s="317">
        <f t="shared" si="0"/>
        <v>-600</v>
      </c>
      <c r="Y50" s="317">
        <f t="shared" si="2"/>
        <v>-800</v>
      </c>
    </row>
    <row r="51" spans="1:25">
      <c r="A51" s="81" t="s">
        <v>186</v>
      </c>
      <c r="B51" s="231" t="s">
        <v>200</v>
      </c>
      <c r="C51" s="271"/>
      <c r="D51" s="271"/>
      <c r="E51" s="381">
        <v>1300</v>
      </c>
      <c r="F51" s="381">
        <v>1700</v>
      </c>
      <c r="G51" s="231"/>
      <c r="H51" s="231" t="s">
        <v>201</v>
      </c>
      <c r="I51" s="231" t="s">
        <v>215</v>
      </c>
      <c r="J51" s="271"/>
      <c r="K51" s="271"/>
      <c r="L51" s="583">
        <v>950</v>
      </c>
      <c r="M51" s="585">
        <v>950</v>
      </c>
      <c r="O51" s="292" t="str">
        <f t="shared" si="1"/>
        <v>LT00-LV00</v>
      </c>
      <c r="P51" s="292"/>
      <c r="Q51" s="579">
        <f t="shared" si="7"/>
        <v>950</v>
      </c>
      <c r="R51" s="579">
        <f>-M51</f>
        <v>-950</v>
      </c>
      <c r="T51" s="231" t="s">
        <v>201</v>
      </c>
      <c r="U51" s="231" t="s">
        <v>215</v>
      </c>
      <c r="V51" s="283">
        <v>950</v>
      </c>
      <c r="W51" s="283">
        <v>-950</v>
      </c>
      <c r="X51" s="72">
        <f t="shared" si="0"/>
        <v>0</v>
      </c>
      <c r="Y51" s="72">
        <f t="shared" si="2"/>
        <v>0</v>
      </c>
    </row>
    <row r="52" spans="1:25">
      <c r="A52" s="81" t="s">
        <v>207</v>
      </c>
      <c r="B52" s="231" t="s">
        <v>203</v>
      </c>
      <c r="C52" s="271"/>
      <c r="D52" s="271"/>
      <c r="E52" s="381">
        <v>715</v>
      </c>
      <c r="F52" s="381">
        <v>715</v>
      </c>
      <c r="G52" s="231"/>
      <c r="H52" s="238" t="s">
        <v>215</v>
      </c>
      <c r="I52" s="238" t="s">
        <v>214</v>
      </c>
      <c r="J52" s="273"/>
      <c r="K52" s="273"/>
      <c r="L52" s="583">
        <v>879</v>
      </c>
      <c r="M52" s="585">
        <v>950</v>
      </c>
      <c r="O52" s="232" t="str">
        <f t="shared" si="1"/>
        <v>LV00-EE00</v>
      </c>
      <c r="P52" s="232"/>
      <c r="Q52" s="283">
        <f t="shared" si="7"/>
        <v>879</v>
      </c>
      <c r="R52" s="283">
        <f>-M52</f>
        <v>-950</v>
      </c>
      <c r="T52" s="238" t="s">
        <v>215</v>
      </c>
      <c r="U52" s="238" t="s">
        <v>214</v>
      </c>
      <c r="V52" s="579">
        <v>900</v>
      </c>
      <c r="W52" s="579">
        <v>-1100</v>
      </c>
      <c r="X52" s="317">
        <f t="shared" si="0"/>
        <v>-21</v>
      </c>
      <c r="Y52" s="317">
        <f t="shared" si="2"/>
        <v>-150</v>
      </c>
    </row>
    <row r="53" spans="1:25">
      <c r="A53" s="81" t="s">
        <v>209</v>
      </c>
      <c r="B53" s="231" t="s">
        <v>210</v>
      </c>
      <c r="C53" s="271"/>
      <c r="D53" s="271"/>
      <c r="E53" s="381">
        <v>2000</v>
      </c>
      <c r="F53" s="381">
        <v>2000</v>
      </c>
      <c r="G53" s="231"/>
      <c r="L53" s="72">
        <f>SUM(L13:L52)</f>
        <v>80152</v>
      </c>
      <c r="M53" s="72">
        <f t="shared" ref="M53" si="8">SUM(M13:M52)</f>
        <v>77163</v>
      </c>
      <c r="Q53" s="72">
        <f t="shared" ref="Q53:R53" si="9">SUM(Q13:Q52)</f>
        <v>97652</v>
      </c>
      <c r="R53" s="72">
        <f t="shared" si="9"/>
        <v>-94563</v>
      </c>
      <c r="V53" s="72">
        <f>SUM(V13:V52)</f>
        <v>70030</v>
      </c>
      <c r="W53" s="72">
        <f>SUM(W13:W52)</f>
        <v>-69431</v>
      </c>
      <c r="X53" s="72">
        <f>SUM(X13:X52)</f>
        <v>27622</v>
      </c>
      <c r="Y53" s="72">
        <f>SUM(Y13:Y52)</f>
        <v>25132</v>
      </c>
    </row>
    <row r="54" spans="1:25">
      <c r="A54" s="81" t="s">
        <v>205</v>
      </c>
      <c r="B54" s="231" t="s">
        <v>210</v>
      </c>
      <c r="C54" s="271"/>
      <c r="D54" s="271"/>
      <c r="E54" s="381">
        <v>0</v>
      </c>
      <c r="F54" s="381">
        <v>0</v>
      </c>
      <c r="G54" s="231"/>
    </row>
    <row r="55" spans="1:25">
      <c r="A55" s="81" t="s">
        <v>207</v>
      </c>
      <c r="B55" s="231" t="s">
        <v>210</v>
      </c>
      <c r="C55" s="271"/>
      <c r="D55" s="271"/>
      <c r="E55" s="381">
        <v>1200</v>
      </c>
      <c r="F55" s="381">
        <v>1200</v>
      </c>
      <c r="G55" s="231"/>
    </row>
    <row r="56" spans="1:25">
      <c r="A56" s="81" t="s">
        <v>207</v>
      </c>
      <c r="B56" s="231" t="s">
        <v>191</v>
      </c>
      <c r="C56" s="271"/>
      <c r="D56" s="271"/>
      <c r="E56" s="381">
        <v>2095</v>
      </c>
      <c r="F56" s="381">
        <v>2145</v>
      </c>
      <c r="G56" s="231"/>
    </row>
    <row r="57" spans="1:25">
      <c r="A57" s="81" t="s">
        <v>205</v>
      </c>
      <c r="B57" s="231" t="s">
        <v>211</v>
      </c>
      <c r="C57" s="271"/>
      <c r="D57" s="271"/>
      <c r="E57" s="381">
        <v>1000</v>
      </c>
      <c r="F57" s="381">
        <v>600</v>
      </c>
      <c r="G57" s="231"/>
      <c r="H57" s="231"/>
      <c r="I57" s="231"/>
      <c r="J57" s="231"/>
      <c r="K57" s="231"/>
      <c r="L57" s="231"/>
    </row>
    <row r="58" spans="1:25">
      <c r="A58" s="81" t="s">
        <v>205</v>
      </c>
      <c r="B58" s="231" t="s">
        <v>212</v>
      </c>
      <c r="C58" s="271"/>
      <c r="D58" s="271"/>
      <c r="E58" s="381">
        <v>300</v>
      </c>
      <c r="F58" s="381">
        <v>250</v>
      </c>
      <c r="G58" s="231"/>
      <c r="H58" s="231"/>
      <c r="I58" s="231"/>
      <c r="J58" s="231"/>
      <c r="K58" s="231"/>
      <c r="L58" s="231"/>
    </row>
    <row r="59" spans="1:25">
      <c r="A59" s="81" t="s">
        <v>209</v>
      </c>
      <c r="B59" s="231" t="s">
        <v>212</v>
      </c>
      <c r="C59" s="271"/>
      <c r="D59" s="271"/>
      <c r="E59" s="381">
        <v>600</v>
      </c>
      <c r="F59" s="381">
        <v>700</v>
      </c>
      <c r="G59" s="231"/>
      <c r="H59" s="231"/>
      <c r="I59" s="231"/>
      <c r="J59" s="231"/>
      <c r="K59" s="231"/>
      <c r="L59" s="231"/>
    </row>
    <row r="60" spans="1:25">
      <c r="A60" s="81" t="s">
        <v>186</v>
      </c>
      <c r="B60" s="231" t="s">
        <v>201</v>
      </c>
      <c r="C60" s="271"/>
      <c r="D60" s="271"/>
      <c r="E60" s="583">
        <v>700</v>
      </c>
      <c r="F60" s="583">
        <v>700</v>
      </c>
      <c r="G60" s="231"/>
      <c r="H60" s="231"/>
      <c r="I60" s="231"/>
      <c r="J60" s="231"/>
      <c r="K60" s="231"/>
      <c r="L60" s="231"/>
    </row>
    <row r="61" spans="1:25">
      <c r="A61" s="228" t="s">
        <v>200</v>
      </c>
      <c r="B61" s="233" t="s">
        <v>189</v>
      </c>
      <c r="C61" s="270"/>
      <c r="D61" s="270"/>
      <c r="E61" s="561">
        <v>600</v>
      </c>
      <c r="F61" s="561">
        <v>590</v>
      </c>
      <c r="G61" s="231"/>
      <c r="H61" s="231"/>
      <c r="I61" s="231"/>
      <c r="J61" s="231"/>
      <c r="K61" s="231"/>
      <c r="L61" s="231"/>
    </row>
    <row r="62" spans="1:25">
      <c r="A62" s="230" t="s">
        <v>200</v>
      </c>
      <c r="B62" s="231" t="s">
        <v>465</v>
      </c>
      <c r="C62" s="271"/>
      <c r="D62" s="271"/>
      <c r="E62" s="381">
        <v>600</v>
      </c>
      <c r="F62" s="381">
        <v>600</v>
      </c>
      <c r="G62" s="231"/>
      <c r="H62" s="231"/>
      <c r="I62" s="231"/>
      <c r="J62" s="231"/>
      <c r="K62" s="231"/>
      <c r="L62" s="231"/>
    </row>
    <row r="63" spans="1:25">
      <c r="A63" s="230" t="s">
        <v>470</v>
      </c>
      <c r="B63" s="39" t="s">
        <v>189</v>
      </c>
      <c r="C63" s="271">
        <v>0</v>
      </c>
      <c r="D63" s="271">
        <v>0</v>
      </c>
      <c r="E63" s="222"/>
      <c r="F63" s="222"/>
    </row>
    <row r="64" spans="1:25">
      <c r="A64" s="230" t="s">
        <v>466</v>
      </c>
      <c r="B64" s="39" t="s">
        <v>188</v>
      </c>
      <c r="C64" s="271">
        <v>1200</v>
      </c>
      <c r="D64" s="271">
        <v>1200</v>
      </c>
      <c r="E64" s="222"/>
      <c r="F64" s="222"/>
    </row>
    <row r="65" spans="1:19">
      <c r="A65" s="230" t="s">
        <v>203</v>
      </c>
      <c r="B65" s="231" t="s">
        <v>191</v>
      </c>
      <c r="C65" s="271"/>
      <c r="D65" s="272"/>
      <c r="E65" s="583">
        <v>1632</v>
      </c>
      <c r="F65" s="583">
        <v>1632</v>
      </c>
      <c r="G65" s="231"/>
      <c r="H65" s="231"/>
      <c r="I65" s="231"/>
      <c r="J65" s="231"/>
      <c r="K65" s="231"/>
      <c r="L65" s="231"/>
    </row>
    <row r="66" spans="1:19">
      <c r="A66" s="228" t="s">
        <v>210</v>
      </c>
      <c r="B66" s="233" t="s">
        <v>213</v>
      </c>
      <c r="C66" s="270"/>
      <c r="D66" s="270"/>
      <c r="E66" s="561">
        <v>0</v>
      </c>
      <c r="F66" s="561">
        <v>0</v>
      </c>
      <c r="G66" s="231"/>
      <c r="H66" s="231"/>
      <c r="I66" s="231"/>
      <c r="J66" s="231"/>
      <c r="K66" s="231"/>
      <c r="L66" s="231"/>
    </row>
    <row r="67" spans="1:19">
      <c r="A67" s="235" t="s">
        <v>210</v>
      </c>
      <c r="B67" s="236" t="s">
        <v>214</v>
      </c>
      <c r="C67" s="272"/>
      <c r="D67" s="272"/>
      <c r="E67" s="583">
        <v>1016</v>
      </c>
      <c r="F67" s="583">
        <v>1016</v>
      </c>
      <c r="G67" s="231"/>
      <c r="H67" s="231"/>
      <c r="I67" s="231"/>
      <c r="J67" s="231"/>
      <c r="K67" s="231"/>
      <c r="L67" s="231"/>
    </row>
    <row r="68" spans="1:19">
      <c r="A68" s="230" t="s">
        <v>211</v>
      </c>
      <c r="B68" s="39" t="s">
        <v>213</v>
      </c>
      <c r="C68" s="271"/>
      <c r="D68" s="271"/>
      <c r="E68" s="562">
        <v>350</v>
      </c>
      <c r="F68" s="562">
        <v>1300</v>
      </c>
    </row>
    <row r="69" spans="1:19">
      <c r="A69" s="235" t="s">
        <v>211</v>
      </c>
      <c r="B69" s="236" t="s">
        <v>191</v>
      </c>
      <c r="C69" s="272"/>
      <c r="D69" s="272"/>
      <c r="E69" s="584">
        <v>800</v>
      </c>
      <c r="F69" s="584">
        <v>600</v>
      </c>
    </row>
    <row r="70" spans="1:19">
      <c r="A70" s="230" t="s">
        <v>201</v>
      </c>
      <c r="B70" s="231" t="s">
        <v>215</v>
      </c>
      <c r="C70" s="271"/>
      <c r="D70" s="271"/>
      <c r="E70" s="585">
        <v>950</v>
      </c>
      <c r="F70" s="585">
        <v>950</v>
      </c>
      <c r="G70" s="231"/>
      <c r="H70" s="231"/>
      <c r="I70" s="231"/>
      <c r="J70" s="231"/>
      <c r="K70" s="231"/>
      <c r="L70" s="231"/>
    </row>
    <row r="71" spans="1:19">
      <c r="A71" s="237" t="s">
        <v>215</v>
      </c>
      <c r="B71" s="238" t="s">
        <v>214</v>
      </c>
      <c r="C71" s="273"/>
      <c r="D71" s="273"/>
      <c r="E71" s="585">
        <v>879</v>
      </c>
      <c r="F71" s="585">
        <v>950</v>
      </c>
      <c r="G71" s="231"/>
      <c r="H71" s="231"/>
      <c r="I71" s="231"/>
      <c r="J71" s="231"/>
      <c r="K71" s="231"/>
      <c r="L71" s="231"/>
    </row>
    <row r="72" spans="1:19">
      <c r="C72" s="72">
        <f>SUM(C13:C71)</f>
        <v>9800</v>
      </c>
      <c r="D72" s="72">
        <f>SUM(D13:D71)</f>
        <v>9800</v>
      </c>
      <c r="E72" s="72">
        <f>SUM(E13:E71)</f>
        <v>87602</v>
      </c>
      <c r="F72" s="72">
        <f>SUM(F13:F71)</f>
        <v>78563</v>
      </c>
    </row>
    <row r="76" spans="1:19">
      <c r="A76" s="592" t="s">
        <v>501</v>
      </c>
      <c r="B76" s="592"/>
      <c r="C76" s="592"/>
      <c r="D76" s="592"/>
      <c r="E76" s="592"/>
      <c r="F76" s="592"/>
      <c r="H76" s="592" t="s">
        <v>500</v>
      </c>
      <c r="I76" s="592"/>
      <c r="J76" s="592"/>
      <c r="K76" s="592"/>
      <c r="L76" s="592"/>
      <c r="M76" s="592"/>
      <c r="O76" s="592" t="s">
        <v>502</v>
      </c>
      <c r="P76" s="592"/>
      <c r="Q76" s="592"/>
      <c r="R76" s="592"/>
      <c r="S76" s="592"/>
    </row>
    <row r="77" spans="1:19">
      <c r="A77" s="21" t="s">
        <v>172</v>
      </c>
      <c r="B77" s="21" t="s">
        <v>173</v>
      </c>
      <c r="C77" s="21" t="s">
        <v>176</v>
      </c>
      <c r="D77" s="21" t="s">
        <v>177</v>
      </c>
      <c r="E77" s="21" t="s">
        <v>174</v>
      </c>
      <c r="F77" s="21" t="s">
        <v>175</v>
      </c>
      <c r="H77" s="21" t="s">
        <v>172</v>
      </c>
      <c r="I77" s="21" t="s">
        <v>173</v>
      </c>
      <c r="J77" s="21" t="s">
        <v>176</v>
      </c>
      <c r="K77" s="21" t="s">
        <v>177</v>
      </c>
      <c r="L77" s="21" t="s">
        <v>174</v>
      </c>
      <c r="M77" s="21" t="s">
        <v>175</v>
      </c>
      <c r="O77" s="21"/>
      <c r="P77" s="21"/>
      <c r="Q77" s="21"/>
      <c r="R77" s="21" t="s">
        <v>353</v>
      </c>
      <c r="S77" s="21" t="s">
        <v>455</v>
      </c>
    </row>
    <row r="78" spans="1:19">
      <c r="A78" s="242" t="s">
        <v>107</v>
      </c>
      <c r="B78" s="243" t="s">
        <v>109</v>
      </c>
      <c r="C78" s="244" t="s">
        <v>179</v>
      </c>
      <c r="D78" s="299">
        <v>2040</v>
      </c>
      <c r="E78" s="288">
        <v>1000</v>
      </c>
      <c r="F78" s="288">
        <v>1000</v>
      </c>
      <c r="G78" s="47"/>
      <c r="H78" s="256" t="s">
        <v>107</v>
      </c>
      <c r="I78" s="256" t="s">
        <v>110</v>
      </c>
      <c r="J78" s="257" t="s">
        <v>183</v>
      </c>
      <c r="K78" s="303">
        <v>2030</v>
      </c>
      <c r="L78" s="574">
        <v>1400</v>
      </c>
      <c r="M78" s="574">
        <v>1400</v>
      </c>
      <c r="O78" s="39" t="s">
        <v>478</v>
      </c>
      <c r="R78" s="222">
        <v>1400</v>
      </c>
      <c r="S78" s="222">
        <v>-1400</v>
      </c>
    </row>
    <row r="79" spans="1:19">
      <c r="A79" s="248" t="s">
        <v>107</v>
      </c>
      <c r="B79" s="249" t="s">
        <v>109</v>
      </c>
      <c r="C79" s="250" t="s">
        <v>181</v>
      </c>
      <c r="D79" s="300">
        <v>2040</v>
      </c>
      <c r="E79" s="289">
        <v>1000</v>
      </c>
      <c r="F79" s="289">
        <v>1000</v>
      </c>
      <c r="G79" s="47"/>
      <c r="H79" s="231" t="s">
        <v>107</v>
      </c>
      <c r="I79" s="231" t="s">
        <v>114</v>
      </c>
      <c r="J79" s="47" t="s">
        <v>183</v>
      </c>
      <c r="K79" s="46">
        <v>2035</v>
      </c>
      <c r="L79" s="381">
        <v>1000</v>
      </c>
      <c r="M79" s="381">
        <v>1000</v>
      </c>
      <c r="O79" s="39" t="s">
        <v>476</v>
      </c>
      <c r="R79" s="222">
        <v>1000</v>
      </c>
      <c r="S79" s="222">
        <v>-1000</v>
      </c>
    </row>
    <row r="80" spans="1:19">
      <c r="A80" s="251" t="s">
        <v>107</v>
      </c>
      <c r="B80" s="252" t="s">
        <v>110</v>
      </c>
      <c r="C80" s="253" t="s">
        <v>183</v>
      </c>
      <c r="D80" s="301">
        <v>2030</v>
      </c>
      <c r="E80" s="290">
        <v>1400</v>
      </c>
      <c r="F80" s="290">
        <v>1400</v>
      </c>
      <c r="G80" s="47"/>
      <c r="H80" s="231" t="s">
        <v>107</v>
      </c>
      <c r="I80" s="231" t="s">
        <v>114</v>
      </c>
      <c r="J80" s="47" t="s">
        <v>179</v>
      </c>
      <c r="K80" s="46">
        <v>2030</v>
      </c>
      <c r="L80" s="271">
        <v>1000</v>
      </c>
      <c r="M80" s="271">
        <v>1000</v>
      </c>
      <c r="O80" s="39" t="s">
        <v>477</v>
      </c>
      <c r="R80" s="222">
        <v>700</v>
      </c>
      <c r="S80" s="222">
        <v>-700</v>
      </c>
    </row>
    <row r="81" spans="1:19">
      <c r="A81" s="245" t="s">
        <v>107</v>
      </c>
      <c r="B81" s="231" t="s">
        <v>113</v>
      </c>
      <c r="C81" s="47" t="s">
        <v>179</v>
      </c>
      <c r="D81" s="46">
        <v>2040</v>
      </c>
      <c r="E81" s="271">
        <v>2000</v>
      </c>
      <c r="F81" s="271">
        <v>2000</v>
      </c>
      <c r="G81" s="47"/>
      <c r="H81" s="231" t="s">
        <v>107</v>
      </c>
      <c r="I81" s="231" t="s">
        <v>115</v>
      </c>
      <c r="J81" s="47" t="s">
        <v>179</v>
      </c>
      <c r="K81" s="46">
        <v>2030</v>
      </c>
      <c r="L81" s="271">
        <v>1000</v>
      </c>
      <c r="M81" s="271">
        <v>1000</v>
      </c>
      <c r="O81" s="284" t="s">
        <v>475</v>
      </c>
      <c r="P81" s="284"/>
      <c r="Q81" s="284"/>
      <c r="R81" s="337">
        <v>157</v>
      </c>
      <c r="S81" s="337">
        <v>-157</v>
      </c>
    </row>
    <row r="82" spans="1:19">
      <c r="A82" s="248" t="s">
        <v>107</v>
      </c>
      <c r="B82" s="249" t="s">
        <v>113</v>
      </c>
      <c r="C82" s="250" t="s">
        <v>181</v>
      </c>
      <c r="D82" s="300">
        <v>2040</v>
      </c>
      <c r="E82" s="289">
        <v>2000</v>
      </c>
      <c r="F82" s="289">
        <v>2000</v>
      </c>
      <c r="G82" s="47"/>
      <c r="H82" s="231" t="s">
        <v>107</v>
      </c>
      <c r="I82" s="231" t="s">
        <v>106</v>
      </c>
      <c r="J82" s="47" t="s">
        <v>183</v>
      </c>
      <c r="K82" s="46">
        <v>2035</v>
      </c>
      <c r="L82" s="381">
        <v>700</v>
      </c>
      <c r="M82" s="381">
        <v>700</v>
      </c>
      <c r="O82" s="39" t="s">
        <v>483</v>
      </c>
      <c r="R82" s="222">
        <v>1500</v>
      </c>
      <c r="S82" s="222">
        <v>-1500</v>
      </c>
    </row>
    <row r="83" spans="1:19">
      <c r="A83" s="245" t="s">
        <v>107</v>
      </c>
      <c r="B83" s="231" t="s">
        <v>114</v>
      </c>
      <c r="C83" s="47" t="s">
        <v>183</v>
      </c>
      <c r="D83" s="46">
        <v>2035</v>
      </c>
      <c r="E83" s="271">
        <v>1000</v>
      </c>
      <c r="F83" s="271">
        <v>1000</v>
      </c>
      <c r="G83" s="47"/>
      <c r="H83" s="231" t="s">
        <v>107</v>
      </c>
      <c r="I83" s="231" t="s">
        <v>99</v>
      </c>
      <c r="J83" s="47" t="s">
        <v>179</v>
      </c>
      <c r="K83" s="46">
        <v>2030</v>
      </c>
      <c r="L83" s="271">
        <v>500</v>
      </c>
      <c r="M83" s="271">
        <v>500</v>
      </c>
      <c r="O83" s="39" t="s">
        <v>484</v>
      </c>
      <c r="R83" s="222">
        <v>1500</v>
      </c>
      <c r="S83" s="222">
        <v>-1500</v>
      </c>
    </row>
    <row r="84" spans="1:19">
      <c r="A84" s="245" t="s">
        <v>107</v>
      </c>
      <c r="B84" s="231" t="s">
        <v>114</v>
      </c>
      <c r="C84" s="47" t="s">
        <v>179</v>
      </c>
      <c r="D84" s="46">
        <v>2030</v>
      </c>
      <c r="E84" s="271">
        <v>1000</v>
      </c>
      <c r="F84" s="271">
        <v>1000</v>
      </c>
      <c r="G84" s="47"/>
      <c r="H84" s="240" t="s">
        <v>107</v>
      </c>
      <c r="I84" s="240" t="s">
        <v>99</v>
      </c>
      <c r="J84" s="241" t="s">
        <v>181</v>
      </c>
      <c r="K84" s="302">
        <v>2030</v>
      </c>
      <c r="L84" s="575">
        <v>500</v>
      </c>
      <c r="M84" s="575">
        <v>500</v>
      </c>
      <c r="O84" s="284" t="s">
        <v>473</v>
      </c>
      <c r="P84" s="284"/>
      <c r="Q84" s="284"/>
      <c r="R84" s="337">
        <v>1000</v>
      </c>
      <c r="S84" s="337">
        <v>-1000</v>
      </c>
    </row>
    <row r="85" spans="1:19">
      <c r="A85" s="248" t="s">
        <v>107</v>
      </c>
      <c r="B85" s="249" t="s">
        <v>114</v>
      </c>
      <c r="C85" s="250" t="s">
        <v>181</v>
      </c>
      <c r="D85" s="300">
        <v>2040</v>
      </c>
      <c r="E85" s="289">
        <v>1000</v>
      </c>
      <c r="F85" s="289">
        <v>1000</v>
      </c>
      <c r="G85" s="47"/>
      <c r="H85" s="243" t="s">
        <v>109</v>
      </c>
      <c r="I85" s="243" t="s">
        <v>110</v>
      </c>
      <c r="J85" s="244" t="s">
        <v>183</v>
      </c>
      <c r="K85" s="299">
        <v>2035</v>
      </c>
      <c r="L85" s="288">
        <v>1250</v>
      </c>
      <c r="M85" s="288">
        <v>1250</v>
      </c>
      <c r="O85" s="285" t="s">
        <v>481</v>
      </c>
      <c r="P85" s="285"/>
      <c r="Q85" s="285"/>
      <c r="R85" s="573">
        <v>335</v>
      </c>
      <c r="S85" s="573">
        <v>-335</v>
      </c>
    </row>
    <row r="86" spans="1:19">
      <c r="A86" s="245" t="s">
        <v>107</v>
      </c>
      <c r="B86" s="231" t="s">
        <v>115</v>
      </c>
      <c r="C86" s="47" t="s">
        <v>183</v>
      </c>
      <c r="D86" s="46">
        <v>2040</v>
      </c>
      <c r="E86" s="271">
        <v>1000</v>
      </c>
      <c r="F86" s="271">
        <v>1000</v>
      </c>
      <c r="G86" s="47"/>
      <c r="H86" s="231" t="s">
        <v>109</v>
      </c>
      <c r="I86" s="231" t="s">
        <v>112</v>
      </c>
      <c r="J86" s="47" t="s">
        <v>183</v>
      </c>
      <c r="K86" s="46">
        <v>2030</v>
      </c>
      <c r="L86" s="381">
        <v>1500</v>
      </c>
      <c r="M86" s="381">
        <v>1500</v>
      </c>
      <c r="O86" s="285" t="s">
        <v>474</v>
      </c>
      <c r="P86" s="285"/>
      <c r="Q86" s="285"/>
      <c r="R86" s="573">
        <v>1000</v>
      </c>
      <c r="S86" s="573">
        <v>-1000</v>
      </c>
    </row>
    <row r="87" spans="1:19">
      <c r="A87" s="245" t="s">
        <v>107</v>
      </c>
      <c r="B87" s="231" t="s">
        <v>115</v>
      </c>
      <c r="C87" s="47" t="s">
        <v>179</v>
      </c>
      <c r="D87" s="46">
        <v>2030</v>
      </c>
      <c r="E87" s="271">
        <v>1000</v>
      </c>
      <c r="F87" s="271">
        <v>1000</v>
      </c>
      <c r="G87" s="47"/>
      <c r="H87" s="231" t="s">
        <v>109</v>
      </c>
      <c r="I87" s="231" t="s">
        <v>112</v>
      </c>
      <c r="J87" s="47" t="s">
        <v>198</v>
      </c>
      <c r="K87" s="46">
        <v>2030</v>
      </c>
      <c r="L87" s="381">
        <v>1500</v>
      </c>
      <c r="M87" s="381">
        <v>1500</v>
      </c>
      <c r="O87" s="39" t="s">
        <v>490</v>
      </c>
      <c r="R87" s="222">
        <v>2000</v>
      </c>
      <c r="S87" s="222">
        <v>-1354</v>
      </c>
    </row>
    <row r="88" spans="1:19">
      <c r="A88" s="248" t="s">
        <v>107</v>
      </c>
      <c r="B88" s="249" t="s">
        <v>115</v>
      </c>
      <c r="C88" s="250" t="s">
        <v>181</v>
      </c>
      <c r="D88" s="300">
        <v>2040</v>
      </c>
      <c r="E88" s="289">
        <v>1000</v>
      </c>
      <c r="F88" s="289">
        <v>1000</v>
      </c>
      <c r="G88" s="47"/>
      <c r="H88" s="240" t="s">
        <v>109</v>
      </c>
      <c r="I88" s="240" t="s">
        <v>115</v>
      </c>
      <c r="J88" s="241" t="s">
        <v>183</v>
      </c>
      <c r="K88" s="302">
        <v>2030</v>
      </c>
      <c r="L88" s="575">
        <v>1000</v>
      </c>
      <c r="M88" s="575">
        <v>1000</v>
      </c>
      <c r="O88" s="39" t="s">
        <v>479</v>
      </c>
      <c r="R88" s="222">
        <v>394</v>
      </c>
      <c r="S88" s="222">
        <v>-394</v>
      </c>
    </row>
    <row r="89" spans="1:19">
      <c r="A89" s="245" t="s">
        <v>107</v>
      </c>
      <c r="B89" s="231" t="s">
        <v>106</v>
      </c>
      <c r="C89" s="47" t="s">
        <v>183</v>
      </c>
      <c r="D89" s="46">
        <v>2035</v>
      </c>
      <c r="E89" s="271">
        <v>700</v>
      </c>
      <c r="F89" s="271">
        <v>700</v>
      </c>
      <c r="G89" s="47"/>
      <c r="H89" s="231" t="s">
        <v>110</v>
      </c>
      <c r="I89" s="231" t="s">
        <v>114</v>
      </c>
      <c r="J89" s="47" t="s">
        <v>179</v>
      </c>
      <c r="K89" s="46">
        <v>2030</v>
      </c>
      <c r="L89" s="271">
        <v>1000</v>
      </c>
      <c r="M89" s="271">
        <v>1000</v>
      </c>
      <c r="O89" s="39" t="s">
        <v>480</v>
      </c>
      <c r="R89" s="222">
        <v>700</v>
      </c>
      <c r="S89" s="222">
        <v>-700</v>
      </c>
    </row>
    <row r="90" spans="1:19">
      <c r="A90" s="245" t="s">
        <v>107</v>
      </c>
      <c r="B90" s="231" t="s">
        <v>106</v>
      </c>
      <c r="C90" s="47" t="s">
        <v>179</v>
      </c>
      <c r="D90" s="46">
        <v>2040</v>
      </c>
      <c r="E90" s="271">
        <v>500</v>
      </c>
      <c r="F90" s="271">
        <v>500</v>
      </c>
      <c r="G90" s="47"/>
      <c r="H90" s="249" t="s">
        <v>110</v>
      </c>
      <c r="I90" s="249" t="s">
        <v>114</v>
      </c>
      <c r="J90" s="250" t="s">
        <v>181</v>
      </c>
      <c r="K90" s="300">
        <v>2030</v>
      </c>
      <c r="L90" s="289">
        <v>1000</v>
      </c>
      <c r="M90" s="289">
        <v>1000</v>
      </c>
      <c r="O90" s="39" t="s">
        <v>485</v>
      </c>
      <c r="R90" s="222">
        <v>671</v>
      </c>
      <c r="S90" s="222">
        <v>-671</v>
      </c>
    </row>
    <row r="91" spans="1:19">
      <c r="A91" s="245" t="s">
        <v>107</v>
      </c>
      <c r="B91" s="231" t="s">
        <v>106</v>
      </c>
      <c r="C91" s="47" t="s">
        <v>181</v>
      </c>
      <c r="D91" s="46">
        <v>2040</v>
      </c>
      <c r="E91" s="271">
        <v>500</v>
      </c>
      <c r="F91" s="271">
        <v>500</v>
      </c>
      <c r="G91" s="47"/>
      <c r="H91" s="231" t="s">
        <v>110</v>
      </c>
      <c r="I91" s="231" t="s">
        <v>115</v>
      </c>
      <c r="J91" s="47" t="s">
        <v>183</v>
      </c>
      <c r="K91" s="46">
        <v>2035</v>
      </c>
      <c r="L91" s="271">
        <v>1400</v>
      </c>
      <c r="M91" s="271">
        <v>1400</v>
      </c>
      <c r="O91" s="39" t="s">
        <v>486</v>
      </c>
      <c r="R91" s="222">
        <v>800</v>
      </c>
      <c r="S91" s="222">
        <v>-800</v>
      </c>
    </row>
    <row r="92" spans="1:19">
      <c r="A92" s="245" t="s">
        <v>107</v>
      </c>
      <c r="B92" s="231" t="s">
        <v>106</v>
      </c>
      <c r="C92" s="47" t="s">
        <v>190</v>
      </c>
      <c r="D92" s="46">
        <v>2040</v>
      </c>
      <c r="E92" s="271">
        <v>500</v>
      </c>
      <c r="F92" s="271">
        <v>500</v>
      </c>
      <c r="G92" s="47"/>
      <c r="H92" s="252" t="s">
        <v>110</v>
      </c>
      <c r="I92" s="252" t="s">
        <v>101</v>
      </c>
      <c r="J92" s="253" t="s">
        <v>183</v>
      </c>
      <c r="K92" s="301">
        <v>2035</v>
      </c>
      <c r="L92" s="576">
        <v>1400</v>
      </c>
      <c r="M92" s="576">
        <v>1400</v>
      </c>
      <c r="O92" s="39" t="s">
        <v>487</v>
      </c>
      <c r="R92" s="222">
        <v>900</v>
      </c>
      <c r="S92" s="222">
        <v>-800</v>
      </c>
    </row>
    <row r="93" spans="1:19">
      <c r="A93" s="245" t="s">
        <v>107</v>
      </c>
      <c r="B93" s="231" t="s">
        <v>106</v>
      </c>
      <c r="C93" s="47" t="s">
        <v>192</v>
      </c>
      <c r="D93" s="46">
        <v>2040</v>
      </c>
      <c r="E93" s="271">
        <v>500</v>
      </c>
      <c r="F93" s="271">
        <v>500</v>
      </c>
      <c r="G93" s="47"/>
      <c r="H93" s="243" t="s">
        <v>114</v>
      </c>
      <c r="I93" s="243" t="s">
        <v>115</v>
      </c>
      <c r="J93" s="244" t="s">
        <v>183</v>
      </c>
      <c r="K93" s="299">
        <v>2035</v>
      </c>
      <c r="L93" s="288">
        <v>1000</v>
      </c>
      <c r="M93" s="288">
        <v>1000</v>
      </c>
      <c r="O93" s="39" t="s">
        <v>488</v>
      </c>
      <c r="R93" s="222">
        <v>500</v>
      </c>
      <c r="S93" s="222">
        <v>-500</v>
      </c>
    </row>
    <row r="94" spans="1:19">
      <c r="A94" s="245" t="s">
        <v>107</v>
      </c>
      <c r="B94" s="231" t="s">
        <v>106</v>
      </c>
      <c r="C94" s="47" t="s">
        <v>193</v>
      </c>
      <c r="D94" s="46">
        <v>2040</v>
      </c>
      <c r="E94" s="271">
        <v>500</v>
      </c>
      <c r="F94" s="271">
        <v>500</v>
      </c>
      <c r="G94" s="47"/>
      <c r="H94" s="231" t="s">
        <v>114</v>
      </c>
      <c r="I94" s="231" t="s">
        <v>115</v>
      </c>
      <c r="J94" s="47" t="s">
        <v>198</v>
      </c>
      <c r="K94" s="46">
        <v>2035</v>
      </c>
      <c r="L94" s="381">
        <v>1000</v>
      </c>
      <c r="M94" s="381">
        <v>1000</v>
      </c>
      <c r="O94" s="284" t="s">
        <v>489</v>
      </c>
      <c r="P94" s="284"/>
      <c r="Q94" s="284"/>
      <c r="R94" s="337">
        <v>600</v>
      </c>
      <c r="S94" s="337">
        <v>-600</v>
      </c>
    </row>
    <row r="95" spans="1:19">
      <c r="A95" s="248" t="s">
        <v>107</v>
      </c>
      <c r="B95" s="249" t="s">
        <v>106</v>
      </c>
      <c r="C95" s="250" t="s">
        <v>194</v>
      </c>
      <c r="D95" s="300">
        <v>2040</v>
      </c>
      <c r="E95" s="289">
        <v>500</v>
      </c>
      <c r="F95" s="289">
        <v>500</v>
      </c>
      <c r="G95" s="47"/>
      <c r="H95" s="231" t="s">
        <v>114</v>
      </c>
      <c r="I95" s="231" t="s">
        <v>115</v>
      </c>
      <c r="J95" s="47" t="s">
        <v>179</v>
      </c>
      <c r="K95" s="46">
        <v>2030</v>
      </c>
      <c r="L95" s="271">
        <v>1000</v>
      </c>
      <c r="M95" s="271">
        <v>1000</v>
      </c>
      <c r="O95" s="285" t="s">
        <v>482</v>
      </c>
      <c r="P95" s="285"/>
      <c r="Q95" s="285"/>
      <c r="R95" s="573">
        <v>687</v>
      </c>
      <c r="S95" s="573">
        <v>-687</v>
      </c>
    </row>
    <row r="96" spans="1:19">
      <c r="A96" s="245" t="s">
        <v>107</v>
      </c>
      <c r="B96" s="231" t="s">
        <v>99</v>
      </c>
      <c r="C96" s="47" t="s">
        <v>179</v>
      </c>
      <c r="D96" s="46">
        <v>2030</v>
      </c>
      <c r="E96" s="271">
        <v>500</v>
      </c>
      <c r="F96" s="271">
        <v>500</v>
      </c>
      <c r="G96" s="47"/>
      <c r="H96" s="240" t="s">
        <v>114</v>
      </c>
      <c r="I96" s="240" t="s">
        <v>115</v>
      </c>
      <c r="J96" s="241" t="s">
        <v>181</v>
      </c>
      <c r="K96" s="302">
        <v>2030</v>
      </c>
      <c r="L96" s="287">
        <v>1000</v>
      </c>
      <c r="M96" s="287">
        <v>1000</v>
      </c>
      <c r="R96" s="72">
        <f>SUM(R78:R95)</f>
        <v>15844</v>
      </c>
      <c r="S96" s="72">
        <f>SUM(S78:S95)</f>
        <v>-15098</v>
      </c>
    </row>
    <row r="97" spans="1:15">
      <c r="A97" s="245" t="s">
        <v>107</v>
      </c>
      <c r="B97" s="231" t="s">
        <v>99</v>
      </c>
      <c r="C97" s="47" t="s">
        <v>181</v>
      </c>
      <c r="D97" s="46">
        <v>2030</v>
      </c>
      <c r="E97" s="271">
        <v>500</v>
      </c>
      <c r="F97" s="271">
        <v>500</v>
      </c>
      <c r="G97" s="47"/>
      <c r="H97" s="231" t="s">
        <v>104</v>
      </c>
      <c r="I97" s="231" t="s">
        <v>105</v>
      </c>
      <c r="J97" s="47" t="s">
        <v>183</v>
      </c>
      <c r="K97" s="46">
        <v>2035</v>
      </c>
      <c r="L97" s="381">
        <v>2000</v>
      </c>
      <c r="M97" s="381">
        <v>2000</v>
      </c>
      <c r="O97" s="47"/>
    </row>
    <row r="98" spans="1:15">
      <c r="A98" s="245" t="s">
        <v>107</v>
      </c>
      <c r="B98" s="231" t="s">
        <v>99</v>
      </c>
      <c r="C98" s="47" t="s">
        <v>190</v>
      </c>
      <c r="D98" s="46">
        <v>2040</v>
      </c>
      <c r="E98" s="271">
        <v>500</v>
      </c>
      <c r="F98" s="271">
        <v>500</v>
      </c>
      <c r="G98" s="47"/>
      <c r="H98" s="231" t="s">
        <v>105</v>
      </c>
      <c r="I98" s="231" t="s">
        <v>101</v>
      </c>
      <c r="J98" s="47" t="s">
        <v>183</v>
      </c>
      <c r="K98" s="46">
        <v>2035</v>
      </c>
      <c r="L98" s="381">
        <v>700</v>
      </c>
      <c r="M98" s="381">
        <v>700</v>
      </c>
      <c r="O98" s="47"/>
    </row>
    <row r="99" spans="1:15">
      <c r="A99" s="245" t="s">
        <v>107</v>
      </c>
      <c r="B99" s="231" t="s">
        <v>99</v>
      </c>
      <c r="C99" s="47" t="s">
        <v>192</v>
      </c>
      <c r="D99" s="46">
        <v>2040</v>
      </c>
      <c r="E99" s="271">
        <v>500</v>
      </c>
      <c r="F99" s="271">
        <v>500</v>
      </c>
      <c r="G99" s="47"/>
      <c r="H99" s="231" t="s">
        <v>106</v>
      </c>
      <c r="I99" s="231" t="s">
        <v>99</v>
      </c>
      <c r="J99" s="47" t="s">
        <v>190</v>
      </c>
      <c r="K99" s="46">
        <v>2030</v>
      </c>
      <c r="L99" s="381">
        <v>500</v>
      </c>
      <c r="M99" s="381">
        <v>500</v>
      </c>
      <c r="O99" s="47"/>
    </row>
    <row r="100" spans="1:15">
      <c r="A100" s="245" t="s">
        <v>107</v>
      </c>
      <c r="B100" s="231" t="s">
        <v>99</v>
      </c>
      <c r="C100" s="47" t="s">
        <v>193</v>
      </c>
      <c r="D100" s="46">
        <v>2040</v>
      </c>
      <c r="E100" s="271">
        <v>500</v>
      </c>
      <c r="F100" s="271">
        <v>500</v>
      </c>
      <c r="G100" s="47"/>
      <c r="H100" s="231" t="s">
        <v>105</v>
      </c>
      <c r="I100" s="231" t="s">
        <v>101</v>
      </c>
      <c r="J100" s="47" t="s">
        <v>179</v>
      </c>
      <c r="K100" s="46">
        <v>2030</v>
      </c>
      <c r="L100" s="271">
        <v>500</v>
      </c>
      <c r="M100" s="271">
        <v>500</v>
      </c>
      <c r="O100" s="47"/>
    </row>
    <row r="101" spans="1:15">
      <c r="A101" s="245" t="s">
        <v>107</v>
      </c>
      <c r="B101" s="231" t="s">
        <v>99</v>
      </c>
      <c r="C101" s="47" t="s">
        <v>194</v>
      </c>
      <c r="D101" s="46">
        <v>2040</v>
      </c>
      <c r="E101" s="271">
        <v>500</v>
      </c>
      <c r="F101" s="271">
        <v>500</v>
      </c>
      <c r="G101" s="47"/>
      <c r="H101" s="231" t="s">
        <v>105</v>
      </c>
      <c r="I101" s="231" t="s">
        <v>101</v>
      </c>
      <c r="J101" s="47" t="s">
        <v>181</v>
      </c>
      <c r="K101" s="46">
        <v>2030</v>
      </c>
      <c r="L101" s="271">
        <v>500</v>
      </c>
      <c r="M101" s="271">
        <v>500</v>
      </c>
      <c r="O101" s="47"/>
    </row>
    <row r="102" spans="1:15">
      <c r="A102" s="248" t="s">
        <v>107</v>
      </c>
      <c r="B102" s="249" t="s">
        <v>101</v>
      </c>
      <c r="C102" s="250" t="s">
        <v>179</v>
      </c>
      <c r="D102" s="300">
        <v>2040</v>
      </c>
      <c r="E102" s="289">
        <v>2000</v>
      </c>
      <c r="F102" s="289">
        <v>2000</v>
      </c>
      <c r="G102" s="47"/>
      <c r="H102" s="231" t="s">
        <v>105</v>
      </c>
      <c r="I102" s="231" t="s">
        <v>101</v>
      </c>
      <c r="J102" s="47" t="s">
        <v>190</v>
      </c>
      <c r="K102" s="46">
        <v>2030</v>
      </c>
      <c r="L102" s="271">
        <v>500</v>
      </c>
      <c r="M102" s="271">
        <v>500</v>
      </c>
      <c r="O102" s="47"/>
    </row>
    <row r="103" spans="1:15">
      <c r="A103" s="245" t="s">
        <v>107</v>
      </c>
      <c r="B103" s="231" t="s">
        <v>120</v>
      </c>
      <c r="C103" s="47" t="s">
        <v>179</v>
      </c>
      <c r="D103" s="46">
        <v>2040</v>
      </c>
      <c r="E103" s="271">
        <v>1000</v>
      </c>
      <c r="F103" s="271">
        <v>1000</v>
      </c>
      <c r="G103" s="47"/>
      <c r="H103" s="231" t="s">
        <v>105</v>
      </c>
      <c r="I103" s="231" t="s">
        <v>101</v>
      </c>
      <c r="J103" s="47" t="s">
        <v>192</v>
      </c>
      <c r="K103" s="46">
        <v>2030</v>
      </c>
      <c r="L103" s="271">
        <v>500</v>
      </c>
      <c r="M103" s="271">
        <v>500</v>
      </c>
      <c r="O103" s="47"/>
    </row>
    <row r="104" spans="1:15">
      <c r="A104" s="246" t="s">
        <v>107</v>
      </c>
      <c r="B104" s="240" t="s">
        <v>120</v>
      </c>
      <c r="C104" s="241" t="s">
        <v>181</v>
      </c>
      <c r="D104" s="302">
        <v>2040</v>
      </c>
      <c r="E104" s="287">
        <v>1000</v>
      </c>
      <c r="F104" s="287">
        <v>1000</v>
      </c>
      <c r="G104" s="47"/>
      <c r="H104" s="231" t="s">
        <v>105</v>
      </c>
      <c r="I104" s="231" t="s">
        <v>101</v>
      </c>
      <c r="J104" s="47" t="s">
        <v>193</v>
      </c>
      <c r="K104" s="46">
        <v>2035</v>
      </c>
      <c r="L104" s="271">
        <v>500</v>
      </c>
      <c r="M104" s="271">
        <v>500</v>
      </c>
      <c r="O104" s="47"/>
    </row>
    <row r="105" spans="1:15">
      <c r="A105" s="242" t="s">
        <v>109</v>
      </c>
      <c r="B105" s="243" t="s">
        <v>110</v>
      </c>
      <c r="C105" s="244" t="s">
        <v>183</v>
      </c>
      <c r="D105" s="299">
        <v>2035</v>
      </c>
      <c r="E105" s="288">
        <v>1250</v>
      </c>
      <c r="F105" s="288">
        <v>1250</v>
      </c>
      <c r="G105" s="47"/>
      <c r="H105" s="249" t="s">
        <v>105</v>
      </c>
      <c r="I105" s="249" t="s">
        <v>101</v>
      </c>
      <c r="J105" s="250" t="s">
        <v>194</v>
      </c>
      <c r="K105" s="300">
        <v>2035</v>
      </c>
      <c r="L105" s="289">
        <v>500</v>
      </c>
      <c r="M105" s="289">
        <v>500</v>
      </c>
      <c r="O105" s="47"/>
    </row>
    <row r="106" spans="1:15">
      <c r="A106" s="245" t="s">
        <v>109</v>
      </c>
      <c r="B106" s="231" t="s">
        <v>110</v>
      </c>
      <c r="C106" s="47" t="s">
        <v>179</v>
      </c>
      <c r="D106" s="46">
        <v>2040</v>
      </c>
      <c r="E106" s="271">
        <v>1300</v>
      </c>
      <c r="F106" s="271">
        <v>1300</v>
      </c>
      <c r="G106" s="47"/>
      <c r="H106" s="231" t="s">
        <v>103</v>
      </c>
      <c r="I106" s="231" t="s">
        <v>117</v>
      </c>
      <c r="J106" s="47" t="s">
        <v>183</v>
      </c>
      <c r="K106" s="46">
        <v>2035</v>
      </c>
      <c r="L106" s="381">
        <v>800</v>
      </c>
      <c r="M106" s="381">
        <v>800</v>
      </c>
      <c r="O106" s="47"/>
    </row>
    <row r="107" spans="1:15">
      <c r="A107" s="248" t="s">
        <v>109</v>
      </c>
      <c r="B107" s="249" t="s">
        <v>110</v>
      </c>
      <c r="C107" s="250" t="s">
        <v>181</v>
      </c>
      <c r="D107" s="300">
        <v>2040</v>
      </c>
      <c r="E107" s="289">
        <v>1300</v>
      </c>
      <c r="F107" s="289">
        <v>1300</v>
      </c>
      <c r="G107" s="47"/>
      <c r="H107" s="231" t="s">
        <v>103</v>
      </c>
      <c r="I107" s="231" t="s">
        <v>117</v>
      </c>
      <c r="J107" s="47" t="s">
        <v>198</v>
      </c>
      <c r="K107" s="46">
        <v>2030</v>
      </c>
      <c r="L107" s="381">
        <v>900</v>
      </c>
      <c r="M107" s="381">
        <v>800</v>
      </c>
      <c r="O107" s="47"/>
    </row>
    <row r="108" spans="1:15">
      <c r="A108" s="245" t="s">
        <v>109</v>
      </c>
      <c r="B108" s="231" t="s">
        <v>112</v>
      </c>
      <c r="C108" s="47" t="s">
        <v>183</v>
      </c>
      <c r="D108" s="46">
        <v>2030</v>
      </c>
      <c r="E108" s="271">
        <v>1500</v>
      </c>
      <c r="F108" s="271">
        <v>1500</v>
      </c>
      <c r="G108" s="47"/>
      <c r="H108" s="231" t="s">
        <v>103</v>
      </c>
      <c r="I108" s="231" t="s">
        <v>117</v>
      </c>
      <c r="J108" s="47" t="s">
        <v>179</v>
      </c>
      <c r="K108" s="46">
        <v>2030</v>
      </c>
      <c r="L108" s="381">
        <v>800</v>
      </c>
      <c r="M108" s="381">
        <v>800</v>
      </c>
      <c r="O108" s="47"/>
    </row>
    <row r="109" spans="1:15">
      <c r="A109" s="245" t="s">
        <v>109</v>
      </c>
      <c r="B109" s="231" t="s">
        <v>112</v>
      </c>
      <c r="C109" s="47" t="s">
        <v>198</v>
      </c>
      <c r="D109" s="46">
        <v>2030</v>
      </c>
      <c r="E109" s="271">
        <v>1500</v>
      </c>
      <c r="F109" s="271">
        <v>1500</v>
      </c>
      <c r="G109" s="47"/>
      <c r="H109" s="231" t="s">
        <v>104</v>
      </c>
      <c r="I109" s="231" t="s">
        <v>117</v>
      </c>
      <c r="J109" s="47" t="s">
        <v>179</v>
      </c>
      <c r="K109" s="46">
        <v>2030</v>
      </c>
      <c r="L109" s="271">
        <v>500</v>
      </c>
      <c r="M109" s="271">
        <v>500</v>
      </c>
      <c r="O109" s="47"/>
    </row>
    <row r="110" spans="1:15">
      <c r="A110" s="245" t="s">
        <v>109</v>
      </c>
      <c r="B110" s="231" t="s">
        <v>112</v>
      </c>
      <c r="C110" s="47" t="s">
        <v>179</v>
      </c>
      <c r="D110" s="46">
        <v>2040</v>
      </c>
      <c r="E110" s="271">
        <v>1500</v>
      </c>
      <c r="F110" s="271">
        <v>1500</v>
      </c>
      <c r="G110" s="47"/>
      <c r="H110" s="231" t="s">
        <v>105</v>
      </c>
      <c r="I110" s="231" t="s">
        <v>117</v>
      </c>
      <c r="J110" s="47" t="s">
        <v>179</v>
      </c>
      <c r="K110" s="46">
        <v>2030</v>
      </c>
      <c r="L110" s="381">
        <v>500</v>
      </c>
      <c r="M110" s="381">
        <v>500</v>
      </c>
      <c r="O110" s="47"/>
    </row>
    <row r="111" spans="1:15">
      <c r="A111" s="248" t="s">
        <v>109</v>
      </c>
      <c r="B111" s="249" t="s">
        <v>112</v>
      </c>
      <c r="C111" s="250" t="s">
        <v>181</v>
      </c>
      <c r="D111" s="300">
        <v>2040</v>
      </c>
      <c r="E111" s="289">
        <v>1500</v>
      </c>
      <c r="F111" s="289">
        <v>1500</v>
      </c>
      <c r="G111" s="47"/>
      <c r="H111" s="231" t="s">
        <v>106</v>
      </c>
      <c r="I111" s="231" t="s">
        <v>121</v>
      </c>
      <c r="J111" s="47" t="s">
        <v>183</v>
      </c>
      <c r="K111" s="46">
        <v>2030</v>
      </c>
      <c r="L111" s="381">
        <v>600</v>
      </c>
      <c r="M111" s="381">
        <v>600</v>
      </c>
      <c r="O111" s="47"/>
    </row>
    <row r="112" spans="1:15">
      <c r="A112" s="245" t="s">
        <v>109</v>
      </c>
      <c r="B112" s="231" t="s">
        <v>115</v>
      </c>
      <c r="C112" s="47" t="s">
        <v>183</v>
      </c>
      <c r="D112" s="46">
        <v>2030</v>
      </c>
      <c r="E112" s="271">
        <v>1000</v>
      </c>
      <c r="F112" s="271">
        <v>1000</v>
      </c>
      <c r="G112" s="47"/>
      <c r="H112" s="240" t="s">
        <v>105</v>
      </c>
      <c r="I112" s="240" t="s">
        <v>122</v>
      </c>
      <c r="J112" s="241" t="s">
        <v>183</v>
      </c>
      <c r="K112" s="302">
        <v>2035</v>
      </c>
      <c r="L112" s="287">
        <v>500</v>
      </c>
      <c r="M112" s="287">
        <v>500</v>
      </c>
      <c r="O112" s="47"/>
    </row>
    <row r="113" spans="1:15">
      <c r="A113" s="245" t="s">
        <v>109</v>
      </c>
      <c r="B113" s="231" t="s">
        <v>115</v>
      </c>
      <c r="C113" s="47" t="s">
        <v>179</v>
      </c>
      <c r="D113" s="46">
        <v>2040</v>
      </c>
      <c r="E113" s="271">
        <v>1000</v>
      </c>
      <c r="F113" s="271">
        <v>1000</v>
      </c>
      <c r="G113" s="47"/>
      <c r="H113" s="256" t="s">
        <v>99</v>
      </c>
      <c r="I113" s="256" t="s">
        <v>101</v>
      </c>
      <c r="J113" s="257" t="s">
        <v>179</v>
      </c>
      <c r="K113" s="303">
        <v>2030</v>
      </c>
      <c r="L113" s="286">
        <v>600</v>
      </c>
      <c r="M113" s="286">
        <v>600</v>
      </c>
      <c r="O113" s="47"/>
    </row>
    <row r="114" spans="1:15">
      <c r="A114" s="248" t="s">
        <v>109</v>
      </c>
      <c r="B114" s="249" t="s">
        <v>115</v>
      </c>
      <c r="C114" s="250" t="s">
        <v>181</v>
      </c>
      <c r="D114" s="300">
        <v>2040</v>
      </c>
      <c r="E114" s="289">
        <v>1000</v>
      </c>
      <c r="F114" s="289">
        <v>1000</v>
      </c>
      <c r="G114" s="47"/>
      <c r="H114" s="243" t="s">
        <v>117</v>
      </c>
      <c r="I114" s="243" t="s">
        <v>123</v>
      </c>
      <c r="J114" s="244" t="s">
        <v>183</v>
      </c>
      <c r="K114" s="299">
        <v>2035</v>
      </c>
      <c r="L114" s="577">
        <v>700</v>
      </c>
      <c r="M114" s="577">
        <v>700</v>
      </c>
      <c r="O114" s="47"/>
    </row>
    <row r="115" spans="1:15">
      <c r="A115" s="245" t="s">
        <v>110</v>
      </c>
      <c r="B115" s="231" t="s">
        <v>114</v>
      </c>
      <c r="C115" s="47" t="s">
        <v>179</v>
      </c>
      <c r="D115" s="46">
        <v>2030</v>
      </c>
      <c r="E115" s="271">
        <v>1000</v>
      </c>
      <c r="F115" s="271">
        <v>1000</v>
      </c>
      <c r="G115" s="47"/>
      <c r="H115" s="231" t="s">
        <v>117</v>
      </c>
      <c r="I115" s="231" t="s">
        <v>123</v>
      </c>
      <c r="J115" s="47" t="s">
        <v>179</v>
      </c>
      <c r="K115" s="46">
        <v>2030</v>
      </c>
      <c r="L115" s="271">
        <v>700</v>
      </c>
      <c r="M115" s="271">
        <v>700</v>
      </c>
      <c r="O115" s="47"/>
    </row>
    <row r="116" spans="1:15">
      <c r="A116" s="248" t="s">
        <v>110</v>
      </c>
      <c r="B116" s="249" t="s">
        <v>114</v>
      </c>
      <c r="C116" s="250" t="s">
        <v>181</v>
      </c>
      <c r="D116" s="300">
        <v>2030</v>
      </c>
      <c r="E116" s="289">
        <v>1000</v>
      </c>
      <c r="F116" s="289">
        <v>1000</v>
      </c>
      <c r="G116" s="47"/>
      <c r="H116" s="243" t="s">
        <v>121</v>
      </c>
      <c r="I116" s="243" t="s">
        <v>122</v>
      </c>
      <c r="J116" s="244" t="s">
        <v>179</v>
      </c>
      <c r="K116" s="299">
        <v>2030</v>
      </c>
      <c r="L116" s="288">
        <v>500</v>
      </c>
      <c r="M116" s="288">
        <v>500</v>
      </c>
      <c r="O116" s="47"/>
    </row>
    <row r="117" spans="1:15">
      <c r="A117" s="245" t="s">
        <v>110</v>
      </c>
      <c r="B117" s="231" t="s">
        <v>115</v>
      </c>
      <c r="C117" s="47" t="s">
        <v>183</v>
      </c>
      <c r="D117" s="46">
        <v>2035</v>
      </c>
      <c r="E117" s="271">
        <v>1400</v>
      </c>
      <c r="F117" s="271">
        <v>1400</v>
      </c>
      <c r="G117" s="47"/>
      <c r="H117" s="231" t="s">
        <v>121</v>
      </c>
      <c r="I117" s="231" t="s">
        <v>122</v>
      </c>
      <c r="J117" s="47" t="s">
        <v>181</v>
      </c>
      <c r="K117" s="46">
        <v>2030</v>
      </c>
      <c r="L117" s="271">
        <v>500</v>
      </c>
      <c r="M117" s="271">
        <v>500</v>
      </c>
      <c r="O117" s="47"/>
    </row>
    <row r="118" spans="1:15">
      <c r="A118" s="248" t="s">
        <v>110</v>
      </c>
      <c r="B118" s="249" t="s">
        <v>115</v>
      </c>
      <c r="C118" s="250" t="s">
        <v>179</v>
      </c>
      <c r="D118" s="300">
        <v>2040</v>
      </c>
      <c r="E118" s="289">
        <v>2000</v>
      </c>
      <c r="F118" s="289">
        <v>2000</v>
      </c>
      <c r="G118" s="47"/>
      <c r="H118" s="240" t="s">
        <v>121</v>
      </c>
      <c r="I118" s="240" t="s">
        <v>122</v>
      </c>
      <c r="J118" s="241" t="s">
        <v>190</v>
      </c>
      <c r="K118" s="302">
        <v>2030</v>
      </c>
      <c r="L118" s="287">
        <v>500</v>
      </c>
      <c r="M118" s="287">
        <v>500</v>
      </c>
      <c r="O118" s="47"/>
    </row>
    <row r="119" spans="1:15">
      <c r="A119" s="251" t="s">
        <v>110</v>
      </c>
      <c r="B119" s="252" t="s">
        <v>101</v>
      </c>
      <c r="C119" s="253" t="s">
        <v>183</v>
      </c>
      <c r="D119" s="301">
        <v>2035</v>
      </c>
      <c r="E119" s="290">
        <v>1400</v>
      </c>
      <c r="F119" s="290">
        <v>1400</v>
      </c>
      <c r="G119" s="47"/>
      <c r="H119" s="243" t="s">
        <v>122</v>
      </c>
      <c r="I119" s="243" t="s">
        <v>123</v>
      </c>
      <c r="J119" s="244" t="s">
        <v>183</v>
      </c>
      <c r="K119" s="299">
        <v>2035</v>
      </c>
      <c r="L119" s="288">
        <v>1000</v>
      </c>
      <c r="M119" s="288">
        <v>1000</v>
      </c>
      <c r="O119" s="47"/>
    </row>
    <row r="120" spans="1:15">
      <c r="A120" s="245" t="s">
        <v>110</v>
      </c>
      <c r="B120" s="231" t="s">
        <v>120</v>
      </c>
      <c r="C120" s="47" t="s">
        <v>179</v>
      </c>
      <c r="D120" s="46">
        <v>2040</v>
      </c>
      <c r="E120" s="271">
        <v>1000</v>
      </c>
      <c r="F120" s="271">
        <v>1000</v>
      </c>
      <c r="G120" s="47"/>
      <c r="H120" s="231" t="s">
        <v>122</v>
      </c>
      <c r="I120" s="231" t="s">
        <v>123</v>
      </c>
      <c r="J120" s="47" t="s">
        <v>179</v>
      </c>
      <c r="K120" s="46">
        <v>2030</v>
      </c>
      <c r="L120" s="271">
        <v>1000</v>
      </c>
      <c r="M120" s="271">
        <v>1000</v>
      </c>
      <c r="O120" s="47"/>
    </row>
    <row r="121" spans="1:15">
      <c r="A121" s="245" t="s">
        <v>110</v>
      </c>
      <c r="B121" s="231" t="s">
        <v>120</v>
      </c>
      <c r="C121" s="47" t="s">
        <v>181</v>
      </c>
      <c r="D121" s="46">
        <v>2040</v>
      </c>
      <c r="E121" s="271">
        <v>1000</v>
      </c>
      <c r="F121" s="271">
        <v>1000</v>
      </c>
      <c r="G121" s="47"/>
      <c r="H121" s="231"/>
      <c r="I121" s="243"/>
      <c r="J121" s="244"/>
      <c r="K121" s="244"/>
      <c r="L121" s="247"/>
      <c r="M121" s="304">
        <f>SUM(L78:L120)</f>
        <v>36450</v>
      </c>
      <c r="N121" s="304">
        <f>SUM(M78:M120)</f>
        <v>36350</v>
      </c>
    </row>
    <row r="122" spans="1:15">
      <c r="A122" s="242" t="s">
        <v>113</v>
      </c>
      <c r="B122" s="243" t="s">
        <v>106</v>
      </c>
      <c r="C122" s="244" t="s">
        <v>179</v>
      </c>
      <c r="D122" s="299">
        <v>2040</v>
      </c>
      <c r="E122" s="288">
        <v>500</v>
      </c>
      <c r="F122" s="288">
        <v>500</v>
      </c>
      <c r="G122" s="47"/>
      <c r="H122" s="231"/>
      <c r="I122" s="231"/>
      <c r="J122" s="254"/>
      <c r="K122" s="47"/>
      <c r="N122" s="254"/>
    </row>
    <row r="123" spans="1:15">
      <c r="A123" s="246" t="s">
        <v>113</v>
      </c>
      <c r="B123" s="240" t="s">
        <v>106</v>
      </c>
      <c r="C123" s="241" t="s">
        <v>181</v>
      </c>
      <c r="D123" s="302">
        <v>2040</v>
      </c>
      <c r="E123" s="287">
        <v>500</v>
      </c>
      <c r="F123" s="287">
        <v>500</v>
      </c>
      <c r="G123" s="47"/>
      <c r="H123" s="231"/>
      <c r="I123" s="231"/>
      <c r="J123" s="254"/>
      <c r="K123" s="47"/>
      <c r="N123" s="254"/>
    </row>
    <row r="124" spans="1:15">
      <c r="A124" s="242" t="s">
        <v>114</v>
      </c>
      <c r="B124" s="243" t="s">
        <v>115</v>
      </c>
      <c r="C124" s="244" t="s">
        <v>183</v>
      </c>
      <c r="D124" s="299">
        <v>2035</v>
      </c>
      <c r="E124" s="288">
        <v>1000</v>
      </c>
      <c r="F124" s="288">
        <v>1000</v>
      </c>
      <c r="G124" s="47"/>
      <c r="H124" s="231"/>
      <c r="I124" s="231"/>
      <c r="J124" s="47"/>
      <c r="K124" s="47"/>
      <c r="N124" s="47"/>
    </row>
    <row r="125" spans="1:15">
      <c r="A125" s="245" t="s">
        <v>114</v>
      </c>
      <c r="B125" s="231" t="s">
        <v>115</v>
      </c>
      <c r="C125" s="47" t="s">
        <v>198</v>
      </c>
      <c r="D125" s="46">
        <v>2035</v>
      </c>
      <c r="E125" s="271">
        <v>1000</v>
      </c>
      <c r="F125" s="271">
        <v>1000</v>
      </c>
      <c r="G125" s="47"/>
      <c r="H125" s="231"/>
      <c r="I125" s="231"/>
      <c r="J125" s="47"/>
      <c r="K125" s="47"/>
      <c r="N125" s="47"/>
    </row>
    <row r="126" spans="1:15">
      <c r="A126" s="245" t="s">
        <v>114</v>
      </c>
      <c r="B126" s="231" t="s">
        <v>115</v>
      </c>
      <c r="C126" s="47" t="s">
        <v>179</v>
      </c>
      <c r="D126" s="46">
        <v>2030</v>
      </c>
      <c r="E126" s="271">
        <v>1000</v>
      </c>
      <c r="F126" s="271">
        <v>1000</v>
      </c>
      <c r="G126" s="47"/>
      <c r="H126" s="231"/>
      <c r="I126" s="231"/>
      <c r="J126" s="47"/>
      <c r="K126" s="47"/>
      <c r="N126" s="47"/>
    </row>
    <row r="127" spans="1:15">
      <c r="A127" s="248" t="s">
        <v>114</v>
      </c>
      <c r="B127" s="249" t="s">
        <v>115</v>
      </c>
      <c r="C127" s="250" t="s">
        <v>181</v>
      </c>
      <c r="D127" s="300">
        <v>2030</v>
      </c>
      <c r="E127" s="289">
        <v>1000</v>
      </c>
      <c r="F127" s="289">
        <v>1000</v>
      </c>
      <c r="G127" s="47"/>
      <c r="H127" s="231"/>
      <c r="I127" s="231"/>
      <c r="J127" s="47"/>
      <c r="K127" s="47"/>
      <c r="N127" s="47"/>
    </row>
    <row r="128" spans="1:15">
      <c r="A128" s="245" t="s">
        <v>114</v>
      </c>
      <c r="B128" s="231" t="s">
        <v>101</v>
      </c>
      <c r="C128" s="47" t="s">
        <v>179</v>
      </c>
      <c r="D128" s="46">
        <v>2040</v>
      </c>
      <c r="E128" s="271">
        <v>1000</v>
      </c>
      <c r="F128" s="271">
        <v>1000</v>
      </c>
      <c r="G128" s="47"/>
      <c r="H128" s="231"/>
      <c r="I128" s="231"/>
      <c r="J128" s="47"/>
      <c r="K128" s="47"/>
      <c r="N128" s="47"/>
    </row>
    <row r="129" spans="1:21">
      <c r="A129" s="248" t="s">
        <v>114</v>
      </c>
      <c r="B129" s="249" t="s">
        <v>101</v>
      </c>
      <c r="C129" s="250" t="s">
        <v>181</v>
      </c>
      <c r="D129" s="300">
        <v>2040</v>
      </c>
      <c r="E129" s="289">
        <v>1000</v>
      </c>
      <c r="F129" s="289">
        <v>1000</v>
      </c>
      <c r="G129" s="47"/>
      <c r="H129" s="231"/>
      <c r="I129" s="231"/>
      <c r="J129" s="47"/>
      <c r="K129" s="47"/>
      <c r="N129" s="47"/>
      <c r="U129" s="231"/>
    </row>
    <row r="130" spans="1:21">
      <c r="A130" s="245" t="s">
        <v>114</v>
      </c>
      <c r="B130" s="231" t="s">
        <v>120</v>
      </c>
      <c r="C130" s="47" t="s">
        <v>179</v>
      </c>
      <c r="D130" s="46">
        <v>2040</v>
      </c>
      <c r="E130" s="271">
        <v>1000</v>
      </c>
      <c r="F130" s="271">
        <v>1000</v>
      </c>
      <c r="G130" s="47"/>
      <c r="H130" s="231"/>
      <c r="I130" s="231"/>
      <c r="J130" s="254"/>
      <c r="K130" s="47"/>
      <c r="N130" s="254"/>
    </row>
    <row r="131" spans="1:21">
      <c r="A131" s="246" t="s">
        <v>114</v>
      </c>
      <c r="B131" s="240" t="s">
        <v>120</v>
      </c>
      <c r="C131" s="241" t="s">
        <v>181</v>
      </c>
      <c r="D131" s="302">
        <v>2040</v>
      </c>
      <c r="E131" s="287">
        <v>1000</v>
      </c>
      <c r="F131" s="287">
        <v>1000</v>
      </c>
      <c r="G131" s="47"/>
      <c r="H131" s="231"/>
      <c r="I131" s="231"/>
      <c r="J131" s="254"/>
      <c r="K131" s="47"/>
      <c r="N131" s="254"/>
    </row>
    <row r="132" spans="1:21">
      <c r="A132" s="245" t="s">
        <v>104</v>
      </c>
      <c r="B132" s="231" t="s">
        <v>105</v>
      </c>
      <c r="C132" s="47" t="s">
        <v>183</v>
      </c>
      <c r="D132" s="46">
        <v>2035</v>
      </c>
      <c r="E132" s="271">
        <v>2000</v>
      </c>
      <c r="F132" s="271">
        <v>2000</v>
      </c>
      <c r="G132" s="47"/>
      <c r="H132" s="231"/>
      <c r="I132" s="231"/>
      <c r="J132" s="47"/>
      <c r="K132" s="47"/>
      <c r="N132" s="47"/>
    </row>
    <row r="133" spans="1:21">
      <c r="A133" s="245" t="s">
        <v>104</v>
      </c>
      <c r="B133" s="231" t="s">
        <v>105</v>
      </c>
      <c r="C133" s="47" t="s">
        <v>198</v>
      </c>
      <c r="D133" s="46">
        <v>2040</v>
      </c>
      <c r="E133" s="271">
        <v>1000</v>
      </c>
      <c r="F133" s="271">
        <v>1000</v>
      </c>
      <c r="G133" s="47"/>
      <c r="H133" s="231"/>
      <c r="I133" s="231"/>
      <c r="J133" s="47"/>
      <c r="K133" s="47"/>
      <c r="N133" s="47"/>
    </row>
    <row r="134" spans="1:21">
      <c r="A134" s="245" t="s">
        <v>103</v>
      </c>
      <c r="B134" s="231" t="s">
        <v>104</v>
      </c>
      <c r="C134" s="47" t="s">
        <v>179</v>
      </c>
      <c r="D134" s="46">
        <v>2040</v>
      </c>
      <c r="E134" s="271">
        <v>1000</v>
      </c>
      <c r="F134" s="271">
        <v>1000</v>
      </c>
      <c r="G134" s="47"/>
      <c r="H134" s="231"/>
      <c r="I134" s="231"/>
      <c r="J134" s="254"/>
      <c r="K134" s="47"/>
      <c r="N134" s="254"/>
    </row>
    <row r="135" spans="1:21">
      <c r="A135" s="245" t="s">
        <v>103</v>
      </c>
      <c r="B135" s="231" t="s">
        <v>104</v>
      </c>
      <c r="C135" s="47" t="s">
        <v>181</v>
      </c>
      <c r="D135" s="46">
        <v>2040</v>
      </c>
      <c r="E135" s="271">
        <v>1000</v>
      </c>
      <c r="F135" s="271">
        <v>1000</v>
      </c>
      <c r="G135" s="47"/>
      <c r="H135" s="231"/>
      <c r="I135" s="231"/>
      <c r="J135" s="254"/>
      <c r="K135" s="47"/>
      <c r="N135" s="254"/>
    </row>
    <row r="136" spans="1:21">
      <c r="A136" s="245" t="s">
        <v>104</v>
      </c>
      <c r="B136" s="231" t="s">
        <v>105</v>
      </c>
      <c r="C136" s="47" t="s">
        <v>179</v>
      </c>
      <c r="D136" s="46">
        <v>2040</v>
      </c>
      <c r="E136" s="271">
        <v>1000</v>
      </c>
      <c r="F136" s="271">
        <v>1000</v>
      </c>
      <c r="G136" s="47"/>
      <c r="H136" s="231"/>
      <c r="I136" s="231"/>
      <c r="J136" s="254"/>
      <c r="K136" s="47"/>
    </row>
    <row r="137" spans="1:21">
      <c r="A137" s="245" t="s">
        <v>104</v>
      </c>
      <c r="B137" s="231" t="s">
        <v>105</v>
      </c>
      <c r="C137" s="47" t="s">
        <v>181</v>
      </c>
      <c r="D137" s="46">
        <v>2040</v>
      </c>
      <c r="E137" s="271">
        <v>1000</v>
      </c>
      <c r="F137" s="271">
        <v>1000</v>
      </c>
      <c r="G137" s="47"/>
      <c r="H137" s="231"/>
      <c r="I137" s="231"/>
      <c r="J137" s="254"/>
      <c r="K137" s="47"/>
    </row>
    <row r="138" spans="1:21">
      <c r="A138" s="245" t="s">
        <v>105</v>
      </c>
      <c r="B138" s="231" t="s">
        <v>106</v>
      </c>
      <c r="C138" s="47" t="s">
        <v>179</v>
      </c>
      <c r="D138" s="46">
        <v>2040</v>
      </c>
      <c r="E138" s="271">
        <v>1000</v>
      </c>
      <c r="F138" s="271">
        <v>1000</v>
      </c>
      <c r="G138" s="47"/>
      <c r="H138" s="231"/>
      <c r="I138" s="231"/>
      <c r="J138" s="254"/>
      <c r="K138" s="47"/>
    </row>
    <row r="139" spans="1:21">
      <c r="A139" s="248" t="s">
        <v>105</v>
      </c>
      <c r="B139" s="249" t="s">
        <v>106</v>
      </c>
      <c r="C139" s="250" t="s">
        <v>181</v>
      </c>
      <c r="D139" s="300">
        <v>2040</v>
      </c>
      <c r="E139" s="289">
        <v>1000</v>
      </c>
      <c r="F139" s="289">
        <v>1000</v>
      </c>
      <c r="G139" s="47"/>
      <c r="H139" s="231"/>
      <c r="I139" s="231"/>
      <c r="J139" s="254"/>
      <c r="K139" s="47"/>
    </row>
    <row r="140" spans="1:21">
      <c r="A140" s="245" t="s">
        <v>105</v>
      </c>
      <c r="B140" s="231" t="s">
        <v>101</v>
      </c>
      <c r="C140" s="47" t="s">
        <v>183</v>
      </c>
      <c r="D140" s="46">
        <v>2035</v>
      </c>
      <c r="E140" s="271">
        <v>700</v>
      </c>
      <c r="F140" s="271">
        <v>700</v>
      </c>
      <c r="G140" s="47"/>
      <c r="H140" s="231"/>
      <c r="I140" s="231"/>
      <c r="J140" s="47"/>
      <c r="K140" s="47"/>
    </row>
    <row r="141" spans="1:21">
      <c r="A141" s="245" t="s">
        <v>106</v>
      </c>
      <c r="B141" s="231" t="s">
        <v>99</v>
      </c>
      <c r="C141" s="47" t="s">
        <v>179</v>
      </c>
      <c r="D141" s="46">
        <v>2040</v>
      </c>
      <c r="E141" s="271">
        <v>500</v>
      </c>
      <c r="F141" s="271">
        <v>500</v>
      </c>
      <c r="G141" s="47"/>
      <c r="H141" s="231"/>
      <c r="I141" s="231"/>
      <c r="J141" s="47"/>
      <c r="K141" s="47"/>
    </row>
    <row r="142" spans="1:21">
      <c r="A142" s="245" t="s">
        <v>106</v>
      </c>
      <c r="B142" s="231" t="s">
        <v>99</v>
      </c>
      <c r="C142" s="47" t="s">
        <v>181</v>
      </c>
      <c r="D142" s="46">
        <v>2040</v>
      </c>
      <c r="E142" s="271">
        <v>500</v>
      </c>
      <c r="F142" s="271">
        <v>500</v>
      </c>
      <c r="G142" s="47"/>
      <c r="H142" s="231"/>
      <c r="I142" s="231"/>
      <c r="J142" s="47"/>
      <c r="K142" s="47"/>
    </row>
    <row r="143" spans="1:21">
      <c r="A143" s="245" t="s">
        <v>106</v>
      </c>
      <c r="B143" s="231" t="s">
        <v>99</v>
      </c>
      <c r="C143" s="47" t="s">
        <v>190</v>
      </c>
      <c r="D143" s="46">
        <v>2030</v>
      </c>
      <c r="E143" s="271">
        <v>500</v>
      </c>
      <c r="F143" s="271">
        <v>500</v>
      </c>
      <c r="G143" s="47"/>
      <c r="H143" s="231"/>
      <c r="I143" s="231"/>
      <c r="J143" s="47"/>
      <c r="K143" s="47"/>
    </row>
    <row r="144" spans="1:21">
      <c r="A144" s="245" t="s">
        <v>106</v>
      </c>
      <c r="B144" s="231" t="s">
        <v>99</v>
      </c>
      <c r="C144" s="47" t="s">
        <v>192</v>
      </c>
      <c r="D144" s="46">
        <v>2040</v>
      </c>
      <c r="E144" s="271">
        <v>500</v>
      </c>
      <c r="F144" s="271">
        <v>500</v>
      </c>
      <c r="G144" s="47"/>
      <c r="H144" s="231"/>
      <c r="I144" s="231"/>
      <c r="J144" s="47"/>
      <c r="K144" s="47"/>
    </row>
    <row r="145" spans="1:24">
      <c r="A145" s="245" t="s">
        <v>105</v>
      </c>
      <c r="B145" s="231" t="s">
        <v>101</v>
      </c>
      <c r="C145" s="47" t="s">
        <v>179</v>
      </c>
      <c r="D145" s="46">
        <v>2030</v>
      </c>
      <c r="E145" s="271">
        <v>500</v>
      </c>
      <c r="F145" s="271">
        <v>500</v>
      </c>
      <c r="G145" s="47"/>
      <c r="H145" s="231"/>
      <c r="I145" s="231"/>
      <c r="J145" s="47"/>
      <c r="K145" s="47"/>
    </row>
    <row r="146" spans="1:24">
      <c r="A146" s="245" t="s">
        <v>105</v>
      </c>
      <c r="B146" s="231" t="s">
        <v>101</v>
      </c>
      <c r="C146" s="47" t="s">
        <v>181</v>
      </c>
      <c r="D146" s="46">
        <v>2030</v>
      </c>
      <c r="E146" s="271">
        <v>500</v>
      </c>
      <c r="F146" s="271">
        <v>500</v>
      </c>
      <c r="G146" s="47"/>
      <c r="H146" s="231"/>
      <c r="I146" s="231"/>
      <c r="J146" s="47"/>
      <c r="K146" s="47"/>
    </row>
    <row r="147" spans="1:24">
      <c r="A147" s="245" t="s">
        <v>105</v>
      </c>
      <c r="B147" s="231" t="s">
        <v>101</v>
      </c>
      <c r="C147" s="47" t="s">
        <v>190</v>
      </c>
      <c r="D147" s="46">
        <v>2030</v>
      </c>
      <c r="E147" s="271">
        <v>500</v>
      </c>
      <c r="F147" s="271">
        <v>500</v>
      </c>
      <c r="G147" s="47"/>
      <c r="H147" s="231"/>
      <c r="I147" s="231"/>
      <c r="J147" s="47"/>
      <c r="K147" s="47"/>
    </row>
    <row r="148" spans="1:24">
      <c r="A148" s="245" t="s">
        <v>105</v>
      </c>
      <c r="B148" s="231" t="s">
        <v>101</v>
      </c>
      <c r="C148" s="47" t="s">
        <v>192</v>
      </c>
      <c r="D148" s="46">
        <v>2030</v>
      </c>
      <c r="E148" s="271">
        <v>500</v>
      </c>
      <c r="F148" s="271">
        <v>500</v>
      </c>
      <c r="G148" s="47"/>
      <c r="H148" s="231"/>
      <c r="I148" s="231"/>
      <c r="J148" s="47"/>
      <c r="K148" s="47"/>
    </row>
    <row r="149" spans="1:24">
      <c r="A149" s="245" t="s">
        <v>105</v>
      </c>
      <c r="B149" s="231" t="s">
        <v>101</v>
      </c>
      <c r="C149" s="47" t="s">
        <v>193</v>
      </c>
      <c r="D149" s="46">
        <v>2035</v>
      </c>
      <c r="E149" s="271">
        <v>500</v>
      </c>
      <c r="F149" s="271">
        <v>500</v>
      </c>
      <c r="G149" s="47"/>
      <c r="H149" s="231"/>
      <c r="I149" s="231"/>
      <c r="J149" s="47"/>
      <c r="K149" s="47"/>
    </row>
    <row r="150" spans="1:24">
      <c r="A150" s="248" t="s">
        <v>105</v>
      </c>
      <c r="B150" s="249" t="s">
        <v>101</v>
      </c>
      <c r="C150" s="250" t="s">
        <v>194</v>
      </c>
      <c r="D150" s="300">
        <v>2035</v>
      </c>
      <c r="E150" s="289">
        <v>500</v>
      </c>
      <c r="F150" s="289">
        <v>500</v>
      </c>
      <c r="G150" s="47"/>
      <c r="H150" s="231"/>
      <c r="I150" s="231"/>
      <c r="J150" s="47"/>
      <c r="K150" s="47"/>
    </row>
    <row r="151" spans="1:24">
      <c r="A151" s="245" t="s">
        <v>103</v>
      </c>
      <c r="B151" s="231" t="s">
        <v>117</v>
      </c>
      <c r="C151" s="47" t="s">
        <v>183</v>
      </c>
      <c r="D151" s="46">
        <v>2035</v>
      </c>
      <c r="E151" s="271">
        <v>800</v>
      </c>
      <c r="F151" s="271">
        <v>800</v>
      </c>
      <c r="G151" s="47"/>
      <c r="H151" s="231"/>
      <c r="I151" s="231"/>
      <c r="J151" s="47"/>
      <c r="K151" s="47"/>
    </row>
    <row r="152" spans="1:24">
      <c r="A152" s="245" t="s">
        <v>103</v>
      </c>
      <c r="B152" s="231" t="s">
        <v>117</v>
      </c>
      <c r="C152" s="47" t="s">
        <v>198</v>
      </c>
      <c r="D152" s="46">
        <v>2030</v>
      </c>
      <c r="E152" s="271">
        <v>900</v>
      </c>
      <c r="F152" s="271">
        <v>800</v>
      </c>
      <c r="G152" s="47"/>
      <c r="H152" s="231"/>
      <c r="I152" s="231"/>
      <c r="J152" s="47"/>
      <c r="K152" s="47"/>
    </row>
    <row r="153" spans="1:24">
      <c r="A153" s="245" t="s">
        <v>105</v>
      </c>
      <c r="B153" s="231" t="s">
        <v>117</v>
      </c>
      <c r="C153" s="47" t="s">
        <v>183</v>
      </c>
      <c r="D153" s="46">
        <v>2040</v>
      </c>
      <c r="E153" s="271">
        <v>800</v>
      </c>
      <c r="F153" s="271">
        <v>800</v>
      </c>
      <c r="G153" s="47"/>
      <c r="H153" s="231"/>
      <c r="I153" s="231"/>
      <c r="J153" s="47"/>
      <c r="K153" s="47"/>
    </row>
    <row r="154" spans="1:24">
      <c r="A154" s="245" t="s">
        <v>103</v>
      </c>
      <c r="B154" s="231" t="s">
        <v>117</v>
      </c>
      <c r="C154" s="47" t="s">
        <v>179</v>
      </c>
      <c r="D154" s="46">
        <v>2030</v>
      </c>
      <c r="E154" s="271">
        <v>800</v>
      </c>
      <c r="F154" s="271">
        <v>800</v>
      </c>
      <c r="G154" s="47"/>
      <c r="H154" s="231"/>
      <c r="I154" s="231"/>
      <c r="J154" s="47"/>
      <c r="K154" s="47"/>
    </row>
    <row r="155" spans="1:24">
      <c r="A155" s="245" t="s">
        <v>103</v>
      </c>
      <c r="B155" s="231" t="s">
        <v>117</v>
      </c>
      <c r="C155" s="47" t="s">
        <v>181</v>
      </c>
      <c r="D155" s="46">
        <v>2040</v>
      </c>
      <c r="E155" s="271">
        <v>800</v>
      </c>
      <c r="F155" s="271">
        <v>800</v>
      </c>
      <c r="G155" s="47"/>
      <c r="H155" s="231"/>
      <c r="I155" s="231"/>
      <c r="J155" s="47"/>
      <c r="K155" s="47"/>
    </row>
    <row r="156" spans="1:24">
      <c r="A156" s="245" t="s">
        <v>104</v>
      </c>
      <c r="B156" s="231" t="s">
        <v>117</v>
      </c>
      <c r="C156" s="47" t="s">
        <v>179</v>
      </c>
      <c r="D156" s="46">
        <v>2030</v>
      </c>
      <c r="E156" s="271">
        <v>500</v>
      </c>
      <c r="F156" s="271">
        <v>500</v>
      </c>
      <c r="G156" s="47"/>
      <c r="H156" s="231"/>
      <c r="I156" s="231"/>
      <c r="J156" s="47"/>
      <c r="K156" s="47"/>
    </row>
    <row r="157" spans="1:24">
      <c r="A157" s="245" t="s">
        <v>104</v>
      </c>
      <c r="B157" s="231" t="s">
        <v>117</v>
      </c>
      <c r="C157" s="47" t="s">
        <v>181</v>
      </c>
      <c r="D157" s="46">
        <v>2040</v>
      </c>
      <c r="E157" s="271">
        <v>500</v>
      </c>
      <c r="F157" s="271">
        <v>500</v>
      </c>
      <c r="G157" s="47"/>
      <c r="H157" s="231"/>
      <c r="I157" s="231"/>
      <c r="J157" s="47"/>
      <c r="K157" s="47"/>
    </row>
    <row r="158" spans="1:24">
      <c r="A158" s="245" t="s">
        <v>105</v>
      </c>
      <c r="B158" s="231" t="s">
        <v>117</v>
      </c>
      <c r="C158" s="47" t="s">
        <v>179</v>
      </c>
      <c r="D158" s="46">
        <v>2030</v>
      </c>
      <c r="E158" s="271">
        <v>500</v>
      </c>
      <c r="F158" s="271">
        <v>500</v>
      </c>
      <c r="G158" s="47"/>
      <c r="H158" s="231"/>
      <c r="I158" s="231"/>
      <c r="J158" s="47"/>
      <c r="K158" s="47"/>
      <c r="R158" s="48"/>
      <c r="S158" s="48"/>
      <c r="T158" s="49"/>
      <c r="U158" s="48"/>
      <c r="V158" s="49"/>
      <c r="W158" s="49"/>
      <c r="X158" s="49"/>
    </row>
    <row r="159" spans="1:24">
      <c r="A159" s="245" t="s">
        <v>105</v>
      </c>
      <c r="B159" s="231" t="s">
        <v>117</v>
      </c>
      <c r="C159" s="47" t="s">
        <v>181</v>
      </c>
      <c r="D159" s="46">
        <v>2040</v>
      </c>
      <c r="E159" s="271">
        <v>500</v>
      </c>
      <c r="F159" s="271">
        <v>500</v>
      </c>
      <c r="G159" s="47"/>
      <c r="H159" s="231"/>
      <c r="I159" s="231"/>
      <c r="J159" s="47"/>
      <c r="K159" s="47"/>
      <c r="R159" s="48"/>
      <c r="S159" s="48"/>
      <c r="T159" s="49"/>
      <c r="U159" s="48"/>
      <c r="V159" s="49"/>
      <c r="W159" s="49"/>
      <c r="X159" s="49"/>
    </row>
    <row r="160" spans="1:24">
      <c r="A160" s="245" t="s">
        <v>103</v>
      </c>
      <c r="B160" s="231" t="s">
        <v>117</v>
      </c>
      <c r="C160" s="47" t="s">
        <v>190</v>
      </c>
      <c r="D160" s="46">
        <v>2040</v>
      </c>
      <c r="E160" s="271">
        <v>800</v>
      </c>
      <c r="F160" s="271">
        <v>800</v>
      </c>
      <c r="G160" s="47"/>
      <c r="H160" s="231"/>
      <c r="I160" s="231"/>
      <c r="J160" s="47"/>
      <c r="K160" s="47"/>
      <c r="R160" s="48"/>
      <c r="S160" s="48"/>
      <c r="T160" s="49"/>
      <c r="U160" s="48"/>
      <c r="V160" s="49"/>
      <c r="W160" s="49"/>
      <c r="X160" s="49"/>
    </row>
    <row r="161" spans="1:24">
      <c r="A161" s="245" t="s">
        <v>104</v>
      </c>
      <c r="B161" s="231" t="s">
        <v>117</v>
      </c>
      <c r="C161" s="47" t="s">
        <v>190</v>
      </c>
      <c r="D161" s="46">
        <v>2040</v>
      </c>
      <c r="E161" s="271">
        <v>500</v>
      </c>
      <c r="F161" s="271">
        <v>500</v>
      </c>
      <c r="G161" s="47"/>
      <c r="H161" s="231"/>
      <c r="I161" s="231"/>
      <c r="J161" s="47"/>
      <c r="K161" s="47"/>
      <c r="R161" s="48"/>
      <c r="S161" s="48"/>
      <c r="T161" s="49"/>
      <c r="U161" s="48"/>
      <c r="V161" s="49"/>
      <c r="W161" s="49"/>
      <c r="X161" s="49"/>
    </row>
    <row r="162" spans="1:24">
      <c r="A162" s="245" t="s">
        <v>104</v>
      </c>
      <c r="B162" s="231" t="s">
        <v>117</v>
      </c>
      <c r="C162" s="47" t="s">
        <v>192</v>
      </c>
      <c r="D162" s="46">
        <v>2040</v>
      </c>
      <c r="E162" s="271">
        <v>500</v>
      </c>
      <c r="F162" s="271">
        <v>500</v>
      </c>
      <c r="G162" s="47"/>
      <c r="H162" s="231"/>
      <c r="I162" s="231"/>
      <c r="J162" s="47"/>
      <c r="K162" s="47"/>
      <c r="R162" s="231"/>
      <c r="S162" s="231"/>
      <c r="U162" s="231"/>
    </row>
    <row r="163" spans="1:24">
      <c r="A163" s="245" t="s">
        <v>105</v>
      </c>
      <c r="B163" s="231" t="s">
        <v>117</v>
      </c>
      <c r="C163" s="47" t="s">
        <v>190</v>
      </c>
      <c r="D163" s="46">
        <v>2040</v>
      </c>
      <c r="E163" s="271">
        <v>500</v>
      </c>
      <c r="F163" s="271">
        <v>500</v>
      </c>
      <c r="G163" s="47"/>
      <c r="H163" s="231"/>
      <c r="I163" s="231"/>
      <c r="J163" s="47"/>
      <c r="K163" s="47"/>
      <c r="N163" s="47"/>
      <c r="R163" s="231"/>
      <c r="S163" s="231"/>
      <c r="U163" s="231"/>
    </row>
    <row r="164" spans="1:24">
      <c r="A164" s="248" t="s">
        <v>105</v>
      </c>
      <c r="B164" s="249" t="s">
        <v>117</v>
      </c>
      <c r="C164" s="250" t="s">
        <v>192</v>
      </c>
      <c r="D164" s="300">
        <v>2040</v>
      </c>
      <c r="E164" s="289">
        <v>500</v>
      </c>
      <c r="F164" s="289">
        <v>500</v>
      </c>
      <c r="G164" s="47"/>
      <c r="H164" s="231"/>
      <c r="I164" s="231"/>
      <c r="J164" s="47"/>
      <c r="K164" s="47"/>
      <c r="N164" s="47"/>
      <c r="R164" s="231"/>
      <c r="S164" s="231"/>
      <c r="U164" s="231"/>
    </row>
    <row r="165" spans="1:24">
      <c r="A165" s="245" t="s">
        <v>104</v>
      </c>
      <c r="B165" s="231" t="s">
        <v>118</v>
      </c>
      <c r="C165" s="47" t="s">
        <v>179</v>
      </c>
      <c r="D165" s="46">
        <v>2040</v>
      </c>
      <c r="E165" s="271">
        <v>500</v>
      </c>
      <c r="F165" s="271">
        <v>500</v>
      </c>
      <c r="G165" s="47"/>
      <c r="H165" s="231"/>
      <c r="I165" s="231"/>
      <c r="J165" s="254"/>
      <c r="K165" s="47"/>
      <c r="N165" s="254"/>
      <c r="R165" s="231"/>
      <c r="S165" s="231"/>
      <c r="U165" s="231"/>
    </row>
    <row r="166" spans="1:24">
      <c r="A166" s="245" t="s">
        <v>104</v>
      </c>
      <c r="B166" s="231" t="s">
        <v>118</v>
      </c>
      <c r="C166" s="47" t="s">
        <v>181</v>
      </c>
      <c r="D166" s="46">
        <v>2040</v>
      </c>
      <c r="E166" s="271">
        <v>500</v>
      </c>
      <c r="F166" s="271">
        <v>500</v>
      </c>
      <c r="G166" s="47"/>
      <c r="H166" s="231"/>
      <c r="I166" s="231"/>
      <c r="J166" s="254"/>
      <c r="K166" s="47"/>
      <c r="N166" s="254"/>
      <c r="R166" s="231"/>
      <c r="S166" s="231"/>
      <c r="U166" s="231"/>
    </row>
    <row r="167" spans="1:24">
      <c r="A167" s="245" t="s">
        <v>103</v>
      </c>
      <c r="B167" s="231" t="s">
        <v>119</v>
      </c>
      <c r="C167" s="47" t="s">
        <v>179</v>
      </c>
      <c r="D167" s="46">
        <v>2040</v>
      </c>
      <c r="E167" s="271">
        <v>500</v>
      </c>
      <c r="F167" s="271">
        <v>500</v>
      </c>
      <c r="G167" s="47"/>
      <c r="H167" s="231"/>
      <c r="I167" s="231"/>
      <c r="J167" s="254"/>
      <c r="K167" s="47"/>
      <c r="N167" s="254"/>
      <c r="R167" s="231"/>
      <c r="S167" s="231"/>
      <c r="U167" s="231"/>
    </row>
    <row r="168" spans="1:24">
      <c r="A168" s="245" t="s">
        <v>103</v>
      </c>
      <c r="B168" s="231" t="s">
        <v>119</v>
      </c>
      <c r="C168" s="47" t="s">
        <v>181</v>
      </c>
      <c r="D168" s="46">
        <v>2040</v>
      </c>
      <c r="E168" s="271">
        <v>500</v>
      </c>
      <c r="F168" s="271">
        <v>500</v>
      </c>
      <c r="G168" s="47"/>
      <c r="H168" s="231"/>
      <c r="I168" s="231"/>
      <c r="J168" s="254"/>
      <c r="K168" s="47"/>
      <c r="N168" s="254"/>
      <c r="R168" s="231"/>
      <c r="S168" s="231"/>
      <c r="U168" s="231"/>
    </row>
    <row r="169" spans="1:24">
      <c r="A169" s="245" t="s">
        <v>104</v>
      </c>
      <c r="B169" s="231" t="s">
        <v>119</v>
      </c>
      <c r="C169" s="47" t="s">
        <v>179</v>
      </c>
      <c r="D169" s="46">
        <v>2040</v>
      </c>
      <c r="E169" s="271">
        <v>500</v>
      </c>
      <c r="F169" s="271">
        <v>500</v>
      </c>
      <c r="G169" s="47"/>
      <c r="H169" s="231"/>
      <c r="I169" s="231"/>
      <c r="N169" s="254"/>
      <c r="R169" s="231"/>
      <c r="S169" s="231"/>
      <c r="U169" s="231"/>
    </row>
    <row r="170" spans="1:24">
      <c r="A170" s="245" t="s">
        <v>104</v>
      </c>
      <c r="B170" s="231" t="s">
        <v>119</v>
      </c>
      <c r="C170" s="47" t="s">
        <v>181</v>
      </c>
      <c r="D170" s="46">
        <v>2040</v>
      </c>
      <c r="E170" s="271">
        <v>500</v>
      </c>
      <c r="F170" s="271">
        <v>500</v>
      </c>
      <c r="G170" s="47"/>
      <c r="H170" s="231"/>
      <c r="I170" s="231"/>
      <c r="N170" s="254"/>
      <c r="R170" s="231"/>
      <c r="S170" s="231"/>
      <c r="U170" s="231"/>
    </row>
    <row r="171" spans="1:24">
      <c r="A171" s="245" t="s">
        <v>105</v>
      </c>
      <c r="B171" s="231" t="s">
        <v>120</v>
      </c>
      <c r="C171" s="47" t="s">
        <v>179</v>
      </c>
      <c r="D171" s="46">
        <v>2040</v>
      </c>
      <c r="E171" s="271">
        <v>500</v>
      </c>
      <c r="F171" s="271">
        <v>500</v>
      </c>
      <c r="G171" s="47"/>
      <c r="H171" s="231"/>
      <c r="I171" s="231"/>
      <c r="N171" s="254"/>
      <c r="R171" s="231"/>
      <c r="S171" s="231"/>
      <c r="U171" s="231"/>
    </row>
    <row r="172" spans="1:24">
      <c r="A172" s="245" t="s">
        <v>105</v>
      </c>
      <c r="B172" s="231" t="s">
        <v>120</v>
      </c>
      <c r="C172" s="47" t="s">
        <v>181</v>
      </c>
      <c r="D172" s="46">
        <v>2040</v>
      </c>
      <c r="E172" s="271">
        <v>500</v>
      </c>
      <c r="F172" s="271">
        <v>500</v>
      </c>
      <c r="G172" s="47"/>
      <c r="H172" s="231"/>
      <c r="I172" s="231"/>
      <c r="N172" s="254"/>
      <c r="R172" s="231"/>
      <c r="S172" s="231"/>
      <c r="U172" s="231"/>
    </row>
    <row r="173" spans="1:24">
      <c r="A173" s="245" t="s">
        <v>105</v>
      </c>
      <c r="B173" s="231" t="s">
        <v>120</v>
      </c>
      <c r="C173" s="47" t="s">
        <v>190</v>
      </c>
      <c r="D173" s="46">
        <v>2040</v>
      </c>
      <c r="E173" s="271">
        <v>500</v>
      </c>
      <c r="F173" s="271">
        <v>500</v>
      </c>
      <c r="G173" s="47"/>
      <c r="H173" s="231"/>
      <c r="I173" s="231"/>
      <c r="N173" s="254"/>
      <c r="R173" s="231"/>
      <c r="S173" s="231"/>
      <c r="U173" s="231"/>
    </row>
    <row r="174" spans="1:24">
      <c r="A174" s="248" t="s">
        <v>105</v>
      </c>
      <c r="B174" s="249" t="s">
        <v>120</v>
      </c>
      <c r="C174" s="250" t="s">
        <v>192</v>
      </c>
      <c r="D174" s="300">
        <v>2040</v>
      </c>
      <c r="E174" s="289">
        <v>500</v>
      </c>
      <c r="F174" s="289">
        <v>500</v>
      </c>
      <c r="G174" s="47"/>
      <c r="H174" s="231"/>
      <c r="I174" s="231"/>
      <c r="N174" s="254"/>
      <c r="R174" s="231"/>
      <c r="S174" s="231"/>
      <c r="U174" s="231"/>
    </row>
    <row r="175" spans="1:24">
      <c r="A175" s="245" t="s">
        <v>106</v>
      </c>
      <c r="B175" s="231" t="s">
        <v>121</v>
      </c>
      <c r="C175" s="47" t="s">
        <v>183</v>
      </c>
      <c r="D175" s="46">
        <v>2030</v>
      </c>
      <c r="E175" s="271">
        <v>600</v>
      </c>
      <c r="F175" s="271">
        <v>600</v>
      </c>
      <c r="G175" s="47"/>
      <c r="H175" s="231"/>
      <c r="I175" s="231"/>
      <c r="N175" s="47"/>
      <c r="R175" s="231"/>
      <c r="S175" s="231"/>
      <c r="U175" s="231"/>
    </row>
    <row r="176" spans="1:24">
      <c r="A176" s="245" t="s">
        <v>106</v>
      </c>
      <c r="B176" s="231" t="s">
        <v>121</v>
      </c>
      <c r="C176" s="47" t="s">
        <v>179</v>
      </c>
      <c r="D176" s="46">
        <v>2040</v>
      </c>
      <c r="E176" s="271">
        <v>500</v>
      </c>
      <c r="F176" s="271">
        <v>500</v>
      </c>
      <c r="G176" s="47"/>
      <c r="H176" s="231"/>
      <c r="I176" s="231"/>
      <c r="N176" s="254"/>
      <c r="R176" s="231"/>
      <c r="S176" s="231"/>
      <c r="U176" s="231"/>
    </row>
    <row r="177" spans="1:21">
      <c r="A177" s="248" t="s">
        <v>106</v>
      </c>
      <c r="B177" s="249" t="s">
        <v>121</v>
      </c>
      <c r="C177" s="250" t="s">
        <v>181</v>
      </c>
      <c r="D177" s="300">
        <v>2040</v>
      </c>
      <c r="E177" s="289">
        <v>500</v>
      </c>
      <c r="F177" s="289">
        <v>500</v>
      </c>
      <c r="G177" s="47"/>
      <c r="H177" s="231"/>
      <c r="I177" s="231"/>
      <c r="N177" s="254"/>
      <c r="R177" s="231"/>
      <c r="S177" s="231"/>
      <c r="U177" s="231"/>
    </row>
    <row r="178" spans="1:21">
      <c r="A178" s="246" t="s">
        <v>105</v>
      </c>
      <c r="B178" s="240" t="s">
        <v>122</v>
      </c>
      <c r="C178" s="241" t="s">
        <v>183</v>
      </c>
      <c r="D178" s="302">
        <v>2035</v>
      </c>
      <c r="E178" s="287">
        <v>500</v>
      </c>
      <c r="F178" s="287">
        <v>500</v>
      </c>
      <c r="G178" s="47"/>
      <c r="H178" s="231"/>
      <c r="I178" s="231"/>
      <c r="N178" s="47"/>
      <c r="R178" s="231"/>
      <c r="S178" s="231"/>
      <c r="U178" s="231"/>
    </row>
    <row r="179" spans="1:21">
      <c r="A179" s="255" t="s">
        <v>99</v>
      </c>
      <c r="B179" s="256" t="s">
        <v>101</v>
      </c>
      <c r="C179" s="257" t="s">
        <v>179</v>
      </c>
      <c r="D179" s="303">
        <v>2030</v>
      </c>
      <c r="E179" s="286">
        <v>600</v>
      </c>
      <c r="F179" s="286">
        <v>600</v>
      </c>
      <c r="G179" s="47"/>
      <c r="H179" s="231"/>
      <c r="I179" s="231"/>
      <c r="N179" s="47"/>
      <c r="R179" s="231"/>
      <c r="S179" s="231"/>
      <c r="U179" s="231"/>
    </row>
    <row r="180" spans="1:21">
      <c r="A180" s="245" t="s">
        <v>101</v>
      </c>
      <c r="B180" s="231" t="s">
        <v>120</v>
      </c>
      <c r="C180" s="47" t="s">
        <v>179</v>
      </c>
      <c r="D180" s="46">
        <v>2040</v>
      </c>
      <c r="E180" s="271">
        <v>1000</v>
      </c>
      <c r="F180" s="271">
        <v>1000</v>
      </c>
      <c r="G180" s="47"/>
      <c r="H180" s="231"/>
      <c r="I180" s="231"/>
      <c r="N180" s="47"/>
      <c r="R180" s="231"/>
      <c r="S180" s="231"/>
      <c r="U180" s="231"/>
    </row>
    <row r="181" spans="1:21">
      <c r="A181" s="246" t="s">
        <v>101</v>
      </c>
      <c r="B181" s="240" t="s">
        <v>120</v>
      </c>
      <c r="C181" s="241" t="s">
        <v>181</v>
      </c>
      <c r="D181" s="302">
        <v>2040</v>
      </c>
      <c r="E181" s="287">
        <v>1000</v>
      </c>
      <c r="F181" s="287">
        <v>1000</v>
      </c>
      <c r="G181" s="47"/>
      <c r="H181" s="231"/>
      <c r="I181" s="231"/>
      <c r="N181" s="47"/>
      <c r="R181" s="231"/>
      <c r="S181" s="231"/>
      <c r="U181" s="231"/>
    </row>
    <row r="182" spans="1:21">
      <c r="A182" s="242" t="s">
        <v>117</v>
      </c>
      <c r="B182" s="243" t="s">
        <v>119</v>
      </c>
      <c r="C182" s="244" t="s">
        <v>179</v>
      </c>
      <c r="D182" s="299">
        <v>2040</v>
      </c>
      <c r="E182" s="288">
        <v>500</v>
      </c>
      <c r="F182" s="288">
        <v>500</v>
      </c>
      <c r="G182" s="47"/>
      <c r="H182" s="231"/>
      <c r="I182" s="231"/>
      <c r="N182" s="47"/>
    </row>
    <row r="183" spans="1:21">
      <c r="A183" s="246" t="s">
        <v>117</v>
      </c>
      <c r="B183" s="240" t="s">
        <v>119</v>
      </c>
      <c r="C183" s="241" t="s">
        <v>181</v>
      </c>
      <c r="D183" s="302">
        <v>2040</v>
      </c>
      <c r="E183" s="287">
        <v>500</v>
      </c>
      <c r="F183" s="287">
        <v>500</v>
      </c>
      <c r="G183" s="47"/>
      <c r="H183" s="231"/>
      <c r="I183" s="231"/>
      <c r="N183" s="47"/>
    </row>
    <row r="184" spans="1:21">
      <c r="A184" s="242" t="s">
        <v>117</v>
      </c>
      <c r="B184" s="243" t="s">
        <v>123</v>
      </c>
      <c r="C184" s="244" t="s">
        <v>183</v>
      </c>
      <c r="D184" s="299">
        <v>2035</v>
      </c>
      <c r="E184" s="288">
        <v>700</v>
      </c>
      <c r="F184" s="288">
        <v>700</v>
      </c>
      <c r="G184" s="47"/>
      <c r="H184" s="231"/>
      <c r="I184" s="231"/>
      <c r="N184" s="47"/>
    </row>
    <row r="185" spans="1:21">
      <c r="A185" s="245" t="s">
        <v>117</v>
      </c>
      <c r="B185" s="231" t="s">
        <v>123</v>
      </c>
      <c r="C185" s="47" t="s">
        <v>179</v>
      </c>
      <c r="D185" s="46">
        <v>2030</v>
      </c>
      <c r="E185" s="271">
        <v>700</v>
      </c>
      <c r="F185" s="271">
        <v>700</v>
      </c>
      <c r="G185" s="47"/>
      <c r="H185" s="231"/>
      <c r="I185" s="231"/>
      <c r="N185" s="47"/>
    </row>
    <row r="186" spans="1:21">
      <c r="A186" s="246" t="s">
        <v>117</v>
      </c>
      <c r="B186" s="240" t="s">
        <v>123</v>
      </c>
      <c r="C186" s="241" t="s">
        <v>181</v>
      </c>
      <c r="D186" s="302">
        <v>2040</v>
      </c>
      <c r="E186" s="287">
        <v>700</v>
      </c>
      <c r="F186" s="287">
        <v>700</v>
      </c>
      <c r="G186" s="47"/>
      <c r="H186" s="231"/>
      <c r="I186" s="231"/>
      <c r="N186" s="47"/>
    </row>
    <row r="187" spans="1:21">
      <c r="A187" s="242" t="s">
        <v>121</v>
      </c>
      <c r="B187" s="243" t="s">
        <v>122</v>
      </c>
      <c r="C187" s="244" t="s">
        <v>179</v>
      </c>
      <c r="D187" s="299">
        <v>2030</v>
      </c>
      <c r="E187" s="288">
        <v>500</v>
      </c>
      <c r="F187" s="288">
        <v>500</v>
      </c>
      <c r="G187" s="47"/>
      <c r="H187" s="231"/>
      <c r="I187" s="231"/>
      <c r="N187" s="254"/>
    </row>
    <row r="188" spans="1:21">
      <c r="A188" s="245" t="s">
        <v>121</v>
      </c>
      <c r="B188" s="231" t="s">
        <v>122</v>
      </c>
      <c r="C188" s="47" t="s">
        <v>181</v>
      </c>
      <c r="D188" s="46">
        <v>2030</v>
      </c>
      <c r="E188" s="271">
        <v>500</v>
      </c>
      <c r="F188" s="271">
        <v>500</v>
      </c>
      <c r="G188" s="47"/>
      <c r="H188" s="231"/>
      <c r="I188" s="231"/>
      <c r="N188" s="254"/>
    </row>
    <row r="189" spans="1:21">
      <c r="A189" s="246" t="s">
        <v>121</v>
      </c>
      <c r="B189" s="240" t="s">
        <v>122</v>
      </c>
      <c r="C189" s="241" t="s">
        <v>190</v>
      </c>
      <c r="D189" s="302">
        <v>2030</v>
      </c>
      <c r="E189" s="287">
        <v>500</v>
      </c>
      <c r="F189" s="287">
        <v>500</v>
      </c>
      <c r="G189" s="47"/>
      <c r="H189" s="231"/>
      <c r="I189" s="231"/>
      <c r="N189" s="254"/>
    </row>
    <row r="190" spans="1:21">
      <c r="A190" s="242" t="s">
        <v>122</v>
      </c>
      <c r="B190" s="243" t="s">
        <v>123</v>
      </c>
      <c r="C190" s="244" t="s">
        <v>183</v>
      </c>
      <c r="D190" s="299">
        <v>2035</v>
      </c>
      <c r="E190" s="288">
        <v>1000</v>
      </c>
      <c r="F190" s="288">
        <v>1000</v>
      </c>
      <c r="G190" s="47"/>
      <c r="H190" s="231"/>
      <c r="I190" s="231"/>
      <c r="N190" s="47"/>
    </row>
    <row r="191" spans="1:21">
      <c r="A191" s="245" t="s">
        <v>122</v>
      </c>
      <c r="B191" s="231" t="s">
        <v>123</v>
      </c>
      <c r="C191" s="47" t="s">
        <v>179</v>
      </c>
      <c r="D191" s="46">
        <v>2030</v>
      </c>
      <c r="E191" s="271">
        <v>1000</v>
      </c>
      <c r="F191" s="271">
        <v>1000</v>
      </c>
      <c r="G191" s="47"/>
      <c r="H191" s="231"/>
      <c r="I191" s="231"/>
      <c r="N191" s="47"/>
    </row>
    <row r="192" spans="1:21">
      <c r="A192" s="246" t="s">
        <v>122</v>
      </c>
      <c r="B192" s="240" t="s">
        <v>123</v>
      </c>
      <c r="C192" s="241" t="s">
        <v>181</v>
      </c>
      <c r="D192" s="302">
        <v>2040</v>
      </c>
      <c r="E192" s="287">
        <v>1000</v>
      </c>
      <c r="F192" s="287">
        <v>1000</v>
      </c>
      <c r="G192" s="47"/>
      <c r="H192" s="231"/>
      <c r="I192" s="231"/>
      <c r="N192" s="47"/>
    </row>
    <row r="195" spans="1:4">
      <c r="A195" s="281" t="s">
        <v>471</v>
      </c>
      <c r="B195" s="227"/>
      <c r="C195" s="227"/>
      <c r="D195" s="227"/>
    </row>
    <row r="196" spans="1:4">
      <c r="A196" s="258" t="s">
        <v>26</v>
      </c>
      <c r="B196" s="259" t="s">
        <v>126</v>
      </c>
      <c r="C196" s="293">
        <f>SUM(E78:E79)</f>
        <v>2000</v>
      </c>
      <c r="D196" s="293"/>
    </row>
    <row r="197" spans="1:4">
      <c r="A197" s="260" t="s">
        <v>26</v>
      </c>
      <c r="B197" s="48" t="s">
        <v>75</v>
      </c>
      <c r="C197" s="280">
        <f>E80</f>
        <v>1400</v>
      </c>
      <c r="D197" s="280"/>
    </row>
    <row r="198" spans="1:4">
      <c r="A198" s="260" t="s">
        <v>26</v>
      </c>
      <c r="B198" s="48" t="s">
        <v>138</v>
      </c>
      <c r="C198" s="280">
        <f>SUM(E81:E82)</f>
        <v>4000</v>
      </c>
      <c r="D198" s="280"/>
    </row>
    <row r="199" spans="1:4">
      <c r="A199" s="260" t="s">
        <v>26</v>
      </c>
      <c r="B199" s="48" t="s">
        <v>129</v>
      </c>
      <c r="C199" s="280">
        <f>SUM(E83:E85)</f>
        <v>3000</v>
      </c>
      <c r="D199" s="280"/>
    </row>
    <row r="200" spans="1:4">
      <c r="A200" s="260" t="s">
        <v>26</v>
      </c>
      <c r="B200" s="48" t="s">
        <v>130</v>
      </c>
      <c r="C200" s="280">
        <f>SUM(E86:E88)</f>
        <v>3000</v>
      </c>
      <c r="D200" s="280"/>
    </row>
    <row r="201" spans="1:4">
      <c r="A201" s="260" t="s">
        <v>26</v>
      </c>
      <c r="B201" s="48" t="s">
        <v>131</v>
      </c>
      <c r="C201" s="280">
        <f>SUM(E89:E95)</f>
        <v>3700</v>
      </c>
      <c r="D201" s="280"/>
    </row>
    <row r="202" spans="1:4">
      <c r="A202" s="260" t="s">
        <v>26</v>
      </c>
      <c r="B202" s="48" t="s">
        <v>132</v>
      </c>
      <c r="C202" s="280">
        <f>SUM(E96:E102)</f>
        <v>5000</v>
      </c>
      <c r="D202" s="280"/>
    </row>
    <row r="203" spans="1:4">
      <c r="A203" s="261" t="s">
        <v>26</v>
      </c>
      <c r="B203" s="262" t="s">
        <v>134</v>
      </c>
      <c r="C203" s="294">
        <f>SUM(E103:E104)</f>
        <v>2000</v>
      </c>
      <c r="D203" s="294">
        <f>SUM(C196:C203)</f>
        <v>24100</v>
      </c>
    </row>
    <row r="204" spans="1:4">
      <c r="A204" s="263" t="s">
        <v>126</v>
      </c>
      <c r="B204" s="234" t="s">
        <v>75</v>
      </c>
      <c r="C204" s="295">
        <f>SUM(E105:E107)</f>
        <v>3850</v>
      </c>
      <c r="D204" s="295"/>
    </row>
    <row r="205" spans="1:4">
      <c r="A205" s="260" t="s">
        <v>126</v>
      </c>
      <c r="B205" s="48" t="s">
        <v>127</v>
      </c>
      <c r="C205" s="280">
        <f>SUM(E108:E111)</f>
        <v>6000</v>
      </c>
      <c r="D205" s="280"/>
    </row>
    <row r="206" spans="1:4">
      <c r="A206" s="260" t="s">
        <v>126</v>
      </c>
      <c r="B206" s="48" t="s">
        <v>130</v>
      </c>
      <c r="C206" s="280">
        <f>SUM(E112:E114)</f>
        <v>3000</v>
      </c>
      <c r="D206" s="280"/>
    </row>
    <row r="207" spans="1:4">
      <c r="A207" s="264" t="s">
        <v>75</v>
      </c>
      <c r="B207" s="233" t="s">
        <v>129</v>
      </c>
      <c r="C207" s="296">
        <f>SUM(E115:E116)</f>
        <v>2000</v>
      </c>
      <c r="D207" s="295"/>
    </row>
    <row r="208" spans="1:4">
      <c r="A208" s="265" t="s">
        <v>75</v>
      </c>
      <c r="B208" s="39" t="s">
        <v>130</v>
      </c>
      <c r="C208" s="72">
        <f>SUM(E117:E131)</f>
        <v>15800</v>
      </c>
      <c r="D208" s="280"/>
    </row>
    <row r="209" spans="1:21">
      <c r="A209" s="265" t="s">
        <v>75</v>
      </c>
      <c r="B209" s="39" t="s">
        <v>132</v>
      </c>
      <c r="C209" s="72">
        <f>E119</f>
        <v>1400</v>
      </c>
      <c r="D209" s="280"/>
      <c r="R209" s="231"/>
      <c r="S209" s="231"/>
      <c r="U209" s="231"/>
    </row>
    <row r="210" spans="1:21">
      <c r="A210" s="265" t="s">
        <v>75</v>
      </c>
      <c r="B210" s="39" t="s">
        <v>134</v>
      </c>
      <c r="C210" s="72">
        <f>SUM(E120:E121)</f>
        <v>2000</v>
      </c>
      <c r="D210" s="280"/>
      <c r="R210" s="231"/>
      <c r="S210" s="231"/>
      <c r="U210" s="231"/>
    </row>
    <row r="211" spans="1:21">
      <c r="A211" s="263" t="s">
        <v>128</v>
      </c>
      <c r="B211" s="234" t="s">
        <v>131</v>
      </c>
      <c r="C211" s="295">
        <f>SUM(E122:E123)</f>
        <v>1000</v>
      </c>
      <c r="D211" s="295"/>
      <c r="R211" s="231"/>
      <c r="S211" s="231"/>
      <c r="U211" s="231"/>
    </row>
    <row r="212" spans="1:21">
      <c r="A212" s="266" t="s">
        <v>129</v>
      </c>
      <c r="B212" s="267" t="s">
        <v>130</v>
      </c>
      <c r="C212" s="297">
        <f>SUM(E124:E127)</f>
        <v>4000</v>
      </c>
      <c r="D212" s="297">
        <f>SUM(C199,C207,C212)</f>
        <v>9000</v>
      </c>
      <c r="R212" s="231"/>
      <c r="S212" s="231"/>
      <c r="U212" s="231"/>
    </row>
    <row r="213" spans="1:21">
      <c r="A213" s="263" t="s">
        <v>131</v>
      </c>
      <c r="B213" s="234" t="s">
        <v>132</v>
      </c>
      <c r="C213" s="295">
        <f>SUM(E140:E150)</f>
        <v>5700</v>
      </c>
      <c r="D213" s="295"/>
      <c r="R213" s="231"/>
      <c r="S213" s="231"/>
      <c r="U213" s="231"/>
    </row>
    <row r="214" spans="1:21">
      <c r="A214" s="260" t="s">
        <v>131</v>
      </c>
      <c r="B214" s="48" t="s">
        <v>133</v>
      </c>
      <c r="C214" s="280">
        <f>SUM(E151:E164)</f>
        <v>8900</v>
      </c>
      <c r="D214" s="280"/>
      <c r="R214" s="231"/>
      <c r="S214" s="231"/>
      <c r="U214" s="231"/>
    </row>
    <row r="215" spans="1:21">
      <c r="A215" s="260" t="s">
        <v>131</v>
      </c>
      <c r="B215" s="48" t="s">
        <v>134</v>
      </c>
      <c r="C215" s="280">
        <f>SUM(E165:E177)</f>
        <v>6600</v>
      </c>
      <c r="D215" s="280"/>
      <c r="R215" s="231"/>
      <c r="S215" s="231"/>
      <c r="U215" s="231"/>
    </row>
    <row r="216" spans="1:21">
      <c r="A216" s="261" t="s">
        <v>131</v>
      </c>
      <c r="B216" s="262" t="s">
        <v>136</v>
      </c>
      <c r="C216" s="294">
        <f>E178</f>
        <v>500</v>
      </c>
      <c r="D216" s="294">
        <f>SUM(C201,C211,C213:C216)</f>
        <v>26400</v>
      </c>
      <c r="R216" s="231"/>
      <c r="S216" s="231"/>
      <c r="U216" s="231"/>
    </row>
    <row r="217" spans="1:21">
      <c r="A217" s="266" t="s">
        <v>132</v>
      </c>
      <c r="B217" s="267" t="s">
        <v>134</v>
      </c>
      <c r="C217" s="297">
        <f>SUM(E180:E181)</f>
        <v>2000</v>
      </c>
      <c r="D217" s="297">
        <f>SUM(C202,C209,C213,C217)</f>
        <v>14100</v>
      </c>
      <c r="R217" s="231"/>
      <c r="S217" s="231"/>
      <c r="U217" s="231"/>
    </row>
    <row r="218" spans="1:21">
      <c r="A218" s="263" t="s">
        <v>133</v>
      </c>
      <c r="B218" s="234" t="s">
        <v>134</v>
      </c>
      <c r="C218" s="295">
        <f>SUM(E182:E183)</f>
        <v>1000</v>
      </c>
      <c r="D218" s="295"/>
      <c r="R218" s="231"/>
      <c r="S218" s="231"/>
      <c r="U218" s="231"/>
    </row>
    <row r="219" spans="1:21">
      <c r="A219" s="261" t="s">
        <v>133</v>
      </c>
      <c r="B219" s="262" t="s">
        <v>137</v>
      </c>
      <c r="C219" s="294">
        <f>SUM(E184:E186)</f>
        <v>2100</v>
      </c>
      <c r="D219" s="294">
        <f>SUM(C214,C218:C219)</f>
        <v>12000</v>
      </c>
      <c r="R219" s="231"/>
      <c r="S219" s="231"/>
      <c r="U219" s="231"/>
    </row>
    <row r="220" spans="1:21">
      <c r="A220" s="266" t="s">
        <v>135</v>
      </c>
      <c r="B220" s="267" t="s">
        <v>136</v>
      </c>
      <c r="C220" s="297">
        <f>SUM(E187:E189)</f>
        <v>1500</v>
      </c>
      <c r="D220" s="297">
        <f>C220</f>
        <v>1500</v>
      </c>
      <c r="R220" s="231"/>
      <c r="S220" s="231"/>
      <c r="U220" s="231"/>
    </row>
    <row r="221" spans="1:21">
      <c r="A221" s="268" t="s">
        <v>136</v>
      </c>
      <c r="B221" s="269" t="s">
        <v>137</v>
      </c>
      <c r="C221" s="298">
        <f>SUM(E190:E192)</f>
        <v>3000</v>
      </c>
      <c r="D221" s="298">
        <f>SUM(C219,C221)</f>
        <v>5100</v>
      </c>
      <c r="R221" s="231"/>
      <c r="S221" s="231"/>
      <c r="U221" s="231"/>
    </row>
    <row r="222" spans="1:21">
      <c r="C222" s="72"/>
      <c r="D222" s="72">
        <f>SUM(D196:D221)</f>
        <v>92200</v>
      </c>
    </row>
  </sheetData>
  <autoFilter ref="T12:Y53" xr:uid="{9C591483-C946-493E-8937-403CF23A1352}"/>
  <mergeCells count="26">
    <mergeCell ref="C7:X7"/>
    <mergeCell ref="A5:B5"/>
    <mergeCell ref="C5:X5"/>
    <mergeCell ref="A1:B1"/>
    <mergeCell ref="A4:B4"/>
    <mergeCell ref="A3:B3"/>
    <mergeCell ref="C1:X1"/>
    <mergeCell ref="C4:X4"/>
    <mergeCell ref="C3:X3"/>
    <mergeCell ref="A2:B2"/>
    <mergeCell ref="C2:X2"/>
    <mergeCell ref="A6:B7"/>
    <mergeCell ref="C6:X6"/>
    <mergeCell ref="A8:B8"/>
    <mergeCell ref="C8:X8"/>
    <mergeCell ref="O76:S76"/>
    <mergeCell ref="A76:F76"/>
    <mergeCell ref="H10:M10"/>
    <mergeCell ref="O10:R10"/>
    <mergeCell ref="X11:Y11"/>
    <mergeCell ref="U11:W11"/>
    <mergeCell ref="T10:Y10"/>
    <mergeCell ref="H76:M76"/>
    <mergeCell ref="C11:D11"/>
    <mergeCell ref="A10:F10"/>
    <mergeCell ref="E11:F11"/>
  </mergeCells>
  <phoneticPr fontId="20" type="noConversion"/>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containsText" priority="1" operator="containsText" id="{2C076CDD-CBE1-4E21-B9AF-F321D6B1A2FC}">
            <xm:f>NOT(ISERROR(SEARCH(CHAR(3),A78)))</xm:f>
            <xm:f>CHAR(3)</xm:f>
            <x14:dxf>
              <font>
                <color rgb="FF9C0006"/>
              </font>
              <fill>
                <patternFill>
                  <bgColor rgb="FFFFC7CE"/>
                </patternFill>
              </fill>
            </x14:dxf>
          </x14:cfRule>
          <xm:sqref>A78</xm:sqref>
        </x14:conditionalFormatting>
        <x14:conditionalFormatting xmlns:xm="http://schemas.microsoft.com/office/excel/2006/main">
          <x14:cfRule type="containsText" priority="2" operator="containsText" id="{F084F4C3-AA8E-442F-8202-86A395C74311}">
            <xm:f>NOT(ISERROR(SEARCH(CHAR(3),A196)))</xm:f>
            <xm:f>CHAR(3)</xm:f>
            <x14:dxf>
              <font>
                <color rgb="FF9C0006"/>
              </font>
              <fill>
                <patternFill>
                  <bgColor rgb="FFFFC7CE"/>
                </patternFill>
              </fill>
            </x14:dxf>
          </x14:cfRule>
          <xm:sqref>A196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4B9F9-A407-4CD0-BE23-B680C42F5989}">
  <sheetPr>
    <tabColor theme="9" tint="0.59999389629810485"/>
  </sheetPr>
  <dimension ref="A1:X141"/>
  <sheetViews>
    <sheetView showZeros="0" zoomScaleNormal="100" workbookViewId="0">
      <selection activeCell="C8" sqref="C8:T8"/>
    </sheetView>
  </sheetViews>
  <sheetFormatPr defaultColWidth="9.140625" defaultRowHeight="15"/>
  <cols>
    <col min="1" max="2" width="7.140625" style="39" customWidth="1"/>
    <col min="3" max="6" width="7.42578125" style="39" bestFit="1" customWidth="1"/>
    <col min="7" max="7" width="6.85546875" style="39" bestFit="1" customWidth="1"/>
    <col min="8" max="9" width="7.140625" style="39" customWidth="1"/>
    <col min="10" max="15" width="6.5703125" style="39" customWidth="1"/>
    <col min="16" max="19" width="6.7109375" style="39" customWidth="1"/>
    <col min="20" max="16384" width="9.140625" style="39"/>
  </cols>
  <sheetData>
    <row r="1" spans="1:24">
      <c r="A1" s="620" t="s">
        <v>514</v>
      </c>
      <c r="B1" s="620"/>
      <c r="C1" s="620" t="s">
        <v>499</v>
      </c>
      <c r="D1" s="620"/>
      <c r="E1" s="620"/>
      <c r="F1" s="620"/>
      <c r="G1" s="620"/>
      <c r="H1" s="620"/>
      <c r="I1" s="620"/>
      <c r="J1" s="620"/>
      <c r="K1" s="620"/>
      <c r="L1" s="620"/>
      <c r="M1" s="620"/>
      <c r="N1" s="620"/>
      <c r="O1" s="620"/>
      <c r="P1" s="620"/>
      <c r="Q1" s="620"/>
      <c r="R1" s="620"/>
      <c r="S1" s="620"/>
      <c r="T1" s="620"/>
    </row>
    <row r="2" spans="1:24">
      <c r="A2" s="620" t="s">
        <v>494</v>
      </c>
      <c r="B2" s="620"/>
      <c r="C2" s="620" t="s">
        <v>517</v>
      </c>
      <c r="D2" s="620"/>
      <c r="E2" s="620"/>
      <c r="F2" s="620"/>
      <c r="G2" s="620"/>
      <c r="H2" s="620"/>
      <c r="I2" s="620"/>
      <c r="J2" s="620"/>
      <c r="K2" s="620"/>
      <c r="L2" s="620"/>
      <c r="M2" s="620"/>
      <c r="N2" s="620"/>
      <c r="O2" s="620"/>
      <c r="P2" s="620"/>
      <c r="Q2" s="620"/>
      <c r="R2" s="620"/>
      <c r="S2" s="620"/>
      <c r="T2" s="620"/>
    </row>
    <row r="3" spans="1:24" ht="14.45" customHeight="1">
      <c r="A3" s="620" t="s">
        <v>166</v>
      </c>
      <c r="B3" s="620"/>
      <c r="C3" s="623" t="s">
        <v>512</v>
      </c>
      <c r="D3" s="623"/>
      <c r="E3" s="623"/>
      <c r="F3" s="623"/>
      <c r="G3" s="623"/>
      <c r="H3" s="623"/>
      <c r="I3" s="623"/>
      <c r="J3" s="623"/>
      <c r="K3" s="623"/>
      <c r="L3" s="623"/>
      <c r="M3" s="623"/>
      <c r="N3" s="623"/>
      <c r="O3" s="623"/>
      <c r="P3" s="623"/>
      <c r="Q3" s="623"/>
      <c r="R3" s="623"/>
      <c r="S3" s="623"/>
      <c r="T3" s="623"/>
      <c r="U3" s="22"/>
      <c r="V3" s="22"/>
      <c r="W3" s="22"/>
      <c r="X3" s="20"/>
    </row>
    <row r="4" spans="1:24" ht="15" customHeight="1">
      <c r="A4" s="625" t="s">
        <v>167</v>
      </c>
      <c r="B4" s="625"/>
      <c r="C4" s="625" t="s">
        <v>168</v>
      </c>
      <c r="D4" s="625"/>
      <c r="E4" s="625"/>
      <c r="F4" s="625"/>
      <c r="G4" s="625"/>
      <c r="H4" s="625"/>
      <c r="I4" s="625"/>
      <c r="J4" s="625"/>
      <c r="K4" s="625"/>
      <c r="L4" s="625"/>
      <c r="M4" s="625"/>
      <c r="N4" s="625"/>
      <c r="O4" s="625"/>
      <c r="P4" s="625"/>
      <c r="Q4" s="625"/>
      <c r="R4" s="625"/>
      <c r="S4" s="625"/>
      <c r="T4" s="625"/>
    </row>
    <row r="5" spans="1:24" ht="43.9" customHeight="1">
      <c r="A5" s="619" t="s">
        <v>169</v>
      </c>
      <c r="B5" s="619"/>
      <c r="C5" s="619" t="s">
        <v>513</v>
      </c>
      <c r="D5" s="619"/>
      <c r="E5" s="619"/>
      <c r="F5" s="619"/>
      <c r="G5" s="619"/>
      <c r="H5" s="619"/>
      <c r="I5" s="619"/>
      <c r="J5" s="619"/>
      <c r="K5" s="619"/>
      <c r="L5" s="619"/>
      <c r="M5" s="619"/>
      <c r="N5" s="619"/>
      <c r="O5" s="619"/>
      <c r="P5" s="619"/>
      <c r="Q5" s="619"/>
      <c r="R5" s="619"/>
      <c r="S5" s="619"/>
      <c r="T5" s="619"/>
    </row>
    <row r="6" spans="1:24" ht="30.6" customHeight="1">
      <c r="A6" s="619" t="s">
        <v>497</v>
      </c>
      <c r="B6" s="619"/>
      <c r="C6" s="619" t="s">
        <v>519</v>
      </c>
      <c r="D6" s="619"/>
      <c r="E6" s="619"/>
      <c r="F6" s="619"/>
      <c r="G6" s="619"/>
      <c r="H6" s="619"/>
      <c r="I6" s="619"/>
      <c r="J6" s="619"/>
      <c r="K6" s="619"/>
      <c r="L6" s="619"/>
      <c r="M6" s="619"/>
      <c r="N6" s="619"/>
      <c r="O6" s="619"/>
      <c r="P6" s="619"/>
      <c r="Q6" s="619"/>
      <c r="R6" s="619"/>
      <c r="S6" s="619"/>
      <c r="T6" s="619"/>
    </row>
    <row r="7" spans="1:24" ht="61.5" customHeight="1">
      <c r="A7" s="619" t="s">
        <v>511</v>
      </c>
      <c r="B7" s="619"/>
      <c r="C7" s="619" t="s">
        <v>518</v>
      </c>
      <c r="D7" s="619"/>
      <c r="E7" s="619"/>
      <c r="F7" s="619"/>
      <c r="G7" s="619"/>
      <c r="H7" s="619"/>
      <c r="I7" s="619"/>
      <c r="J7" s="619"/>
      <c r="K7" s="619"/>
      <c r="L7" s="619"/>
      <c r="M7" s="619"/>
      <c r="N7" s="619"/>
      <c r="O7" s="619"/>
      <c r="P7" s="619"/>
      <c r="Q7" s="619"/>
      <c r="R7" s="619"/>
      <c r="S7" s="619"/>
      <c r="T7" s="619"/>
    </row>
    <row r="8" spans="1:24">
      <c r="A8" s="624" t="s">
        <v>704</v>
      </c>
      <c r="B8" s="624"/>
      <c r="C8" s="614" t="s">
        <v>706</v>
      </c>
      <c r="D8" s="614"/>
      <c r="E8" s="614"/>
      <c r="F8" s="614"/>
      <c r="G8" s="614"/>
      <c r="H8" s="614"/>
      <c r="I8" s="614"/>
      <c r="J8" s="614"/>
      <c r="K8" s="614"/>
      <c r="L8" s="614"/>
      <c r="M8" s="614"/>
      <c r="N8" s="614"/>
      <c r="O8" s="614"/>
      <c r="P8" s="614"/>
      <c r="Q8" s="614"/>
      <c r="R8" s="614"/>
      <c r="S8" s="614"/>
      <c r="T8" s="614"/>
      <c r="U8" s="587"/>
      <c r="V8" s="587"/>
      <c r="W8" s="587"/>
      <c r="X8" s="587"/>
    </row>
    <row r="10" spans="1:24">
      <c r="A10" s="592" t="s">
        <v>515</v>
      </c>
      <c r="B10" s="592"/>
      <c r="C10" s="592"/>
      <c r="D10" s="592"/>
      <c r="F10" s="592" t="s">
        <v>501</v>
      </c>
      <c r="G10" s="592"/>
      <c r="H10" s="592"/>
      <c r="I10" s="592"/>
      <c r="J10" s="592"/>
      <c r="L10" s="592" t="s">
        <v>510</v>
      </c>
      <c r="M10" s="592"/>
      <c r="N10" s="592"/>
      <c r="O10" s="592"/>
      <c r="Q10" s="592" t="s">
        <v>511</v>
      </c>
      <c r="R10" s="592"/>
      <c r="S10" s="592"/>
      <c r="T10" s="592"/>
    </row>
    <row r="11" spans="1:24">
      <c r="A11" s="21" t="s">
        <v>172</v>
      </c>
      <c r="B11" s="21" t="s">
        <v>173</v>
      </c>
      <c r="C11" s="21" t="s">
        <v>174</v>
      </c>
      <c r="D11" s="21" t="s">
        <v>175</v>
      </c>
      <c r="F11" s="44" t="s">
        <v>172</v>
      </c>
      <c r="G11" s="44" t="s">
        <v>173</v>
      </c>
      <c r="H11" s="312" t="s">
        <v>177</v>
      </c>
      <c r="I11" s="44" t="s">
        <v>174</v>
      </c>
      <c r="J11" s="44" t="s">
        <v>175</v>
      </c>
      <c r="K11" s="45"/>
      <c r="L11" s="21" t="s">
        <v>172</v>
      </c>
      <c r="M11" s="21" t="s">
        <v>173</v>
      </c>
      <c r="N11" s="21" t="s">
        <v>174</v>
      </c>
      <c r="O11" s="21" t="s">
        <v>175</v>
      </c>
      <c r="Q11" s="21" t="s">
        <v>172</v>
      </c>
      <c r="R11" s="21" t="s">
        <v>173</v>
      </c>
      <c r="S11" s="21" t="s">
        <v>174</v>
      </c>
      <c r="T11" s="21" t="s">
        <v>175</v>
      </c>
    </row>
    <row r="12" spans="1:24">
      <c r="A12" s="81" t="s">
        <v>26</v>
      </c>
      <c r="B12" s="39" t="s">
        <v>126</v>
      </c>
      <c r="C12" s="115">
        <v>8000</v>
      </c>
      <c r="D12" s="115">
        <v>8500</v>
      </c>
      <c r="F12" s="45" t="s">
        <v>26</v>
      </c>
      <c r="G12" s="45" t="s">
        <v>126</v>
      </c>
      <c r="H12" s="46">
        <v>2030</v>
      </c>
      <c r="I12" s="271">
        <v>2125</v>
      </c>
      <c r="J12" s="271">
        <v>1625</v>
      </c>
      <c r="K12" s="231"/>
      <c r="L12" s="39" t="s">
        <v>26</v>
      </c>
      <c r="M12" s="39" t="s">
        <v>126</v>
      </c>
      <c r="N12" s="115">
        <f t="shared" ref="N12:O15" si="0">C12</f>
        <v>8000</v>
      </c>
      <c r="O12" s="115">
        <f t="shared" si="0"/>
        <v>8500</v>
      </c>
      <c r="Q12" s="39" t="s">
        <v>26</v>
      </c>
      <c r="R12" s="39" t="s">
        <v>126</v>
      </c>
      <c r="S12" s="570">
        <f>N12</f>
        <v>8000</v>
      </c>
      <c r="T12" s="570">
        <f>O12</f>
        <v>8500</v>
      </c>
    </row>
    <row r="13" spans="1:24">
      <c r="A13" s="81" t="s">
        <v>26</v>
      </c>
      <c r="B13" s="39" t="s">
        <v>128</v>
      </c>
      <c r="C13" s="115">
        <v>4170</v>
      </c>
      <c r="D13" s="115">
        <v>8330</v>
      </c>
      <c r="F13" s="45" t="s">
        <v>26</v>
      </c>
      <c r="G13" s="45" t="s">
        <v>128</v>
      </c>
      <c r="H13" s="46">
        <v>2030</v>
      </c>
      <c r="I13" s="271">
        <v>833</v>
      </c>
      <c r="J13" s="271">
        <v>0</v>
      </c>
      <c r="K13" s="231"/>
      <c r="L13" s="39" t="s">
        <v>26</v>
      </c>
      <c r="M13" s="39" t="s">
        <v>128</v>
      </c>
      <c r="N13" s="115">
        <f t="shared" si="0"/>
        <v>4170</v>
      </c>
      <c r="O13" s="115">
        <f t="shared" si="0"/>
        <v>8330</v>
      </c>
      <c r="Q13" s="39" t="s">
        <v>26</v>
      </c>
      <c r="R13" s="39" t="s">
        <v>128</v>
      </c>
      <c r="S13" s="570">
        <f t="shared" ref="S13:T16" si="1">N13</f>
        <v>4170</v>
      </c>
      <c r="T13" s="570">
        <f t="shared" si="1"/>
        <v>8330</v>
      </c>
    </row>
    <row r="14" spans="1:24">
      <c r="A14" s="81" t="s">
        <v>26</v>
      </c>
      <c r="B14" s="39" t="s">
        <v>129</v>
      </c>
      <c r="C14" s="115">
        <v>500</v>
      </c>
      <c r="D14" s="115">
        <v>15630</v>
      </c>
      <c r="F14" s="45" t="s">
        <v>26</v>
      </c>
      <c r="G14" s="45" t="s">
        <v>128</v>
      </c>
      <c r="H14" s="46">
        <v>2040</v>
      </c>
      <c r="I14" s="271">
        <v>4464</v>
      </c>
      <c r="J14" s="271">
        <v>1131</v>
      </c>
      <c r="K14" s="231"/>
      <c r="L14" s="39" t="s">
        <v>26</v>
      </c>
      <c r="M14" s="39" t="s">
        <v>129</v>
      </c>
      <c r="N14" s="115">
        <f t="shared" si="0"/>
        <v>500</v>
      </c>
      <c r="O14" s="115">
        <f t="shared" si="0"/>
        <v>15630</v>
      </c>
      <c r="Q14" s="39" t="s">
        <v>26</v>
      </c>
      <c r="R14" s="39" t="s">
        <v>129</v>
      </c>
      <c r="S14" s="570">
        <f t="shared" si="1"/>
        <v>500</v>
      </c>
      <c r="T14" s="570">
        <f t="shared" si="1"/>
        <v>15630</v>
      </c>
    </row>
    <row r="15" spans="1:24">
      <c r="A15" s="81" t="s">
        <v>26</v>
      </c>
      <c r="B15" s="39" t="s">
        <v>130</v>
      </c>
      <c r="C15" s="115">
        <v>3790</v>
      </c>
      <c r="D15" s="115">
        <v>3790</v>
      </c>
      <c r="F15" s="45" t="s">
        <v>26</v>
      </c>
      <c r="G15" s="45" t="s">
        <v>129</v>
      </c>
      <c r="H15" s="46">
        <v>2040</v>
      </c>
      <c r="I15" s="271">
        <v>7467</v>
      </c>
      <c r="J15" s="271">
        <v>7458</v>
      </c>
      <c r="K15" s="231"/>
      <c r="L15" s="39" t="s">
        <v>26</v>
      </c>
      <c r="M15" s="39" t="s">
        <v>130</v>
      </c>
      <c r="N15" s="115">
        <f t="shared" si="0"/>
        <v>3790</v>
      </c>
      <c r="O15" s="115">
        <f t="shared" si="0"/>
        <v>3790</v>
      </c>
      <c r="Q15" s="39" t="s">
        <v>26</v>
      </c>
      <c r="R15" s="39" t="s">
        <v>130</v>
      </c>
      <c r="S15" s="570">
        <f t="shared" si="1"/>
        <v>3790</v>
      </c>
      <c r="T15" s="570">
        <f t="shared" si="1"/>
        <v>3790</v>
      </c>
    </row>
    <row r="16" spans="1:24">
      <c r="A16" s="81" t="s">
        <v>26</v>
      </c>
      <c r="B16" s="39" t="s">
        <v>132</v>
      </c>
      <c r="C16" s="115">
        <v>2100</v>
      </c>
      <c r="D16" s="115">
        <v>2100</v>
      </c>
      <c r="F16" s="45" t="s">
        <v>26</v>
      </c>
      <c r="G16" s="45" t="s">
        <v>129</v>
      </c>
      <c r="H16" s="46">
        <v>2030</v>
      </c>
      <c r="I16" s="271">
        <v>15333</v>
      </c>
      <c r="J16" s="271">
        <v>208</v>
      </c>
      <c r="K16" s="231"/>
      <c r="L16" s="39" t="s">
        <v>26</v>
      </c>
      <c r="M16" s="39" t="s">
        <v>132</v>
      </c>
      <c r="N16" s="314">
        <f>C16+I18</f>
        <v>7892</v>
      </c>
      <c r="O16" s="314">
        <f>D16+J18</f>
        <v>7892</v>
      </c>
      <c r="Q16" s="39" t="s">
        <v>26</v>
      </c>
      <c r="R16" s="39" t="s">
        <v>101</v>
      </c>
      <c r="S16" s="550">
        <f t="shared" si="1"/>
        <v>7892</v>
      </c>
      <c r="T16" s="550">
        <f t="shared" si="1"/>
        <v>7892</v>
      </c>
    </row>
    <row r="17" spans="1:20">
      <c r="A17" s="306" t="s">
        <v>26</v>
      </c>
      <c r="B17" s="232" t="s">
        <v>187</v>
      </c>
      <c r="C17" s="276">
        <v>21000</v>
      </c>
      <c r="D17" s="276">
        <v>21000</v>
      </c>
      <c r="F17" s="45" t="s">
        <v>26</v>
      </c>
      <c r="G17" s="45" t="s">
        <v>130</v>
      </c>
      <c r="H17" s="46">
        <v>2040</v>
      </c>
      <c r="I17" s="271">
        <v>1208</v>
      </c>
      <c r="J17" s="271">
        <v>1208</v>
      </c>
      <c r="K17" s="231"/>
      <c r="L17" s="232" t="s">
        <v>26</v>
      </c>
      <c r="M17" s="232" t="s">
        <v>187</v>
      </c>
      <c r="N17" s="276">
        <f t="shared" ref="N17:O19" si="2">C17</f>
        <v>21000</v>
      </c>
      <c r="O17" s="276">
        <f t="shared" si="2"/>
        <v>21000</v>
      </c>
      <c r="Q17" s="232" t="s">
        <v>26</v>
      </c>
      <c r="R17" s="232" t="s">
        <v>187</v>
      </c>
      <c r="S17" s="571">
        <f>H17</f>
        <v>2040</v>
      </c>
      <c r="T17" s="571">
        <f>I17</f>
        <v>1208</v>
      </c>
    </row>
    <row r="18" spans="1:20">
      <c r="A18" s="305" t="s">
        <v>126</v>
      </c>
      <c r="B18" s="233" t="s">
        <v>127</v>
      </c>
      <c r="C18" s="115">
        <v>9000</v>
      </c>
      <c r="D18" s="275">
        <v>9000</v>
      </c>
      <c r="F18" s="308" t="s">
        <v>26</v>
      </c>
      <c r="G18" s="308" t="s">
        <v>132</v>
      </c>
      <c r="H18" s="309">
        <v>2030</v>
      </c>
      <c r="I18" s="277">
        <v>5792</v>
      </c>
      <c r="J18" s="277">
        <v>5792</v>
      </c>
      <c r="K18" s="231"/>
      <c r="L18" s="233" t="s">
        <v>126</v>
      </c>
      <c r="M18" s="233" t="s">
        <v>127</v>
      </c>
      <c r="N18" s="115">
        <f t="shared" si="2"/>
        <v>9000</v>
      </c>
      <c r="O18" s="115">
        <f t="shared" si="2"/>
        <v>9000</v>
      </c>
      <c r="Q18" s="233" t="s">
        <v>126</v>
      </c>
      <c r="R18" s="233" t="s">
        <v>127</v>
      </c>
      <c r="S18" s="570">
        <f>N18</f>
        <v>9000</v>
      </c>
      <c r="T18" s="570">
        <f>O18</f>
        <v>9000</v>
      </c>
    </row>
    <row r="19" spans="1:20">
      <c r="A19" s="306" t="s">
        <v>126</v>
      </c>
      <c r="B19" s="232" t="s">
        <v>130</v>
      </c>
      <c r="C19" s="276">
        <v>4500</v>
      </c>
      <c r="D19" s="276">
        <v>4500</v>
      </c>
      <c r="F19" s="311" t="s">
        <v>126</v>
      </c>
      <c r="G19" s="311" t="s">
        <v>130</v>
      </c>
      <c r="H19" s="310">
        <v>2030</v>
      </c>
      <c r="I19" s="273">
        <v>3833</v>
      </c>
      <c r="J19" s="273">
        <v>3833</v>
      </c>
      <c r="K19" s="231"/>
      <c r="L19" s="232" t="s">
        <v>126</v>
      </c>
      <c r="M19" s="232" t="s">
        <v>130</v>
      </c>
      <c r="N19" s="276">
        <f t="shared" si="2"/>
        <v>4500</v>
      </c>
      <c r="O19" s="276">
        <f t="shared" si="2"/>
        <v>4500</v>
      </c>
      <c r="Q19" s="232" t="s">
        <v>126</v>
      </c>
      <c r="R19" s="232" t="s">
        <v>130</v>
      </c>
      <c r="S19" s="571">
        <f t="shared" ref="S19:S22" si="3">N19</f>
        <v>4500</v>
      </c>
      <c r="T19" s="571">
        <f t="shared" ref="T19:T22" si="4">O19</f>
        <v>4500</v>
      </c>
    </row>
    <row r="20" spans="1:20">
      <c r="A20" s="307" t="s">
        <v>128</v>
      </c>
      <c r="B20" s="292" t="s">
        <v>135</v>
      </c>
      <c r="C20" s="291">
        <v>4170</v>
      </c>
      <c r="D20" s="291">
        <v>8330</v>
      </c>
      <c r="F20" s="311" t="s">
        <v>75</v>
      </c>
      <c r="G20" s="311" t="s">
        <v>130</v>
      </c>
      <c r="H20" s="310">
        <v>2030</v>
      </c>
      <c r="I20" s="278">
        <v>8333</v>
      </c>
      <c r="J20" s="278">
        <v>8333</v>
      </c>
      <c r="K20" s="231"/>
      <c r="L20" s="39" t="s">
        <v>75</v>
      </c>
      <c r="M20" s="39" t="s">
        <v>130</v>
      </c>
      <c r="N20" s="316">
        <f>I20</f>
        <v>8333</v>
      </c>
      <c r="O20" s="316">
        <f>J20</f>
        <v>8333</v>
      </c>
      <c r="Q20" s="39" t="s">
        <v>75</v>
      </c>
      <c r="R20" s="39" t="s">
        <v>130</v>
      </c>
      <c r="S20" s="582">
        <f t="shared" si="3"/>
        <v>8333</v>
      </c>
      <c r="T20" s="582">
        <f t="shared" si="4"/>
        <v>8333</v>
      </c>
    </row>
    <row r="21" spans="1:20">
      <c r="A21" s="307" t="s">
        <v>129</v>
      </c>
      <c r="B21" s="292" t="s">
        <v>130</v>
      </c>
      <c r="C21" s="276">
        <v>2000</v>
      </c>
      <c r="D21" s="291">
        <v>2000</v>
      </c>
      <c r="F21" s="311" t="s">
        <v>128</v>
      </c>
      <c r="G21" s="311" t="s">
        <v>135</v>
      </c>
      <c r="H21" s="310">
        <v>2030</v>
      </c>
      <c r="I21" s="273">
        <v>2980</v>
      </c>
      <c r="J21" s="273">
        <v>0</v>
      </c>
      <c r="K21" s="231"/>
      <c r="L21" s="292" t="s">
        <v>128</v>
      </c>
      <c r="M21" s="292" t="s">
        <v>135</v>
      </c>
      <c r="N21" s="276">
        <f>C20</f>
        <v>4170</v>
      </c>
      <c r="O21" s="276">
        <f>D20</f>
        <v>8330</v>
      </c>
      <c r="Q21" s="292" t="s">
        <v>128</v>
      </c>
      <c r="R21" s="292" t="s">
        <v>135</v>
      </c>
      <c r="S21" s="572">
        <f t="shared" si="3"/>
        <v>4170</v>
      </c>
      <c r="T21" s="572">
        <f t="shared" si="4"/>
        <v>8330</v>
      </c>
    </row>
    <row r="22" spans="1:20">
      <c r="A22" s="305" t="s">
        <v>131</v>
      </c>
      <c r="B22" s="233" t="s">
        <v>133</v>
      </c>
      <c r="C22" s="115">
        <v>6750</v>
      </c>
      <c r="D22" s="275">
        <v>6750</v>
      </c>
      <c r="F22" s="45" t="s">
        <v>129</v>
      </c>
      <c r="G22" s="45" t="s">
        <v>130</v>
      </c>
      <c r="H22" s="46">
        <v>2030</v>
      </c>
      <c r="I22" s="274">
        <v>6000</v>
      </c>
      <c r="J22" s="274">
        <v>6000</v>
      </c>
      <c r="K22" s="231"/>
      <c r="L22" s="292" t="s">
        <v>129</v>
      </c>
      <c r="M22" s="292" t="s">
        <v>130</v>
      </c>
      <c r="N22" s="316">
        <f>C21+I22</f>
        <v>8000</v>
      </c>
      <c r="O22" s="316">
        <f>D21+J22</f>
        <v>8000</v>
      </c>
      <c r="Q22" s="292" t="s">
        <v>129</v>
      </c>
      <c r="R22" s="292" t="s">
        <v>130</v>
      </c>
      <c r="S22" s="582">
        <f t="shared" si="3"/>
        <v>8000</v>
      </c>
      <c r="T22" s="582">
        <f t="shared" si="4"/>
        <v>8000</v>
      </c>
    </row>
    <row r="23" spans="1:20">
      <c r="A23" s="306" t="s">
        <v>131</v>
      </c>
      <c r="B23" s="232" t="s">
        <v>187</v>
      </c>
      <c r="C23" s="276">
        <v>21000</v>
      </c>
      <c r="D23" s="276">
        <v>21000</v>
      </c>
      <c r="F23" s="308" t="s">
        <v>129</v>
      </c>
      <c r="G23" s="308" t="s">
        <v>130</v>
      </c>
      <c r="H23" s="309">
        <v>2040</v>
      </c>
      <c r="I23" s="272">
        <v>2000</v>
      </c>
      <c r="J23" s="272">
        <v>2000</v>
      </c>
      <c r="K23" s="231"/>
      <c r="L23" s="233" t="s">
        <v>131</v>
      </c>
      <c r="M23" s="233" t="s">
        <v>133</v>
      </c>
      <c r="N23" s="314">
        <f>C22-G35</f>
        <v>7546</v>
      </c>
      <c r="O23" s="314">
        <f>D22+H35</f>
        <v>7899</v>
      </c>
      <c r="Q23" s="39" t="s">
        <v>103</v>
      </c>
      <c r="R23" s="39" t="s">
        <v>104</v>
      </c>
      <c r="S23" s="550">
        <f>S25</f>
        <v>7546</v>
      </c>
      <c r="T23" s="550">
        <f>T25</f>
        <v>7899</v>
      </c>
    </row>
    <row r="24" spans="1:20">
      <c r="A24" s="305" t="s">
        <v>133</v>
      </c>
      <c r="B24" s="233" t="s">
        <v>187</v>
      </c>
      <c r="C24" s="115">
        <v>21000</v>
      </c>
      <c r="D24" s="275">
        <v>21000</v>
      </c>
      <c r="F24" s="45" t="s">
        <v>133</v>
      </c>
      <c r="G24" s="45" t="s">
        <v>131</v>
      </c>
      <c r="H24" s="46">
        <v>2030</v>
      </c>
      <c r="I24" s="274">
        <v>10167</v>
      </c>
      <c r="J24" s="274">
        <v>10167</v>
      </c>
      <c r="K24" s="231"/>
      <c r="L24" s="232" t="s">
        <v>131</v>
      </c>
      <c r="M24" s="232" t="s">
        <v>187</v>
      </c>
      <c r="N24" s="276">
        <f>C23</f>
        <v>21000</v>
      </c>
      <c r="O24" s="276">
        <f>D23</f>
        <v>21000</v>
      </c>
      <c r="Q24" s="39" t="s">
        <v>105</v>
      </c>
      <c r="R24" s="39" t="s">
        <v>106</v>
      </c>
      <c r="S24" s="550">
        <f>S25</f>
        <v>7546</v>
      </c>
      <c r="T24" s="550">
        <f>T25</f>
        <v>7899</v>
      </c>
    </row>
    <row r="25" spans="1:20">
      <c r="A25" s="306" t="s">
        <v>133</v>
      </c>
      <c r="B25" s="232" t="s">
        <v>137</v>
      </c>
      <c r="C25" s="276">
        <v>8330</v>
      </c>
      <c r="D25" s="276">
        <v>4170</v>
      </c>
      <c r="F25" s="308" t="s">
        <v>133</v>
      </c>
      <c r="G25" s="308" t="s">
        <v>137</v>
      </c>
      <c r="H25" s="309">
        <v>2030</v>
      </c>
      <c r="I25" s="277">
        <v>0</v>
      </c>
      <c r="J25" s="277">
        <v>4167</v>
      </c>
      <c r="K25" s="231"/>
      <c r="L25" s="233" t="s">
        <v>133</v>
      </c>
      <c r="M25" s="233" t="s">
        <v>187</v>
      </c>
      <c r="N25" s="115">
        <f>C24</f>
        <v>21000</v>
      </c>
      <c r="O25" s="115">
        <f>D24</f>
        <v>21000</v>
      </c>
      <c r="Q25" s="39" t="s">
        <v>103</v>
      </c>
      <c r="R25" s="39" t="s">
        <v>133</v>
      </c>
      <c r="S25" s="550">
        <f>N23</f>
        <v>7546</v>
      </c>
      <c r="T25" s="550">
        <f>O23</f>
        <v>7899</v>
      </c>
    </row>
    <row r="26" spans="1:20">
      <c r="A26" s="307" t="s">
        <v>135</v>
      </c>
      <c r="B26" s="292" t="s">
        <v>136</v>
      </c>
      <c r="C26" s="291">
        <v>4170</v>
      </c>
      <c r="D26" s="291">
        <v>8330</v>
      </c>
      <c r="F26" s="311" t="s">
        <v>135</v>
      </c>
      <c r="G26" s="311" t="s">
        <v>136</v>
      </c>
      <c r="H26" s="310">
        <v>2030</v>
      </c>
      <c r="I26" s="273">
        <v>3733</v>
      </c>
      <c r="J26" s="273">
        <v>0</v>
      </c>
      <c r="K26" s="231"/>
      <c r="L26" s="232" t="s">
        <v>133</v>
      </c>
      <c r="M26" s="232" t="s">
        <v>137</v>
      </c>
      <c r="N26" s="276">
        <f>C25</f>
        <v>8330</v>
      </c>
      <c r="O26" s="315">
        <f>D25+H36</f>
        <v>4205</v>
      </c>
      <c r="Q26" s="232" t="s">
        <v>105</v>
      </c>
      <c r="R26" s="232" t="s">
        <v>187</v>
      </c>
      <c r="S26" s="571">
        <f>N24</f>
        <v>21000</v>
      </c>
      <c r="T26" s="571">
        <f>O24</f>
        <v>21000</v>
      </c>
    </row>
    <row r="27" spans="1:20">
      <c r="A27" s="307" t="s">
        <v>136</v>
      </c>
      <c r="B27" s="292" t="s">
        <v>137</v>
      </c>
      <c r="C27" s="276">
        <v>4170</v>
      </c>
      <c r="D27" s="291">
        <v>8330</v>
      </c>
      <c r="F27" s="308" t="s">
        <v>136</v>
      </c>
      <c r="G27" s="308" t="s">
        <v>137</v>
      </c>
      <c r="H27" s="309">
        <v>2040</v>
      </c>
      <c r="I27" s="272">
        <v>1115</v>
      </c>
      <c r="J27" s="272">
        <v>0</v>
      </c>
      <c r="K27" s="231"/>
      <c r="L27" s="292" t="s">
        <v>135</v>
      </c>
      <c r="M27" s="292" t="s">
        <v>136</v>
      </c>
      <c r="N27" s="291">
        <f>C26</f>
        <v>4170</v>
      </c>
      <c r="O27" s="291">
        <f>D26</f>
        <v>8330</v>
      </c>
      <c r="Q27" s="39" t="s">
        <v>101</v>
      </c>
      <c r="R27" s="39" t="s">
        <v>99</v>
      </c>
      <c r="S27" s="582">
        <f>S16</f>
        <v>7892</v>
      </c>
      <c r="T27" s="582">
        <f>T16</f>
        <v>7892</v>
      </c>
    </row>
    <row r="28" spans="1:20">
      <c r="C28" s="72">
        <f>SUM(C12:C27)</f>
        <v>124650</v>
      </c>
      <c r="D28" s="72">
        <f>SUM(D12:D27)</f>
        <v>152760</v>
      </c>
      <c r="F28" s="46"/>
      <c r="G28" s="46"/>
      <c r="H28" s="46"/>
      <c r="I28" s="70">
        <f t="shared" ref="I28:J28" si="5">SUM(I12:I27)/1000</f>
        <v>75.382999999999996</v>
      </c>
      <c r="J28" s="70">
        <f t="shared" si="5"/>
        <v>51.921999999999997</v>
      </c>
      <c r="K28" s="22"/>
      <c r="L28" s="292" t="s">
        <v>136</v>
      </c>
      <c r="M28" s="292" t="s">
        <v>137</v>
      </c>
      <c r="N28" s="276">
        <f>C27</f>
        <v>4170</v>
      </c>
      <c r="O28" s="276">
        <f>D27</f>
        <v>8330</v>
      </c>
      <c r="Q28" s="233" t="s">
        <v>133</v>
      </c>
      <c r="R28" s="233" t="s">
        <v>187</v>
      </c>
      <c r="S28" s="570">
        <f t="shared" ref="S28:T31" si="6">N25</f>
        <v>21000</v>
      </c>
      <c r="T28" s="570">
        <f t="shared" si="6"/>
        <v>21000</v>
      </c>
    </row>
    <row r="29" spans="1:20">
      <c r="Q29" s="232" t="s">
        <v>133</v>
      </c>
      <c r="R29" s="232" t="s">
        <v>137</v>
      </c>
      <c r="S29" s="571">
        <f t="shared" si="6"/>
        <v>8330</v>
      </c>
      <c r="T29" s="581">
        <f t="shared" si="6"/>
        <v>4205</v>
      </c>
    </row>
    <row r="30" spans="1:20">
      <c r="F30" s="592" t="s">
        <v>516</v>
      </c>
      <c r="G30" s="592"/>
      <c r="H30" s="592"/>
      <c r="Q30" s="292" t="s">
        <v>135</v>
      </c>
      <c r="R30" s="292" t="s">
        <v>136</v>
      </c>
      <c r="S30" s="572">
        <f t="shared" si="6"/>
        <v>4170</v>
      </c>
      <c r="T30" s="572">
        <f t="shared" si="6"/>
        <v>8330</v>
      </c>
    </row>
    <row r="31" spans="1:20">
      <c r="F31" s="21"/>
      <c r="G31" s="21" t="s">
        <v>455</v>
      </c>
      <c r="H31" s="21" t="s">
        <v>353</v>
      </c>
      <c r="Q31" s="292" t="s">
        <v>136</v>
      </c>
      <c r="R31" s="292" t="s">
        <v>137</v>
      </c>
      <c r="S31" s="572">
        <f t="shared" si="6"/>
        <v>4170</v>
      </c>
      <c r="T31" s="572">
        <f t="shared" si="6"/>
        <v>8330</v>
      </c>
    </row>
    <row r="32" spans="1:20">
      <c r="F32" s="39" t="s">
        <v>506</v>
      </c>
      <c r="G32" s="115">
        <v>-2283</v>
      </c>
      <c r="H32" s="115">
        <v>3586</v>
      </c>
    </row>
    <row r="33" spans="1:17">
      <c r="F33" s="39" t="s">
        <v>505</v>
      </c>
      <c r="G33" s="115">
        <v>-8333</v>
      </c>
      <c r="H33" s="115">
        <v>8333</v>
      </c>
      <c r="J33" s="46"/>
      <c r="K33" s="231"/>
      <c r="L33" s="231"/>
      <c r="M33" s="47"/>
      <c r="N33" s="46"/>
      <c r="O33" s="231"/>
      <c r="P33" s="231"/>
      <c r="Q33" s="47"/>
    </row>
    <row r="34" spans="1:17">
      <c r="A34" s="231"/>
      <c r="B34" s="231"/>
      <c r="E34" s="45"/>
      <c r="F34" s="231" t="s">
        <v>504</v>
      </c>
      <c r="G34" s="115">
        <v>-4836</v>
      </c>
      <c r="H34" s="313">
        <v>5016</v>
      </c>
      <c r="J34" s="46"/>
      <c r="K34" s="231"/>
      <c r="L34" s="231"/>
      <c r="M34" s="47"/>
      <c r="N34" s="46"/>
      <c r="O34" s="231"/>
      <c r="P34" s="231"/>
      <c r="Q34" s="47"/>
    </row>
    <row r="35" spans="1:17">
      <c r="A35" s="231"/>
      <c r="B35" s="231"/>
      <c r="E35" s="45"/>
      <c r="F35" s="39" t="s">
        <v>508</v>
      </c>
      <c r="G35" s="115">
        <v>-796</v>
      </c>
      <c r="H35" s="115">
        <v>1149</v>
      </c>
    </row>
    <row r="36" spans="1:17">
      <c r="A36" s="231"/>
      <c r="B36" s="231"/>
      <c r="E36" s="45"/>
      <c r="F36" s="39" t="s">
        <v>507</v>
      </c>
      <c r="G36" s="115">
        <v>0</v>
      </c>
      <c r="H36" s="115">
        <v>35</v>
      </c>
    </row>
    <row r="37" spans="1:17">
      <c r="A37" s="239"/>
      <c r="E37" s="45"/>
    </row>
    <row r="38" spans="1:17">
      <c r="A38" s="231"/>
      <c r="B38" s="231"/>
    </row>
    <row r="39" spans="1:17">
      <c r="A39" s="231"/>
      <c r="B39" s="231"/>
    </row>
    <row r="40" spans="1:17">
      <c r="A40" s="231"/>
      <c r="B40" s="231"/>
    </row>
    <row r="41" spans="1:17">
      <c r="A41" s="231"/>
      <c r="B41" s="231"/>
    </row>
    <row r="42" spans="1:17">
      <c r="A42" s="231"/>
      <c r="B42" s="231"/>
    </row>
    <row r="43" spans="1:17">
      <c r="H43" s="45"/>
      <c r="I43" s="45"/>
      <c r="J43" s="46"/>
      <c r="K43" s="45"/>
      <c r="L43" s="45"/>
      <c r="M43" s="47"/>
    </row>
    <row r="44" spans="1:17">
      <c r="A44" s="231"/>
      <c r="B44" s="231"/>
    </row>
    <row r="45" spans="1:17">
      <c r="A45" s="231"/>
      <c r="B45" s="231"/>
    </row>
    <row r="46" spans="1:17">
      <c r="A46" s="231"/>
      <c r="B46" s="231"/>
    </row>
    <row r="47" spans="1:17">
      <c r="A47" s="231"/>
      <c r="B47" s="231"/>
    </row>
    <row r="48" spans="1:17">
      <c r="A48" s="231"/>
      <c r="B48" s="231"/>
      <c r="C48" s="47"/>
      <c r="D48" s="47"/>
      <c r="E48" s="45"/>
      <c r="F48" s="45"/>
    </row>
    <row r="49" spans="1:6">
      <c r="A49" s="231"/>
      <c r="B49" s="45"/>
      <c r="C49" s="46"/>
      <c r="D49" s="46"/>
      <c r="E49" s="45"/>
      <c r="F49" s="45"/>
    </row>
    <row r="50" spans="1:6">
      <c r="A50" s="231"/>
      <c r="B50" s="231"/>
      <c r="C50" s="47"/>
      <c r="D50" s="47"/>
      <c r="E50" s="45"/>
      <c r="F50" s="45"/>
    </row>
    <row r="51" spans="1:6">
      <c r="A51" s="231"/>
      <c r="B51" s="231"/>
      <c r="C51" s="47"/>
      <c r="D51" s="47"/>
      <c r="E51" s="45"/>
      <c r="F51" s="45"/>
    </row>
    <row r="52" spans="1:6">
      <c r="A52" s="231"/>
      <c r="B52" s="231"/>
      <c r="C52" s="48"/>
      <c r="D52" s="48"/>
      <c r="E52" s="45"/>
      <c r="F52" s="45"/>
    </row>
    <row r="53" spans="1:6">
      <c r="A53" s="231"/>
      <c r="C53" s="47"/>
      <c r="D53" s="47"/>
      <c r="E53" s="45"/>
      <c r="F53" s="45"/>
    </row>
    <row r="54" spans="1:6">
      <c r="A54" s="231"/>
      <c r="B54" s="231"/>
      <c r="C54" s="47"/>
      <c r="D54" s="47"/>
      <c r="E54" s="45"/>
      <c r="F54" s="45"/>
    </row>
    <row r="55" spans="1:6">
      <c r="A55" s="231"/>
      <c r="B55" s="231"/>
      <c r="C55" s="47"/>
      <c r="D55" s="47"/>
      <c r="E55" s="45"/>
      <c r="F55" s="45"/>
    </row>
    <row r="56" spans="1:6">
      <c r="A56" s="231"/>
      <c r="B56" s="231"/>
      <c r="C56" s="47"/>
      <c r="D56" s="47"/>
      <c r="E56" s="45"/>
      <c r="F56" s="45"/>
    </row>
    <row r="57" spans="1:6">
      <c r="A57" s="231"/>
      <c r="B57" s="231"/>
      <c r="C57" s="47"/>
      <c r="D57" s="47"/>
      <c r="E57" s="45"/>
      <c r="F57" s="45"/>
    </row>
    <row r="58" spans="1:6">
      <c r="A58" s="231"/>
      <c r="B58" s="231"/>
      <c r="C58" s="47"/>
      <c r="D58" s="47"/>
      <c r="E58" s="45"/>
      <c r="F58" s="45"/>
    </row>
    <row r="59" spans="1:6">
      <c r="A59" s="231"/>
      <c r="B59" s="231"/>
      <c r="C59" s="47"/>
      <c r="D59" s="47"/>
      <c r="E59" s="45"/>
      <c r="F59" s="45"/>
    </row>
    <row r="60" spans="1:6">
      <c r="A60" s="231"/>
      <c r="B60" s="231"/>
      <c r="C60" s="48"/>
      <c r="D60" s="48"/>
    </row>
    <row r="61" spans="1:6">
      <c r="A61" s="231"/>
      <c r="B61" s="231"/>
      <c r="C61" s="47"/>
      <c r="D61" s="47"/>
    </row>
    <row r="62" spans="1:6">
      <c r="A62" s="231"/>
      <c r="B62" s="231"/>
      <c r="C62" s="47"/>
      <c r="D62" s="47"/>
      <c r="E62" s="48"/>
      <c r="F62" s="48"/>
    </row>
    <row r="63" spans="1:6">
      <c r="A63" s="231"/>
      <c r="B63" s="231"/>
      <c r="C63" s="47"/>
      <c r="D63" s="47"/>
    </row>
    <row r="64" spans="1:6">
      <c r="A64" s="231"/>
      <c r="B64" s="231"/>
      <c r="C64" s="47"/>
      <c r="D64" s="47"/>
    </row>
    <row r="65" spans="1:6">
      <c r="A65" s="231"/>
      <c r="B65" s="231"/>
      <c r="C65" s="48"/>
      <c r="D65" s="48"/>
    </row>
    <row r="66" spans="1:6">
      <c r="A66" s="231"/>
      <c r="B66" s="231"/>
      <c r="C66" s="48"/>
      <c r="D66" s="48"/>
    </row>
    <row r="67" spans="1:6">
      <c r="A67" s="239"/>
      <c r="C67" s="47"/>
      <c r="D67" s="47"/>
    </row>
    <row r="68" spans="1:6">
      <c r="A68" s="239"/>
      <c r="C68" s="47"/>
      <c r="D68" s="47"/>
    </row>
    <row r="69" spans="1:6">
      <c r="A69" s="231"/>
      <c r="C69" s="47"/>
      <c r="D69" s="47"/>
      <c r="E69" s="45"/>
      <c r="F69" s="45"/>
    </row>
    <row r="70" spans="1:6">
      <c r="A70" s="231"/>
      <c r="C70" s="47"/>
      <c r="D70" s="47"/>
      <c r="E70" s="45"/>
      <c r="F70" s="45"/>
    </row>
    <row r="71" spans="1:6">
      <c r="A71" s="231"/>
      <c r="C71" s="47"/>
      <c r="D71" s="47"/>
      <c r="E71" s="45"/>
      <c r="F71" s="45"/>
    </row>
    <row r="72" spans="1:6">
      <c r="B72" s="231"/>
      <c r="C72" s="47"/>
      <c r="D72" s="47"/>
      <c r="E72" s="45"/>
      <c r="F72" s="45"/>
    </row>
    <row r="73" spans="1:6">
      <c r="B73" s="231"/>
      <c r="C73" s="47"/>
      <c r="D73" s="47"/>
      <c r="E73" s="45"/>
      <c r="F73" s="45"/>
    </row>
    <row r="74" spans="1:6">
      <c r="B74" s="231"/>
      <c r="C74" s="47"/>
      <c r="D74" s="47"/>
      <c r="E74" s="45"/>
      <c r="F74" s="45"/>
    </row>
    <row r="75" spans="1:6">
      <c r="B75" s="231"/>
      <c r="C75" s="47"/>
      <c r="D75" s="47"/>
      <c r="E75" s="45"/>
      <c r="F75" s="45"/>
    </row>
    <row r="76" spans="1:6">
      <c r="B76" s="231"/>
      <c r="C76" s="47"/>
      <c r="D76" s="47"/>
      <c r="E76" s="45"/>
      <c r="F76" s="45"/>
    </row>
    <row r="77" spans="1:6">
      <c r="B77" s="231"/>
      <c r="C77" s="47"/>
      <c r="D77" s="47"/>
      <c r="E77" s="45"/>
      <c r="F77" s="45"/>
    </row>
    <row r="78" spans="1:6">
      <c r="B78" s="231"/>
      <c r="C78" s="47"/>
      <c r="D78" s="47"/>
      <c r="E78" s="45"/>
      <c r="F78" s="45"/>
    </row>
    <row r="79" spans="1:6">
      <c r="B79" s="231"/>
      <c r="C79" s="47"/>
      <c r="D79" s="47"/>
      <c r="E79" s="45"/>
      <c r="F79" s="45"/>
    </row>
    <row r="80" spans="1:6">
      <c r="B80" s="231"/>
      <c r="C80" s="47"/>
      <c r="D80" s="47"/>
      <c r="E80" s="45"/>
      <c r="F80" s="45"/>
    </row>
    <row r="81" spans="1:6">
      <c r="B81" s="231"/>
      <c r="C81" s="47"/>
      <c r="D81" s="47"/>
      <c r="E81" s="45"/>
      <c r="F81" s="45"/>
    </row>
    <row r="82" spans="1:6">
      <c r="A82" s="231"/>
      <c r="C82" s="47"/>
      <c r="D82" s="47"/>
      <c r="E82" s="45"/>
      <c r="F82" s="45"/>
    </row>
    <row r="83" spans="1:6">
      <c r="A83" s="231"/>
      <c r="B83" s="231"/>
      <c r="C83" s="47"/>
      <c r="D83" s="47"/>
      <c r="E83" s="45"/>
      <c r="F83" s="45"/>
    </row>
    <row r="84" spans="1:6">
      <c r="A84" s="231"/>
      <c r="C84" s="48"/>
      <c r="D84" s="48"/>
    </row>
    <row r="85" spans="1:6">
      <c r="A85" s="231"/>
      <c r="C85" s="48"/>
      <c r="D85" s="48"/>
    </row>
    <row r="86" spans="1:6">
      <c r="A86" s="231"/>
      <c r="B86" s="231"/>
      <c r="C86" s="47"/>
      <c r="D86" s="47"/>
      <c r="E86" s="45"/>
      <c r="F86" s="45"/>
    </row>
    <row r="87" spans="1:6">
      <c r="A87" s="231"/>
      <c r="C87" s="47"/>
      <c r="D87" s="47"/>
      <c r="E87" s="45"/>
      <c r="F87" s="45"/>
    </row>
    <row r="88" spans="1:6">
      <c r="A88" s="231"/>
      <c r="B88" s="231"/>
      <c r="C88" s="47"/>
      <c r="D88" s="47"/>
      <c r="E88" s="45"/>
      <c r="F88" s="45"/>
    </row>
    <row r="89" spans="1:6">
      <c r="A89" s="231"/>
      <c r="C89" s="47"/>
      <c r="D89" s="47"/>
    </row>
    <row r="90" spans="1:6">
      <c r="A90" s="231"/>
      <c r="B90" s="231"/>
      <c r="C90" s="47"/>
      <c r="D90" s="47"/>
    </row>
    <row r="91" spans="1:6">
      <c r="A91" s="231"/>
      <c r="B91" s="231"/>
      <c r="C91" s="47"/>
      <c r="D91" s="47"/>
      <c r="E91" s="45"/>
      <c r="F91" s="45"/>
    </row>
    <row r="92" spans="1:6">
      <c r="A92" s="231"/>
      <c r="B92" s="231"/>
      <c r="C92" s="47"/>
      <c r="D92" s="47"/>
      <c r="E92" s="231"/>
      <c r="F92" s="231"/>
    </row>
    <row r="103" spans="3:5">
      <c r="C103" s="222"/>
      <c r="E103" s="222"/>
    </row>
    <row r="104" spans="3:5">
      <c r="C104" s="222"/>
      <c r="E104" s="222"/>
    </row>
    <row r="105" spans="3:5">
      <c r="C105" s="222"/>
      <c r="E105" s="222"/>
    </row>
    <row r="106" spans="3:5">
      <c r="C106" s="222"/>
      <c r="E106" s="222"/>
    </row>
    <row r="107" spans="3:5">
      <c r="C107" s="222"/>
      <c r="E107" s="222"/>
    </row>
    <row r="108" spans="3:5">
      <c r="C108" s="222"/>
      <c r="E108" s="222"/>
    </row>
    <row r="109" spans="3:5">
      <c r="C109" s="222"/>
    </row>
    <row r="110" spans="3:5">
      <c r="C110" s="222"/>
    </row>
    <row r="111" spans="3:5">
      <c r="C111" s="222"/>
      <c r="E111" s="222"/>
    </row>
    <row r="112" spans="3:5">
      <c r="C112" s="222"/>
      <c r="E112" s="222"/>
    </row>
    <row r="113" spans="3:5">
      <c r="C113" s="222"/>
      <c r="E113" s="222"/>
    </row>
    <row r="114" spans="3:5">
      <c r="C114" s="222"/>
      <c r="E114" s="222"/>
    </row>
    <row r="115" spans="3:5">
      <c r="C115" s="222"/>
      <c r="E115" s="222"/>
    </row>
    <row r="116" spans="3:5">
      <c r="C116" s="222"/>
      <c r="D116" s="222"/>
      <c r="E116" s="222"/>
    </row>
    <row r="117" spans="3:5">
      <c r="C117" s="222"/>
      <c r="D117" s="222"/>
      <c r="E117" s="222"/>
    </row>
    <row r="118" spans="3:5">
      <c r="C118" s="222"/>
      <c r="D118" s="222"/>
      <c r="E118" s="222"/>
    </row>
    <row r="119" spans="3:5">
      <c r="C119" s="222"/>
      <c r="D119" s="222"/>
      <c r="E119" s="222"/>
    </row>
    <row r="120" spans="3:5">
      <c r="C120" s="222"/>
      <c r="D120" s="222"/>
    </row>
    <row r="121" spans="3:5">
      <c r="C121" s="222"/>
      <c r="D121" s="222"/>
    </row>
    <row r="122" spans="3:5">
      <c r="C122" s="222"/>
      <c r="D122" s="222"/>
      <c r="E122" s="223"/>
    </row>
    <row r="123" spans="3:5">
      <c r="C123" s="222"/>
    </row>
    <row r="124" spans="3:5">
      <c r="C124" s="222"/>
    </row>
    <row r="125" spans="3:5">
      <c r="C125" s="222"/>
    </row>
    <row r="126" spans="3:5">
      <c r="C126" s="222"/>
    </row>
    <row r="127" spans="3:5">
      <c r="C127" s="222"/>
    </row>
    <row r="128" spans="3:5">
      <c r="C128" s="222"/>
    </row>
    <row r="129" spans="3:3">
      <c r="C129" s="222"/>
    </row>
    <row r="130" spans="3:3">
      <c r="C130" s="222"/>
    </row>
    <row r="131" spans="3:3">
      <c r="C131" s="222"/>
    </row>
    <row r="132" spans="3:3">
      <c r="C132" s="222"/>
    </row>
    <row r="133" spans="3:3">
      <c r="C133" s="222"/>
    </row>
    <row r="134" spans="3:3">
      <c r="C134" s="222"/>
    </row>
    <row r="135" spans="3:3">
      <c r="C135" s="222"/>
    </row>
    <row r="136" spans="3:3">
      <c r="C136" s="222"/>
    </row>
    <row r="137" spans="3:3">
      <c r="C137" s="222"/>
    </row>
    <row r="138" spans="3:3">
      <c r="C138" s="222"/>
    </row>
    <row r="139" spans="3:3">
      <c r="C139" s="222"/>
    </row>
    <row r="140" spans="3:3">
      <c r="C140" s="222"/>
    </row>
    <row r="141" spans="3:3">
      <c r="C141" s="222"/>
    </row>
  </sheetData>
  <mergeCells count="21">
    <mergeCell ref="F30:H30"/>
    <mergeCell ref="Q10:T10"/>
    <mergeCell ref="C5:T5"/>
    <mergeCell ref="C4:T4"/>
    <mergeCell ref="C7:T7"/>
    <mergeCell ref="C6:T6"/>
    <mergeCell ref="L10:O10"/>
    <mergeCell ref="A5:B5"/>
    <mergeCell ref="A10:D10"/>
    <mergeCell ref="F10:J10"/>
    <mergeCell ref="A7:B7"/>
    <mergeCell ref="A6:B6"/>
    <mergeCell ref="A8:B8"/>
    <mergeCell ref="C8:T8"/>
    <mergeCell ref="A1:B1"/>
    <mergeCell ref="A3:B3"/>
    <mergeCell ref="A4:B4"/>
    <mergeCell ref="C1:T1"/>
    <mergeCell ref="A2:B2"/>
    <mergeCell ref="C2:T2"/>
    <mergeCell ref="C3:T3"/>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A514F-041E-4B7B-B5E2-028EE5348210}">
  <sheetPr>
    <tabColor theme="9" tint="0.59999389629810485"/>
  </sheetPr>
  <dimension ref="A1:AC71"/>
  <sheetViews>
    <sheetView showZeros="0" zoomScaleNormal="100" workbookViewId="0">
      <selection activeCell="M75" sqref="M75"/>
    </sheetView>
  </sheetViews>
  <sheetFormatPr defaultColWidth="8.85546875" defaultRowHeight="15"/>
  <cols>
    <col min="1" max="1" width="14.5703125" style="24" customWidth="1"/>
    <col min="2" max="2" width="11.5703125" style="24" customWidth="1"/>
    <col min="3" max="16384" width="8.85546875" style="24"/>
  </cols>
  <sheetData>
    <row r="1" spans="1:25">
      <c r="A1" s="176" t="s">
        <v>668</v>
      </c>
      <c r="B1" s="175"/>
      <c r="C1" s="175"/>
      <c r="D1" s="175"/>
      <c r="E1" s="175"/>
      <c r="F1" s="175"/>
      <c r="G1" s="175"/>
      <c r="H1" s="175"/>
      <c r="I1" s="175"/>
      <c r="J1" s="175"/>
      <c r="K1" s="175"/>
      <c r="L1" s="175"/>
      <c r="M1" s="175"/>
      <c r="N1" s="175"/>
      <c r="O1" s="175"/>
      <c r="P1" s="175"/>
      <c r="Q1" s="175"/>
      <c r="R1" s="175"/>
      <c r="S1" s="175"/>
      <c r="T1" s="175"/>
      <c r="U1" s="175"/>
      <c r="V1" s="175"/>
      <c r="Y1" s="25"/>
    </row>
    <row r="2" spans="1:25" ht="15" customHeight="1">
      <c r="A2" s="3" t="s">
        <v>253</v>
      </c>
      <c r="B2" s="589" t="s">
        <v>662</v>
      </c>
      <c r="C2" s="589"/>
      <c r="D2" s="589"/>
      <c r="E2" s="589"/>
      <c r="F2" s="589"/>
      <c r="G2" s="589"/>
      <c r="H2" s="589"/>
      <c r="I2" s="589"/>
      <c r="J2" s="589"/>
      <c r="K2" s="589"/>
      <c r="L2" s="589"/>
      <c r="M2" s="589"/>
      <c r="N2" s="589"/>
      <c r="O2" s="589"/>
      <c r="P2" s="589"/>
      <c r="Q2" s="589"/>
      <c r="R2" s="589"/>
      <c r="S2" s="589"/>
      <c r="T2" s="589"/>
      <c r="U2" s="589"/>
      <c r="V2" s="589"/>
    </row>
    <row r="3" spans="1:25">
      <c r="A3" s="3"/>
      <c r="B3" s="589"/>
      <c r="C3" s="589"/>
      <c r="D3" s="589"/>
      <c r="E3" s="589"/>
      <c r="F3" s="589"/>
      <c r="G3" s="589"/>
      <c r="H3" s="589"/>
      <c r="I3" s="589"/>
      <c r="J3" s="589"/>
      <c r="K3" s="589"/>
      <c r="L3" s="589"/>
      <c r="M3" s="589"/>
      <c r="N3" s="589"/>
      <c r="O3" s="589"/>
      <c r="P3" s="589"/>
      <c r="Q3" s="589"/>
      <c r="R3" s="589"/>
      <c r="S3" s="589"/>
      <c r="T3" s="589"/>
      <c r="U3" s="589"/>
      <c r="V3" s="589"/>
    </row>
    <row r="4" spans="1:25">
      <c r="A4" s="3"/>
      <c r="B4" s="589"/>
      <c r="C4" s="589"/>
      <c r="D4" s="589"/>
      <c r="E4" s="589"/>
      <c r="F4" s="589"/>
      <c r="G4" s="589"/>
      <c r="H4" s="589"/>
      <c r="I4" s="589"/>
      <c r="J4" s="589"/>
      <c r="K4" s="589"/>
      <c r="L4" s="589"/>
      <c r="M4" s="589"/>
      <c r="N4" s="589"/>
      <c r="O4" s="589"/>
      <c r="P4" s="589"/>
      <c r="Q4" s="589"/>
      <c r="R4" s="589"/>
      <c r="S4" s="589"/>
      <c r="T4" s="589"/>
      <c r="U4" s="589"/>
      <c r="V4" s="589"/>
    </row>
    <row r="5" spans="1:25">
      <c r="A5" s="3"/>
      <c r="B5" s="589"/>
      <c r="C5" s="589"/>
      <c r="D5" s="589"/>
      <c r="E5" s="589"/>
      <c r="F5" s="589"/>
      <c r="G5" s="589"/>
      <c r="H5" s="589"/>
      <c r="I5" s="589"/>
      <c r="J5" s="589"/>
      <c r="K5" s="589"/>
      <c r="L5" s="589"/>
      <c r="M5" s="589"/>
      <c r="N5" s="589"/>
      <c r="O5" s="589"/>
      <c r="P5" s="589"/>
      <c r="Q5" s="589"/>
      <c r="R5" s="589"/>
      <c r="S5" s="589"/>
      <c r="T5" s="589"/>
      <c r="U5" s="589"/>
      <c r="V5" s="589"/>
    </row>
    <row r="6" spans="1:25" ht="15" customHeight="1">
      <c r="A6" s="3" t="s">
        <v>600</v>
      </c>
      <c r="B6" s="588" t="s">
        <v>663</v>
      </c>
      <c r="C6" s="588"/>
      <c r="D6" s="588"/>
      <c r="E6" s="588"/>
      <c r="F6" s="588"/>
      <c r="G6" s="588"/>
      <c r="H6" s="588"/>
      <c r="I6" s="588"/>
      <c r="J6" s="588"/>
      <c r="K6" s="588"/>
      <c r="L6" s="588"/>
      <c r="M6" s="588"/>
      <c r="N6" s="588"/>
      <c r="O6" s="588"/>
      <c r="P6" s="588"/>
      <c r="Q6" s="588"/>
      <c r="R6" s="588"/>
      <c r="S6" s="588"/>
      <c r="T6" s="588"/>
      <c r="U6" s="588"/>
      <c r="V6" s="588"/>
    </row>
    <row r="7" spans="1:25">
      <c r="A7" s="3"/>
      <c r="B7" s="588"/>
      <c r="C7" s="588"/>
      <c r="D7" s="588"/>
      <c r="E7" s="588"/>
      <c r="F7" s="588"/>
      <c r="G7" s="588"/>
      <c r="H7" s="588"/>
      <c r="I7" s="588"/>
      <c r="J7" s="588"/>
      <c r="K7" s="588"/>
      <c r="L7" s="588"/>
      <c r="M7" s="588"/>
      <c r="N7" s="588"/>
      <c r="O7" s="588"/>
      <c r="P7" s="588"/>
      <c r="Q7" s="588"/>
      <c r="R7" s="588"/>
      <c r="S7" s="588"/>
      <c r="T7" s="588"/>
      <c r="U7" s="588"/>
      <c r="V7" s="588"/>
    </row>
    <row r="8" spans="1:25">
      <c r="A8" s="3"/>
      <c r="B8" s="588"/>
      <c r="C8" s="588"/>
      <c r="D8" s="588"/>
      <c r="E8" s="588"/>
      <c r="F8" s="588"/>
      <c r="G8" s="588"/>
      <c r="H8" s="588"/>
      <c r="I8" s="588"/>
      <c r="J8" s="588"/>
      <c r="K8" s="588"/>
      <c r="L8" s="588"/>
      <c r="M8" s="588"/>
      <c r="N8" s="588"/>
      <c r="O8" s="588"/>
      <c r="P8" s="588"/>
      <c r="Q8" s="588"/>
      <c r="R8" s="588"/>
      <c r="S8" s="588"/>
      <c r="T8" s="588"/>
      <c r="U8" s="588"/>
      <c r="V8" s="588"/>
    </row>
    <row r="9" spans="1:25">
      <c r="A9" s="3"/>
      <c r="B9" s="588"/>
      <c r="C9" s="588"/>
      <c r="D9" s="588"/>
      <c r="E9" s="588"/>
      <c r="F9" s="588"/>
      <c r="G9" s="588"/>
      <c r="H9" s="588"/>
      <c r="I9" s="588"/>
      <c r="J9" s="588"/>
      <c r="K9" s="588"/>
      <c r="L9" s="588"/>
      <c r="M9" s="588"/>
      <c r="N9" s="588"/>
      <c r="O9" s="588"/>
      <c r="P9" s="588"/>
      <c r="Q9" s="588"/>
      <c r="R9" s="588"/>
      <c r="S9" s="588"/>
      <c r="T9" s="588"/>
      <c r="U9" s="588"/>
      <c r="V9" s="588"/>
    </row>
    <row r="10" spans="1:25">
      <c r="A10" s="3"/>
      <c r="B10" s="588"/>
      <c r="C10" s="588"/>
      <c r="D10" s="588"/>
      <c r="E10" s="588"/>
      <c r="F10" s="588"/>
      <c r="G10" s="588"/>
      <c r="H10" s="588"/>
      <c r="I10" s="588"/>
      <c r="J10" s="588"/>
      <c r="K10" s="588"/>
      <c r="L10" s="588"/>
      <c r="M10" s="588"/>
      <c r="N10" s="588"/>
      <c r="O10" s="588"/>
      <c r="P10" s="588"/>
      <c r="Q10" s="588"/>
      <c r="R10" s="588"/>
      <c r="S10" s="588"/>
      <c r="T10" s="588"/>
      <c r="U10" s="588"/>
      <c r="V10" s="588"/>
    </row>
    <row r="11" spans="1:25">
      <c r="A11" s="3" t="s">
        <v>664</v>
      </c>
      <c r="B11" s="626" t="s">
        <v>665</v>
      </c>
      <c r="C11" s="626"/>
      <c r="D11" s="626"/>
      <c r="E11" s="626"/>
      <c r="F11" s="626"/>
      <c r="G11" s="626"/>
      <c r="H11" s="626"/>
      <c r="I11" s="626"/>
      <c r="J11" s="626"/>
      <c r="K11" s="626"/>
      <c r="L11" s="626"/>
      <c r="M11" s="626"/>
      <c r="N11" s="626"/>
      <c r="O11" s="626"/>
      <c r="P11" s="626"/>
      <c r="Q11" s="626"/>
      <c r="R11" s="626"/>
      <c r="S11" s="626"/>
      <c r="T11" s="626"/>
      <c r="U11" s="626"/>
      <c r="V11" s="626"/>
    </row>
    <row r="12" spans="1:25">
      <c r="A12" s="3" t="s">
        <v>670</v>
      </c>
      <c r="B12" s="626" t="s">
        <v>669</v>
      </c>
      <c r="C12" s="626"/>
      <c r="D12" s="626"/>
      <c r="E12" s="626"/>
      <c r="F12" s="626"/>
      <c r="G12" s="626"/>
      <c r="H12" s="626"/>
      <c r="I12" s="626"/>
      <c r="J12" s="626"/>
      <c r="K12" s="626"/>
      <c r="L12" s="626"/>
      <c r="M12" s="626"/>
      <c r="N12" s="626"/>
      <c r="O12" s="626"/>
      <c r="P12" s="626"/>
      <c r="Q12" s="626"/>
      <c r="R12" s="626"/>
      <c r="S12" s="626"/>
      <c r="T12" s="626"/>
      <c r="U12" s="626"/>
      <c r="V12" s="626"/>
    </row>
    <row r="13" spans="1:25">
      <c r="B13" s="88"/>
      <c r="C13" s="533"/>
      <c r="D13" s="533"/>
      <c r="E13" s="533"/>
      <c r="F13" s="533"/>
      <c r="G13" s="533"/>
      <c r="H13" s="533"/>
      <c r="I13" s="533"/>
      <c r="J13" s="533"/>
      <c r="K13" s="533"/>
      <c r="L13" s="533"/>
      <c r="M13" s="533"/>
      <c r="N13" s="533"/>
      <c r="O13" s="533"/>
      <c r="P13" s="533"/>
      <c r="Q13" s="533"/>
      <c r="R13" s="533"/>
      <c r="S13" s="533"/>
      <c r="T13" s="533"/>
      <c r="U13" s="533"/>
      <c r="V13" s="533"/>
    </row>
    <row r="14" spans="1:25">
      <c r="A14" s="455" t="s">
        <v>672</v>
      </c>
      <c r="B14" s="42"/>
      <c r="C14" s="42"/>
      <c r="D14" s="42"/>
      <c r="E14" s="42"/>
      <c r="F14" s="42"/>
      <c r="G14" s="42"/>
      <c r="H14" s="42"/>
      <c r="I14" s="42"/>
      <c r="J14" s="42"/>
      <c r="K14" s="42"/>
      <c r="L14" s="42"/>
      <c r="M14" s="42"/>
      <c r="N14" s="42"/>
      <c r="O14" s="42"/>
      <c r="P14" s="42"/>
      <c r="Q14" s="42"/>
      <c r="R14" s="42"/>
      <c r="S14" s="42"/>
      <c r="T14" s="42"/>
      <c r="U14" s="42"/>
      <c r="V14" s="42"/>
    </row>
    <row r="15" spans="1:25">
      <c r="A15" s="59" t="s">
        <v>667</v>
      </c>
      <c r="B15" s="57"/>
      <c r="C15" s="57"/>
      <c r="D15" s="57"/>
      <c r="E15" s="57"/>
      <c r="F15" s="57"/>
      <c r="G15" s="57"/>
      <c r="H15" s="57"/>
      <c r="I15" s="57"/>
      <c r="J15" s="57"/>
      <c r="K15" s="57"/>
      <c r="L15" s="57"/>
      <c r="M15" s="57"/>
      <c r="N15" s="57"/>
      <c r="O15" s="57"/>
      <c r="P15" s="57"/>
      <c r="Q15" s="57"/>
      <c r="R15" s="57"/>
      <c r="S15" s="57"/>
      <c r="T15" s="57"/>
      <c r="U15" s="57"/>
      <c r="V15" s="57"/>
    </row>
    <row r="16" spans="1:25" s="22" customFormat="1">
      <c r="A16" s="536"/>
      <c r="B16" s="161"/>
      <c r="C16" s="536" t="s">
        <v>107</v>
      </c>
      <c r="D16" s="536" t="s">
        <v>109</v>
      </c>
      <c r="E16" s="536" t="s">
        <v>110</v>
      </c>
      <c r="F16" s="536" t="s">
        <v>112</v>
      </c>
      <c r="G16" s="536" t="s">
        <v>113</v>
      </c>
      <c r="H16" s="536" t="s">
        <v>114</v>
      </c>
      <c r="I16" s="536" t="s">
        <v>115</v>
      </c>
      <c r="J16" s="536" t="s">
        <v>103</v>
      </c>
      <c r="K16" s="536" t="s">
        <v>104</v>
      </c>
      <c r="L16" s="536" t="s">
        <v>105</v>
      </c>
      <c r="M16" s="536" t="s">
        <v>106</v>
      </c>
      <c r="N16" s="536" t="s">
        <v>99</v>
      </c>
      <c r="O16" s="536" t="s">
        <v>101</v>
      </c>
      <c r="P16" s="536" t="s">
        <v>117</v>
      </c>
      <c r="Q16" s="536" t="s">
        <v>118</v>
      </c>
      <c r="R16" s="536" t="s">
        <v>119</v>
      </c>
      <c r="S16" s="536" t="s">
        <v>120</v>
      </c>
      <c r="T16" s="536" t="s">
        <v>121</v>
      </c>
      <c r="U16" s="536" t="s">
        <v>122</v>
      </c>
      <c r="V16" s="536" t="s">
        <v>123</v>
      </c>
    </row>
    <row r="17" spans="1:23" s="22" customFormat="1">
      <c r="A17" s="3" t="s">
        <v>238</v>
      </c>
      <c r="B17" s="57" t="s">
        <v>217</v>
      </c>
      <c r="C17" s="189">
        <v>8564</v>
      </c>
      <c r="D17" s="189">
        <v>2415</v>
      </c>
      <c r="E17" s="189">
        <v>3053</v>
      </c>
      <c r="F17" s="189">
        <v>1730</v>
      </c>
      <c r="G17" s="189">
        <v>2183</v>
      </c>
      <c r="H17" s="189">
        <v>415</v>
      </c>
      <c r="I17" s="189">
        <v>615</v>
      </c>
      <c r="J17" s="189">
        <v>199</v>
      </c>
      <c r="K17" s="189">
        <v>744</v>
      </c>
      <c r="L17" s="189">
        <v>2554</v>
      </c>
      <c r="M17" s="189">
        <v>698</v>
      </c>
      <c r="N17" s="189">
        <v>0</v>
      </c>
      <c r="O17" s="189">
        <v>7</v>
      </c>
      <c r="P17" s="189">
        <v>2625</v>
      </c>
      <c r="Q17" s="189">
        <v>0</v>
      </c>
      <c r="R17" s="189">
        <v>0</v>
      </c>
      <c r="S17" s="189">
        <v>0</v>
      </c>
      <c r="T17" s="189">
        <v>210</v>
      </c>
      <c r="U17" s="189">
        <v>159</v>
      </c>
      <c r="V17" s="189">
        <v>168</v>
      </c>
      <c r="W17" s="72">
        <f>SUM(C17:V17)</f>
        <v>26339</v>
      </c>
    </row>
    <row r="18" spans="1:23" s="22" customFormat="1">
      <c r="A18" s="57"/>
      <c r="B18" s="57" t="s">
        <v>353</v>
      </c>
      <c r="C18" s="189">
        <v>5130</v>
      </c>
      <c r="D18" s="189">
        <v>1391</v>
      </c>
      <c r="E18" s="189">
        <v>2770</v>
      </c>
      <c r="F18" s="189">
        <v>1049</v>
      </c>
      <c r="G18" s="189">
        <v>1474</v>
      </c>
      <c r="H18" s="189">
        <v>166</v>
      </c>
      <c r="I18" s="189">
        <v>389</v>
      </c>
      <c r="J18" s="189">
        <v>90</v>
      </c>
      <c r="K18" s="189">
        <v>479</v>
      </c>
      <c r="L18" s="189">
        <v>2137</v>
      </c>
      <c r="M18" s="189">
        <v>531</v>
      </c>
      <c r="N18" s="189"/>
      <c r="O18" s="189">
        <v>3</v>
      </c>
      <c r="P18" s="189">
        <v>1646</v>
      </c>
      <c r="Q18" s="189"/>
      <c r="R18" s="189"/>
      <c r="S18" s="189"/>
      <c r="T18" s="189">
        <v>210</v>
      </c>
      <c r="U18" s="189">
        <v>159</v>
      </c>
      <c r="V18" s="189">
        <v>84</v>
      </c>
      <c r="W18" s="72">
        <f>SUM(C18:V18)</f>
        <v>17708</v>
      </c>
    </row>
    <row r="19" spans="1:23" s="22" customFormat="1">
      <c r="A19" s="57"/>
      <c r="B19" s="57" t="s">
        <v>454</v>
      </c>
      <c r="C19" s="189">
        <v>5077.9111721611725</v>
      </c>
      <c r="D19" s="189">
        <v>1384.0747481684982</v>
      </c>
      <c r="E19" s="189">
        <v>2767.4172390109889</v>
      </c>
      <c r="F19" s="189">
        <v>852.1253434065934</v>
      </c>
      <c r="G19" s="189">
        <v>1167.493131868132</v>
      </c>
      <c r="H19" s="189">
        <v>158.77358058608058</v>
      </c>
      <c r="I19" s="189">
        <v>287.36332417582418</v>
      </c>
      <c r="J19" s="189">
        <v>65.086309523809518</v>
      </c>
      <c r="K19" s="189">
        <v>290.97756410256409</v>
      </c>
      <c r="L19" s="189">
        <v>1306.2164606227107</v>
      </c>
      <c r="M19" s="189">
        <v>297.65384615384613</v>
      </c>
      <c r="N19" s="189"/>
      <c r="O19" s="189">
        <v>1.8198260073260073</v>
      </c>
      <c r="P19" s="189">
        <v>1180.6810897435898</v>
      </c>
      <c r="Q19" s="189"/>
      <c r="R19" s="189"/>
      <c r="S19" s="189"/>
      <c r="T19" s="189">
        <v>203.37328296703296</v>
      </c>
      <c r="U19" s="189">
        <v>159</v>
      </c>
      <c r="V19" s="189">
        <v>83.754464285714292</v>
      </c>
    </row>
    <row r="20" spans="1:23" s="22" customFormat="1">
      <c r="A20" s="57"/>
      <c r="B20" s="57" t="s">
        <v>455</v>
      </c>
      <c r="C20" s="189">
        <v>0</v>
      </c>
      <c r="D20" s="189"/>
      <c r="E20" s="189"/>
      <c r="F20" s="189"/>
      <c r="G20" s="189"/>
      <c r="H20" s="189"/>
      <c r="I20" s="189"/>
      <c r="J20" s="189">
        <v>16</v>
      </c>
      <c r="K20" s="189"/>
      <c r="L20" s="189"/>
      <c r="M20" s="189"/>
      <c r="N20" s="189"/>
      <c r="O20" s="189"/>
      <c r="P20" s="189"/>
      <c r="Q20" s="189"/>
      <c r="R20" s="189"/>
      <c r="S20" s="189"/>
      <c r="T20" s="189"/>
      <c r="U20" s="189">
        <v>159</v>
      </c>
      <c r="V20" s="189"/>
    </row>
    <row r="21" spans="1:23" s="22" customFormat="1">
      <c r="A21" s="161"/>
      <c r="B21" s="539" t="s">
        <v>666</v>
      </c>
      <c r="C21" s="537" t="s">
        <v>457</v>
      </c>
      <c r="D21" s="537" t="s">
        <v>457</v>
      </c>
      <c r="E21" s="537" t="s">
        <v>457</v>
      </c>
      <c r="F21" s="537" t="s">
        <v>458</v>
      </c>
      <c r="G21" s="537" t="s">
        <v>458</v>
      </c>
      <c r="H21" s="537" t="s">
        <v>457</v>
      </c>
      <c r="I21" s="537" t="s">
        <v>458</v>
      </c>
      <c r="J21" s="537" t="s">
        <v>458</v>
      </c>
      <c r="K21" s="537" t="s">
        <v>458</v>
      </c>
      <c r="L21" s="537" t="s">
        <v>458</v>
      </c>
      <c r="M21" s="537" t="s">
        <v>458</v>
      </c>
      <c r="N21" s="537"/>
      <c r="O21" s="537" t="s">
        <v>457</v>
      </c>
      <c r="P21" s="537" t="s">
        <v>458</v>
      </c>
      <c r="Q21" s="537"/>
      <c r="R21" s="537"/>
      <c r="S21" s="537"/>
      <c r="T21" s="537" t="s">
        <v>457</v>
      </c>
      <c r="U21" s="537" t="s">
        <v>457</v>
      </c>
      <c r="V21" s="537" t="s">
        <v>457</v>
      </c>
    </row>
    <row r="22" spans="1:23" s="22" customFormat="1">
      <c r="A22" s="3" t="s">
        <v>252</v>
      </c>
      <c r="B22" s="57" t="s">
        <v>217</v>
      </c>
      <c r="C22" s="189">
        <v>4825</v>
      </c>
      <c r="D22" s="189">
        <v>2600</v>
      </c>
      <c r="E22" s="189">
        <v>17361</v>
      </c>
      <c r="F22" s="189">
        <v>3980</v>
      </c>
      <c r="G22" s="189">
        <v>4678</v>
      </c>
      <c r="H22" s="189">
        <v>3664</v>
      </c>
      <c r="I22" s="189">
        <v>1594</v>
      </c>
      <c r="J22" s="189">
        <v>0</v>
      </c>
      <c r="K22" s="189">
        <v>0</v>
      </c>
      <c r="L22" s="189">
        <v>0</v>
      </c>
      <c r="M22" s="189">
        <v>0</v>
      </c>
      <c r="N22" s="189">
        <v>0</v>
      </c>
      <c r="O22" s="189">
        <v>0</v>
      </c>
      <c r="P22" s="189">
        <v>133</v>
      </c>
      <c r="Q22" s="189">
        <v>20</v>
      </c>
      <c r="R22" s="189">
        <v>195</v>
      </c>
      <c r="S22" s="189">
        <v>50</v>
      </c>
      <c r="T22" s="189">
        <v>107</v>
      </c>
      <c r="U22" s="189">
        <v>0</v>
      </c>
      <c r="V22" s="189">
        <v>135</v>
      </c>
      <c r="W22" s="72">
        <f>SUM(C22:V22)</f>
        <v>39342</v>
      </c>
    </row>
    <row r="23" spans="1:23" s="22" customFormat="1">
      <c r="A23" s="57"/>
      <c r="B23" s="57" t="s">
        <v>353</v>
      </c>
      <c r="C23" s="189">
        <v>4825</v>
      </c>
      <c r="D23" s="189">
        <v>1651</v>
      </c>
      <c r="E23" s="189">
        <v>17362</v>
      </c>
      <c r="F23" s="189">
        <v>2477</v>
      </c>
      <c r="G23" s="189">
        <v>2807</v>
      </c>
      <c r="H23" s="189">
        <v>2785</v>
      </c>
      <c r="I23" s="189">
        <v>1010</v>
      </c>
      <c r="J23" s="189"/>
      <c r="K23" s="189"/>
      <c r="L23" s="189"/>
      <c r="M23" s="189"/>
      <c r="N23" s="189"/>
      <c r="O23" s="189"/>
      <c r="P23" s="189">
        <v>85</v>
      </c>
      <c r="Q23" s="189">
        <v>20</v>
      </c>
      <c r="R23" s="189">
        <v>195</v>
      </c>
      <c r="S23" s="189">
        <v>50</v>
      </c>
      <c r="T23" s="189">
        <v>107</v>
      </c>
      <c r="U23" s="189"/>
      <c r="V23" s="189">
        <v>23</v>
      </c>
    </row>
    <row r="24" spans="1:23" s="22" customFormat="1">
      <c r="A24" s="57"/>
      <c r="B24" s="57" t="s">
        <v>454</v>
      </c>
      <c r="C24" s="189">
        <v>24.290636446886445</v>
      </c>
      <c r="D24" s="189">
        <v>185.4217032967033</v>
      </c>
      <c r="E24" s="189">
        <v>5643.8988095238092</v>
      </c>
      <c r="F24" s="189">
        <v>24.987637362637361</v>
      </c>
      <c r="G24" s="189">
        <v>269.29361263736263</v>
      </c>
      <c r="H24" s="189">
        <v>531.41185897435901</v>
      </c>
      <c r="I24" s="189">
        <v>253.2356913919414</v>
      </c>
      <c r="J24" s="189"/>
      <c r="K24" s="189"/>
      <c r="L24" s="189"/>
      <c r="M24" s="189"/>
      <c r="N24" s="189"/>
      <c r="O24" s="189"/>
      <c r="P24" s="189">
        <v>3.1133241758241756</v>
      </c>
      <c r="Q24" s="189">
        <v>0.80311355311355315</v>
      </c>
      <c r="R24" s="189">
        <v>4.5323946886446889</v>
      </c>
      <c r="S24" s="189">
        <v>5.7234432234432235</v>
      </c>
      <c r="T24" s="189">
        <v>21.883241758241759</v>
      </c>
      <c r="U24" s="189"/>
      <c r="V24" s="189">
        <v>3.8677884615384617</v>
      </c>
    </row>
    <row r="25" spans="1:23" s="22" customFormat="1">
      <c r="A25" s="57"/>
      <c r="B25" s="57" t="s">
        <v>455</v>
      </c>
      <c r="C25" s="189">
        <v>0</v>
      </c>
      <c r="D25" s="189"/>
      <c r="E25" s="189"/>
      <c r="F25" s="189"/>
      <c r="G25" s="189"/>
      <c r="H25" s="189"/>
      <c r="I25" s="189"/>
      <c r="J25" s="189"/>
      <c r="K25" s="189"/>
      <c r="L25" s="189"/>
      <c r="M25" s="189"/>
      <c r="N25" s="189"/>
      <c r="O25" s="189"/>
      <c r="P25" s="189"/>
      <c r="Q25" s="189"/>
      <c r="R25" s="189"/>
      <c r="S25" s="189"/>
      <c r="T25" s="189"/>
      <c r="U25" s="189"/>
      <c r="V25" s="189"/>
    </row>
    <row r="26" spans="1:23" s="22" customFormat="1">
      <c r="A26" s="161"/>
      <c r="B26" s="539" t="s">
        <v>666</v>
      </c>
      <c r="C26" s="537" t="s">
        <v>457</v>
      </c>
      <c r="D26" s="537" t="s">
        <v>457</v>
      </c>
      <c r="E26" s="537" t="s">
        <v>459</v>
      </c>
      <c r="F26" s="537" t="s">
        <v>458</v>
      </c>
      <c r="G26" s="537" t="s">
        <v>458</v>
      </c>
      <c r="H26" s="537" t="s">
        <v>458</v>
      </c>
      <c r="I26" s="537" t="s">
        <v>458</v>
      </c>
      <c r="J26" s="537"/>
      <c r="K26" s="537"/>
      <c r="L26" s="537"/>
      <c r="M26" s="537"/>
      <c r="N26" s="537"/>
      <c r="O26" s="537"/>
      <c r="P26" s="537" t="s">
        <v>458</v>
      </c>
      <c r="Q26" s="537" t="s">
        <v>457</v>
      </c>
      <c r="R26" s="537" t="s">
        <v>457</v>
      </c>
      <c r="S26" s="537" t="s">
        <v>457</v>
      </c>
      <c r="T26" s="537" t="s">
        <v>457</v>
      </c>
      <c r="U26" s="537"/>
      <c r="V26" s="537" t="s">
        <v>457</v>
      </c>
    </row>
    <row r="27" spans="1:23" s="22" customFormat="1">
      <c r="C27" s="113"/>
      <c r="D27" s="113"/>
      <c r="E27" s="113"/>
      <c r="F27" s="113"/>
      <c r="G27" s="113"/>
      <c r="H27" s="113"/>
      <c r="I27" s="113"/>
      <c r="J27" s="113"/>
      <c r="K27" s="113"/>
      <c r="L27" s="113"/>
      <c r="M27" s="113"/>
      <c r="N27" s="113"/>
      <c r="O27" s="72"/>
      <c r="P27" s="113"/>
      <c r="Q27" s="72"/>
      <c r="R27" s="72"/>
      <c r="S27" s="72"/>
      <c r="T27" s="113"/>
      <c r="U27" s="113"/>
      <c r="V27" s="113"/>
      <c r="W27" s="72"/>
    </row>
    <row r="28" spans="1:23" s="22" customFormat="1"/>
    <row r="29" spans="1:23" s="22" customFormat="1">
      <c r="A29" s="173" t="s">
        <v>671</v>
      </c>
      <c r="B29" s="535"/>
      <c r="C29" s="535"/>
      <c r="D29" s="535"/>
      <c r="E29" s="535"/>
      <c r="F29" s="535"/>
      <c r="G29" s="535"/>
      <c r="H29" s="535"/>
      <c r="I29" s="535"/>
      <c r="J29" s="535"/>
      <c r="K29" s="535"/>
      <c r="L29" s="535"/>
      <c r="M29" s="535"/>
      <c r="N29" s="535"/>
      <c r="O29" s="535"/>
      <c r="P29" s="535"/>
      <c r="Q29" s="535"/>
      <c r="R29" s="535"/>
      <c r="S29" s="535"/>
      <c r="T29" s="535"/>
      <c r="U29" s="535"/>
      <c r="V29" s="174"/>
    </row>
    <row r="30" spans="1:23" s="22" customFormat="1">
      <c r="A30" s="57" t="s">
        <v>673</v>
      </c>
      <c r="B30" s="57" t="s">
        <v>675</v>
      </c>
      <c r="C30" s="57"/>
      <c r="D30" s="57"/>
      <c r="E30" s="57"/>
      <c r="F30" s="57"/>
      <c r="G30" s="57"/>
      <c r="H30" s="57"/>
      <c r="I30" s="57"/>
      <c r="J30" s="57"/>
      <c r="K30" s="57"/>
      <c r="L30" s="57"/>
      <c r="M30" s="57"/>
      <c r="N30" s="57"/>
      <c r="O30" s="57"/>
      <c r="P30" s="57"/>
      <c r="Q30" s="57"/>
      <c r="R30" s="57"/>
      <c r="S30" s="57"/>
      <c r="T30" s="57"/>
      <c r="U30" s="57"/>
      <c r="V30" s="57"/>
    </row>
    <row r="31" spans="1:23">
      <c r="A31" s="3"/>
      <c r="B31" s="3" t="s">
        <v>676</v>
      </c>
      <c r="C31" s="3"/>
      <c r="D31" s="3"/>
      <c r="E31" s="3"/>
      <c r="F31" s="3"/>
      <c r="G31" s="3"/>
      <c r="H31" s="3"/>
      <c r="I31" s="3"/>
      <c r="J31" s="3"/>
      <c r="K31" s="3"/>
      <c r="L31" s="3"/>
      <c r="M31" s="3"/>
      <c r="N31" s="3"/>
      <c r="O31" s="3"/>
      <c r="P31" s="3"/>
      <c r="Q31" s="3"/>
      <c r="R31" s="3"/>
      <c r="S31" s="3"/>
      <c r="T31" s="3"/>
      <c r="U31" s="3"/>
      <c r="V31" s="3"/>
      <c r="W31" s="22"/>
    </row>
    <row r="32" spans="1:23">
      <c r="A32" s="57" t="s">
        <v>674</v>
      </c>
      <c r="B32" s="3" t="s">
        <v>677</v>
      </c>
      <c r="C32" s="3"/>
      <c r="D32" s="3"/>
      <c r="E32" s="3"/>
      <c r="F32" s="3"/>
      <c r="G32" s="3"/>
      <c r="H32" s="3"/>
      <c r="I32" s="3"/>
      <c r="J32" s="3"/>
      <c r="K32" s="3"/>
      <c r="L32" s="3"/>
      <c r="M32" s="3"/>
      <c r="N32" s="3"/>
      <c r="O32" s="3"/>
      <c r="P32" s="3"/>
      <c r="Q32" s="3"/>
      <c r="R32" s="3"/>
      <c r="S32" s="3"/>
      <c r="T32" s="3"/>
      <c r="U32" s="3"/>
      <c r="V32" s="3"/>
      <c r="W32" s="22"/>
    </row>
    <row r="33" spans="1:29">
      <c r="A33" s="3"/>
      <c r="B33" s="3" t="s">
        <v>678</v>
      </c>
      <c r="C33" s="3"/>
      <c r="D33" s="3"/>
      <c r="E33" s="3"/>
      <c r="F33" s="3"/>
      <c r="G33" s="3"/>
      <c r="H33" s="3"/>
      <c r="I33" s="3"/>
      <c r="J33" s="3"/>
      <c r="K33" s="3"/>
      <c r="L33" s="3"/>
      <c r="M33" s="3"/>
      <c r="N33" s="3"/>
      <c r="O33" s="3"/>
      <c r="P33" s="3"/>
      <c r="Q33" s="3"/>
      <c r="R33" s="3"/>
      <c r="S33" s="3"/>
      <c r="T33" s="3"/>
      <c r="U33" s="3"/>
      <c r="V33" s="3"/>
      <c r="W33" s="22"/>
    </row>
    <row r="34" spans="1:29">
      <c r="A34" s="3"/>
      <c r="B34" s="17" t="s">
        <v>680</v>
      </c>
      <c r="C34" s="17"/>
      <c r="D34" s="17"/>
      <c r="E34" s="17"/>
      <c r="F34" s="17"/>
      <c r="G34" s="17"/>
      <c r="H34" s="17"/>
      <c r="I34" s="220" t="s">
        <v>679</v>
      </c>
      <c r="J34" s="17"/>
      <c r="K34" s="3"/>
      <c r="L34" s="3"/>
      <c r="M34" s="3"/>
      <c r="N34" s="3"/>
      <c r="O34" s="3"/>
      <c r="P34" s="3"/>
      <c r="Q34" s="3"/>
      <c r="R34" s="3"/>
      <c r="S34" s="3"/>
      <c r="T34" s="3"/>
      <c r="U34" s="3"/>
      <c r="V34" s="3"/>
      <c r="W34" s="22"/>
    </row>
    <row r="35" spans="1:29">
      <c r="A35" s="3" t="s">
        <v>681</v>
      </c>
      <c r="B35" s="3" t="s">
        <v>682</v>
      </c>
      <c r="C35" s="3" t="s">
        <v>683</v>
      </c>
      <c r="D35" s="3"/>
      <c r="E35" s="3"/>
      <c r="F35" s="3"/>
      <c r="G35" s="3"/>
      <c r="H35" s="3"/>
      <c r="I35" s="3"/>
      <c r="J35" s="3"/>
      <c r="K35" s="3"/>
      <c r="L35" s="3"/>
      <c r="M35" s="3"/>
      <c r="N35" s="3"/>
      <c r="O35" s="3"/>
      <c r="P35" s="3"/>
      <c r="Q35" s="3"/>
      <c r="R35" s="3"/>
      <c r="S35" s="3"/>
      <c r="T35" s="3"/>
      <c r="U35" s="3"/>
      <c r="V35" s="3"/>
      <c r="W35" s="22"/>
    </row>
    <row r="36" spans="1:29">
      <c r="A36" s="3"/>
      <c r="B36" s="3" t="s">
        <v>622</v>
      </c>
      <c r="C36" s="3" t="s">
        <v>687</v>
      </c>
      <c r="D36" s="3"/>
      <c r="E36" s="3"/>
      <c r="F36" s="3"/>
      <c r="G36" s="3"/>
      <c r="H36" s="3"/>
      <c r="I36" s="3"/>
      <c r="J36" s="3"/>
      <c r="K36" s="3"/>
      <c r="L36" s="3"/>
      <c r="M36" s="3"/>
      <c r="N36" s="3"/>
      <c r="O36" s="3"/>
      <c r="P36" s="3"/>
      <c r="Q36" s="3"/>
      <c r="R36" s="3"/>
      <c r="S36" s="3"/>
      <c r="T36" s="3"/>
      <c r="U36" s="3"/>
      <c r="V36" s="3"/>
      <c r="W36" s="22"/>
    </row>
    <row r="38" spans="1:29">
      <c r="A38" s="455" t="s">
        <v>216</v>
      </c>
      <c r="B38" s="42"/>
      <c r="C38" s="42"/>
      <c r="D38" s="42"/>
      <c r="E38" s="42"/>
      <c r="F38" s="42"/>
      <c r="G38" s="42"/>
      <c r="H38" s="42"/>
      <c r="I38" s="42"/>
      <c r="J38" s="42"/>
      <c r="K38" s="42"/>
      <c r="L38" s="42"/>
      <c r="M38" s="42"/>
      <c r="N38" s="42"/>
      <c r="O38" s="42"/>
      <c r="P38" s="42"/>
      <c r="Q38" s="42"/>
      <c r="R38" s="42"/>
      <c r="S38" s="42"/>
      <c r="T38" s="42"/>
      <c r="U38" s="42"/>
      <c r="V38" s="42"/>
    </row>
    <row r="39" spans="1:29">
      <c r="A39" s="3" t="s">
        <v>681</v>
      </c>
      <c r="B39" s="3" t="s">
        <v>686</v>
      </c>
      <c r="C39" s="3"/>
      <c r="D39" s="3"/>
      <c r="E39" s="3"/>
      <c r="F39" s="3"/>
      <c r="G39" s="3"/>
      <c r="H39" s="3"/>
      <c r="I39" s="3"/>
      <c r="J39" s="3"/>
      <c r="K39" s="3"/>
      <c r="L39" s="3"/>
      <c r="M39" s="3"/>
      <c r="N39" s="3"/>
      <c r="O39" s="3"/>
      <c r="P39" s="3"/>
      <c r="Q39" s="3"/>
      <c r="R39" s="3"/>
      <c r="S39" s="3"/>
      <c r="T39" s="3"/>
      <c r="U39" s="3"/>
      <c r="V39" s="3"/>
    </row>
    <row r="40" spans="1:29">
      <c r="A40" s="536"/>
      <c r="B40" s="536" t="s">
        <v>684</v>
      </c>
      <c r="C40" s="536"/>
      <c r="D40" s="536"/>
      <c r="E40" s="536"/>
      <c r="F40" s="536"/>
      <c r="G40" s="536"/>
      <c r="H40" s="536"/>
      <c r="I40" s="536"/>
      <c r="J40" s="536"/>
      <c r="K40" s="536"/>
      <c r="L40" s="536"/>
      <c r="M40" s="536"/>
      <c r="N40" s="536"/>
      <c r="O40" s="536"/>
      <c r="P40" s="536"/>
      <c r="Q40" s="536"/>
      <c r="R40" s="536"/>
      <c r="S40" s="536"/>
      <c r="T40" s="536"/>
      <c r="U40" s="536"/>
      <c r="V40" s="536"/>
    </row>
    <row r="41" spans="1:29" ht="15" customHeight="1">
      <c r="A41" s="3"/>
      <c r="B41" s="3"/>
      <c r="C41" s="3" t="s">
        <v>107</v>
      </c>
      <c r="D41" s="3" t="s">
        <v>109</v>
      </c>
      <c r="E41" s="3" t="s">
        <v>110</v>
      </c>
      <c r="F41" s="3" t="s">
        <v>112</v>
      </c>
      <c r="G41" s="3" t="s">
        <v>113</v>
      </c>
      <c r="H41" s="3" t="s">
        <v>114</v>
      </c>
      <c r="I41" s="3" t="s">
        <v>115</v>
      </c>
      <c r="J41" s="3" t="s">
        <v>103</v>
      </c>
      <c r="K41" s="3" t="s">
        <v>104</v>
      </c>
      <c r="L41" s="3" t="s">
        <v>105</v>
      </c>
      <c r="M41" s="3" t="s">
        <v>106</v>
      </c>
      <c r="N41" s="3" t="s">
        <v>99</v>
      </c>
      <c r="O41" s="3" t="s">
        <v>101</v>
      </c>
      <c r="P41" s="3" t="s">
        <v>117</v>
      </c>
      <c r="Q41" s="3" t="s">
        <v>118</v>
      </c>
      <c r="R41" s="3" t="s">
        <v>119</v>
      </c>
      <c r="S41" s="3" t="s">
        <v>120</v>
      </c>
      <c r="T41" s="3" t="s">
        <v>121</v>
      </c>
      <c r="U41" s="3" t="s">
        <v>122</v>
      </c>
      <c r="V41" s="3" t="s">
        <v>123</v>
      </c>
    </row>
    <row r="42" spans="1:29">
      <c r="A42" s="540" t="s">
        <v>685</v>
      </c>
      <c r="B42" s="3"/>
      <c r="C42" s="72">
        <f t="shared" ref="C42:V42" si="0">C19+C24</f>
        <v>5102.2018086080589</v>
      </c>
      <c r="D42" s="72">
        <f t="shared" si="0"/>
        <v>1569.4964514652015</v>
      </c>
      <c r="E42" s="72">
        <f t="shared" si="0"/>
        <v>8411.316048534798</v>
      </c>
      <c r="F42" s="72">
        <f t="shared" si="0"/>
        <v>877.11298076923072</v>
      </c>
      <c r="G42" s="72">
        <f t="shared" si="0"/>
        <v>1436.7867445054947</v>
      </c>
      <c r="H42" s="72">
        <f t="shared" si="0"/>
        <v>690.18543956043959</v>
      </c>
      <c r="I42" s="72">
        <f t="shared" si="0"/>
        <v>540.5990155677656</v>
      </c>
      <c r="J42" s="72">
        <f t="shared" si="0"/>
        <v>65.086309523809518</v>
      </c>
      <c r="K42" s="72">
        <f t="shared" si="0"/>
        <v>290.97756410256409</v>
      </c>
      <c r="L42" s="72">
        <f t="shared" si="0"/>
        <v>1306.2164606227107</v>
      </c>
      <c r="M42" s="72">
        <f t="shared" si="0"/>
        <v>297.65384615384613</v>
      </c>
      <c r="N42" s="72">
        <f t="shared" si="0"/>
        <v>0</v>
      </c>
      <c r="O42" s="72">
        <f t="shared" si="0"/>
        <v>1.8198260073260073</v>
      </c>
      <c r="P42" s="72">
        <f t="shared" si="0"/>
        <v>1183.794413919414</v>
      </c>
      <c r="Q42" s="72">
        <f t="shared" si="0"/>
        <v>0.80311355311355315</v>
      </c>
      <c r="R42" s="72">
        <f t="shared" si="0"/>
        <v>4.5323946886446889</v>
      </c>
      <c r="S42" s="72">
        <f t="shared" si="0"/>
        <v>5.7234432234432235</v>
      </c>
      <c r="T42" s="72">
        <f t="shared" si="0"/>
        <v>225.25652472527472</v>
      </c>
      <c r="U42" s="72">
        <f t="shared" si="0"/>
        <v>159</v>
      </c>
      <c r="V42" s="72">
        <f t="shared" si="0"/>
        <v>87.622252747252759</v>
      </c>
      <c r="W42" s="72">
        <f>SUM(C42:V42)</f>
        <v>22256.184638278388</v>
      </c>
    </row>
    <row r="43" spans="1:29">
      <c r="A43" s="3" t="s">
        <v>456</v>
      </c>
      <c r="B43" s="3"/>
      <c r="C43" s="538">
        <f>C42*2</f>
        <v>10204.403617216118</v>
      </c>
      <c r="D43" s="538">
        <f t="shared" ref="D43:V43" si="1">D42*2</f>
        <v>3138.992902930403</v>
      </c>
      <c r="E43" s="538">
        <f t="shared" si="1"/>
        <v>16822.632097069596</v>
      </c>
      <c r="F43" s="538">
        <f t="shared" si="1"/>
        <v>1754.2259615384614</v>
      </c>
      <c r="G43" s="538">
        <f t="shared" si="1"/>
        <v>2873.5734890109893</v>
      </c>
      <c r="H43" s="538">
        <f t="shared" si="1"/>
        <v>1380.3708791208792</v>
      </c>
      <c r="I43" s="538">
        <f t="shared" si="1"/>
        <v>1081.1980311355312</v>
      </c>
      <c r="J43" s="538">
        <f t="shared" si="1"/>
        <v>130.17261904761904</v>
      </c>
      <c r="K43" s="538">
        <f t="shared" si="1"/>
        <v>581.95512820512818</v>
      </c>
      <c r="L43" s="538">
        <f t="shared" si="1"/>
        <v>2612.4329212454213</v>
      </c>
      <c r="M43" s="538">
        <f t="shared" si="1"/>
        <v>595.30769230769226</v>
      </c>
      <c r="N43" s="538">
        <f t="shared" si="1"/>
        <v>0</v>
      </c>
      <c r="O43" s="538">
        <f t="shared" si="1"/>
        <v>3.6396520146520146</v>
      </c>
      <c r="P43" s="538">
        <f t="shared" si="1"/>
        <v>2367.5888278388279</v>
      </c>
      <c r="Q43" s="538">
        <f t="shared" si="1"/>
        <v>1.6062271062271063</v>
      </c>
      <c r="R43" s="538">
        <f t="shared" si="1"/>
        <v>9.0647893772893777</v>
      </c>
      <c r="S43" s="538">
        <f t="shared" si="1"/>
        <v>11.446886446886447</v>
      </c>
      <c r="T43" s="538">
        <f t="shared" si="1"/>
        <v>450.51304945054943</v>
      </c>
      <c r="U43" s="538">
        <f t="shared" si="1"/>
        <v>318</v>
      </c>
      <c r="V43" s="538">
        <f t="shared" si="1"/>
        <v>175.24450549450552</v>
      </c>
      <c r="W43" s="72">
        <f>SUM(C43:V43)</f>
        <v>44512.369276556776</v>
      </c>
      <c r="Y43" s="72"/>
      <c r="Z43" s="72"/>
      <c r="AB43" s="527"/>
      <c r="AC43" s="527"/>
    </row>
    <row r="44" spans="1:29">
      <c r="C44" s="94">
        <f t="shared" ref="C44:M44" si="2">C42/(D61+D65)</f>
        <v>0.38107415106490844</v>
      </c>
      <c r="D44" s="94">
        <f t="shared" si="2"/>
        <v>0.31296040906584277</v>
      </c>
      <c r="E44" s="94">
        <f t="shared" si="2"/>
        <v>0.41203664389805028</v>
      </c>
      <c r="F44" s="94">
        <f t="shared" si="2"/>
        <v>0.1536099791189546</v>
      </c>
      <c r="G44" s="94">
        <f t="shared" si="2"/>
        <v>0.20941360508752291</v>
      </c>
      <c r="H44" s="94">
        <f t="shared" si="2"/>
        <v>0.16920456963972533</v>
      </c>
      <c r="I44" s="94">
        <f t="shared" si="2"/>
        <v>0.24472567477037827</v>
      </c>
      <c r="J44" s="94">
        <f t="shared" si="2"/>
        <v>0.32706688202919354</v>
      </c>
      <c r="K44" s="94">
        <f t="shared" si="2"/>
        <v>0.39109887648194097</v>
      </c>
      <c r="L44" s="94">
        <f t="shared" si="2"/>
        <v>0.51143949123833621</v>
      </c>
      <c r="M44" s="94">
        <f t="shared" si="2"/>
        <v>0.42643817500551023</v>
      </c>
      <c r="N44" s="94"/>
      <c r="O44" s="94">
        <f t="shared" ref="O44:W44" si="3">O42/(P61+P65)</f>
        <v>0.25997514390371534</v>
      </c>
      <c r="P44" s="94">
        <f t="shared" si="3"/>
        <v>0.42922205000703917</v>
      </c>
      <c r="Q44" s="94">
        <f t="shared" si="3"/>
        <v>4.0155677655677659E-2</v>
      </c>
      <c r="R44" s="94">
        <f t="shared" si="3"/>
        <v>2.324304968535738E-2</v>
      </c>
      <c r="S44" s="94">
        <f t="shared" si="3"/>
        <v>0.11446886446886446</v>
      </c>
      <c r="T44" s="94">
        <f t="shared" si="3"/>
        <v>0.71058840607342177</v>
      </c>
      <c r="U44" s="94">
        <f t="shared" si="3"/>
        <v>1</v>
      </c>
      <c r="V44" s="94">
        <f t="shared" si="3"/>
        <v>0.28918235230116424</v>
      </c>
      <c r="W44" s="94">
        <f t="shared" si="3"/>
        <v>0.33885270684487734</v>
      </c>
      <c r="Y44" s="72"/>
      <c r="Z44" s="72"/>
      <c r="AA44" s="526"/>
    </row>
    <row r="45" spans="1:29">
      <c r="J45" s="427"/>
      <c r="K45" s="420"/>
      <c r="O45" s="420"/>
      <c r="P45" s="428"/>
      <c r="T45" s="427"/>
      <c r="U45" s="428"/>
      <c r="Y45" s="428"/>
      <c r="Z45" s="72"/>
    </row>
    <row r="46" spans="1:29">
      <c r="A46" s="455" t="s">
        <v>621</v>
      </c>
      <c r="B46" s="42"/>
      <c r="C46" s="42"/>
      <c r="D46" s="42"/>
      <c r="E46" s="42"/>
      <c r="F46" s="42"/>
      <c r="G46" s="42"/>
      <c r="H46" s="42"/>
      <c r="I46" s="42"/>
      <c r="J46" s="42"/>
      <c r="K46" s="42"/>
      <c r="L46" s="42"/>
      <c r="M46" s="42"/>
      <c r="N46" s="42"/>
      <c r="O46" s="42"/>
      <c r="P46" s="42"/>
      <c r="Q46" s="42"/>
      <c r="R46" s="42"/>
      <c r="S46" s="42"/>
      <c r="T46" s="42"/>
      <c r="U46" s="42"/>
      <c r="V46" s="42"/>
    </row>
    <row r="47" spans="1:29">
      <c r="A47" s="3" t="s">
        <v>681</v>
      </c>
      <c r="B47" s="3" t="s">
        <v>689</v>
      </c>
      <c r="C47" s="3"/>
      <c r="D47" s="3"/>
      <c r="E47" s="3"/>
      <c r="F47" s="3"/>
      <c r="G47" s="3"/>
      <c r="H47" s="3"/>
      <c r="I47" s="3"/>
      <c r="J47" s="3"/>
      <c r="K47" s="3"/>
      <c r="L47" s="3"/>
      <c r="M47" s="3"/>
      <c r="N47" s="3"/>
      <c r="O47" s="3"/>
      <c r="P47" s="3"/>
      <c r="Q47" s="3"/>
      <c r="R47" s="3"/>
      <c r="S47" s="3"/>
      <c r="T47" s="3"/>
      <c r="U47" s="3"/>
      <c r="V47" s="3"/>
    </row>
    <row r="48" spans="1:29">
      <c r="A48" s="3"/>
      <c r="B48" s="3" t="s">
        <v>690</v>
      </c>
      <c r="C48" s="3"/>
      <c r="D48" s="3"/>
      <c r="E48" s="3"/>
      <c r="F48" s="3"/>
      <c r="G48" s="3"/>
      <c r="H48" s="3"/>
      <c r="I48" s="3"/>
      <c r="J48" s="3"/>
      <c r="K48" s="3"/>
      <c r="L48" s="3"/>
      <c r="M48" s="3"/>
      <c r="N48" s="3"/>
      <c r="O48" s="3"/>
      <c r="P48" s="3"/>
      <c r="Q48" s="3"/>
      <c r="R48" s="3"/>
      <c r="S48" s="3"/>
      <c r="T48" s="3"/>
      <c r="U48" s="3"/>
      <c r="V48" s="3"/>
    </row>
    <row r="49" spans="1:25">
      <c r="A49" s="536"/>
      <c r="B49" s="536" t="s">
        <v>691</v>
      </c>
      <c r="C49" s="536"/>
      <c r="D49" s="536"/>
      <c r="E49" s="536"/>
      <c r="F49" s="536"/>
      <c r="G49" s="536"/>
      <c r="H49" s="536"/>
      <c r="I49" s="536"/>
      <c r="J49" s="536"/>
      <c r="K49" s="536"/>
      <c r="L49" s="536"/>
      <c r="M49" s="536"/>
      <c r="N49" s="536"/>
      <c r="O49" s="536"/>
      <c r="P49" s="536"/>
      <c r="Q49" s="536"/>
      <c r="R49" s="536"/>
      <c r="S49" s="536"/>
      <c r="T49" s="536"/>
      <c r="U49" s="536"/>
      <c r="V49" s="536"/>
      <c r="X49" s="72"/>
    </row>
    <row r="50" spans="1:25">
      <c r="B50" s="3" t="s">
        <v>688</v>
      </c>
      <c r="C50" s="3"/>
      <c r="D50" s="3"/>
      <c r="X50" s="72"/>
    </row>
    <row r="51" spans="1:25" ht="15" customHeight="1">
      <c r="B51" s="3"/>
      <c r="C51" s="3" t="s">
        <v>543</v>
      </c>
      <c r="D51" s="3" t="s">
        <v>623</v>
      </c>
      <c r="X51" s="94"/>
    </row>
    <row r="52" spans="1:25" ht="15" customHeight="1">
      <c r="B52" s="3" t="s">
        <v>624</v>
      </c>
      <c r="C52" s="472">
        <v>44.512</v>
      </c>
      <c r="D52" s="427">
        <f>C52/2</f>
        <v>22.256</v>
      </c>
      <c r="X52" s="72"/>
    </row>
    <row r="53" spans="1:25" ht="15" customHeight="1">
      <c r="B53" s="3" t="s">
        <v>626</v>
      </c>
      <c r="C53" s="472">
        <f>C52</f>
        <v>44.512</v>
      </c>
      <c r="D53" s="525">
        <v>65.680999999999997</v>
      </c>
      <c r="X53" s="72"/>
    </row>
    <row r="54" spans="1:25" ht="15" customHeight="1">
      <c r="B54" s="3" t="s">
        <v>627</v>
      </c>
      <c r="C54" s="427">
        <f>D53*3/2+C53/6</f>
        <v>105.94016666666667</v>
      </c>
      <c r="D54" s="427">
        <f>C54/2</f>
        <v>52.970083333333335</v>
      </c>
      <c r="X54" s="72"/>
    </row>
    <row r="55" spans="1:25" ht="15" customHeight="1">
      <c r="B55" s="3" t="s">
        <v>628</v>
      </c>
      <c r="C55" s="524">
        <v>0</v>
      </c>
      <c r="D55" s="528">
        <f>D54*4/3</f>
        <v>70.626777777777775</v>
      </c>
      <c r="X55" s="72"/>
    </row>
    <row r="56" spans="1:25" ht="15" customHeight="1">
      <c r="D56" s="526">
        <f>D53/C54</f>
        <v>0.61998203388390616</v>
      </c>
      <c r="X56" s="72"/>
    </row>
    <row r="57" spans="1:25" ht="15" customHeight="1">
      <c r="C57" s="526"/>
      <c r="X57" s="72"/>
    </row>
    <row r="58" spans="1:25" ht="15" customHeight="1">
      <c r="A58" s="455" t="s">
        <v>300</v>
      </c>
      <c r="B58" s="42"/>
      <c r="C58" s="542"/>
      <c r="D58" s="42"/>
      <c r="E58" s="42"/>
      <c r="F58" s="42"/>
      <c r="G58" s="42"/>
      <c r="H58" s="42"/>
      <c r="I58" s="42"/>
      <c r="J58" s="42"/>
      <c r="K58" s="42"/>
      <c r="L58" s="42"/>
      <c r="M58" s="42"/>
      <c r="N58" s="42"/>
      <c r="O58" s="42"/>
      <c r="P58" s="42"/>
      <c r="Q58" s="42"/>
      <c r="R58" s="42"/>
      <c r="S58" s="42"/>
      <c r="T58" s="42"/>
      <c r="U58" s="42"/>
      <c r="V58" s="42"/>
      <c r="W58" s="42"/>
      <c r="X58" s="72"/>
    </row>
    <row r="59" spans="1:25" ht="15" customHeight="1">
      <c r="A59" s="3" t="s">
        <v>704</v>
      </c>
      <c r="B59" s="614" t="s">
        <v>706</v>
      </c>
      <c r="C59" s="614"/>
      <c r="D59" s="614"/>
      <c r="E59" s="614"/>
      <c r="F59" s="614"/>
      <c r="G59" s="614"/>
      <c r="H59" s="614"/>
      <c r="I59" s="614"/>
      <c r="J59" s="614"/>
      <c r="K59" s="614"/>
      <c r="L59" s="614"/>
      <c r="M59" s="614"/>
      <c r="N59" s="614"/>
      <c r="O59" s="614"/>
      <c r="P59" s="614"/>
      <c r="Q59" s="614"/>
      <c r="R59" s="614"/>
      <c r="S59" s="614"/>
      <c r="T59" s="614"/>
      <c r="U59" s="614"/>
      <c r="V59" s="614"/>
      <c r="W59" s="614"/>
      <c r="X59" s="72"/>
    </row>
    <row r="60" spans="1:25" ht="15" customHeight="1">
      <c r="A60" s="536"/>
      <c r="B60" s="536"/>
      <c r="C60" s="544" t="s">
        <v>692</v>
      </c>
      <c r="D60" s="536" t="s">
        <v>107</v>
      </c>
      <c r="E60" s="536" t="s">
        <v>109</v>
      </c>
      <c r="F60" s="536" t="s">
        <v>110</v>
      </c>
      <c r="G60" s="536" t="s">
        <v>112</v>
      </c>
      <c r="H60" s="536" t="s">
        <v>113</v>
      </c>
      <c r="I60" s="536" t="s">
        <v>114</v>
      </c>
      <c r="J60" s="536" t="s">
        <v>115</v>
      </c>
      <c r="K60" s="536" t="s">
        <v>103</v>
      </c>
      <c r="L60" s="536" t="s">
        <v>104</v>
      </c>
      <c r="M60" s="536" t="s">
        <v>105</v>
      </c>
      <c r="N60" s="536" t="s">
        <v>106</v>
      </c>
      <c r="O60" s="536" t="s">
        <v>99</v>
      </c>
      <c r="P60" s="536" t="s">
        <v>101</v>
      </c>
      <c r="Q60" s="536" t="s">
        <v>117</v>
      </c>
      <c r="R60" s="536" t="s">
        <v>118</v>
      </c>
      <c r="S60" s="536" t="s">
        <v>119</v>
      </c>
      <c r="T60" s="536" t="s">
        <v>120</v>
      </c>
      <c r="U60" s="536" t="s">
        <v>121</v>
      </c>
      <c r="V60" s="536" t="s">
        <v>122</v>
      </c>
      <c r="W60" s="536" t="s">
        <v>123</v>
      </c>
    </row>
    <row r="61" spans="1:25" ht="15" customHeight="1">
      <c r="A61" s="534" t="s">
        <v>238</v>
      </c>
      <c r="B61" s="57" t="s">
        <v>623</v>
      </c>
      <c r="C61" s="17" t="s">
        <v>626</v>
      </c>
      <c r="D61" s="222">
        <f>C17</f>
        <v>8564</v>
      </c>
      <c r="E61" s="222">
        <f t="shared" ref="E61:W61" si="4">D17</f>
        <v>2415</v>
      </c>
      <c r="F61" s="222">
        <f t="shared" si="4"/>
        <v>3053</v>
      </c>
      <c r="G61" s="222">
        <f t="shared" si="4"/>
        <v>1730</v>
      </c>
      <c r="H61" s="222">
        <f t="shared" si="4"/>
        <v>2183</v>
      </c>
      <c r="I61" s="222">
        <f t="shared" si="4"/>
        <v>415</v>
      </c>
      <c r="J61" s="222">
        <f t="shared" si="4"/>
        <v>615</v>
      </c>
      <c r="K61" s="222">
        <f t="shared" si="4"/>
        <v>199</v>
      </c>
      <c r="L61" s="222">
        <f t="shared" si="4"/>
        <v>744</v>
      </c>
      <c r="M61" s="222">
        <f t="shared" si="4"/>
        <v>2554</v>
      </c>
      <c r="N61" s="222">
        <f t="shared" si="4"/>
        <v>698</v>
      </c>
      <c r="O61" s="222">
        <f t="shared" si="4"/>
        <v>0</v>
      </c>
      <c r="P61" s="222">
        <f t="shared" si="4"/>
        <v>7</v>
      </c>
      <c r="Q61" s="222">
        <f t="shared" si="4"/>
        <v>2625</v>
      </c>
      <c r="R61" s="222">
        <f t="shared" si="4"/>
        <v>0</v>
      </c>
      <c r="S61" s="222">
        <f t="shared" si="4"/>
        <v>0</v>
      </c>
      <c r="T61" s="222">
        <f t="shared" si="4"/>
        <v>0</v>
      </c>
      <c r="U61" s="222">
        <f t="shared" si="4"/>
        <v>210</v>
      </c>
      <c r="V61" s="222">
        <f t="shared" si="4"/>
        <v>159</v>
      </c>
      <c r="W61" s="222">
        <f t="shared" si="4"/>
        <v>168</v>
      </c>
      <c r="X61" s="72">
        <f>SUM(D61:W61)</f>
        <v>26339</v>
      </c>
    </row>
    <row r="62" spans="1:25" ht="15" customHeight="1">
      <c r="A62" s="534"/>
      <c r="B62" s="3" t="s">
        <v>543</v>
      </c>
      <c r="C62" s="17" t="s">
        <v>627</v>
      </c>
      <c r="D62" s="541">
        <f t="shared" ref="D62:W62" si="5">D61*$C$54/$D$53</f>
        <v>13813.303502281229</v>
      </c>
      <c r="E62" s="541">
        <f t="shared" si="5"/>
        <v>3895.2741660449751</v>
      </c>
      <c r="F62" s="541">
        <f t="shared" si="5"/>
        <v>4924.3362438655522</v>
      </c>
      <c r="G62" s="541">
        <f t="shared" si="5"/>
        <v>2790.4034398583053</v>
      </c>
      <c r="H62" s="541">
        <f t="shared" si="5"/>
        <v>3521.0697741102194</v>
      </c>
      <c r="I62" s="541">
        <f t="shared" si="5"/>
        <v>669.37423557294608</v>
      </c>
      <c r="J62" s="541">
        <f t="shared" si="5"/>
        <v>991.9642286201489</v>
      </c>
      <c r="K62" s="541">
        <f t="shared" si="5"/>
        <v>320.97704308196688</v>
      </c>
      <c r="L62" s="541">
        <f t="shared" si="5"/>
        <v>1200.0347741355947</v>
      </c>
      <c r="M62" s="541">
        <f t="shared" si="5"/>
        <v>4119.4742112127806</v>
      </c>
      <c r="N62" s="541">
        <f t="shared" si="5"/>
        <v>1125.8390757347381</v>
      </c>
      <c r="O62" s="541">
        <f t="shared" si="5"/>
        <v>0</v>
      </c>
      <c r="P62" s="541">
        <f t="shared" si="5"/>
        <v>11.290649756652103</v>
      </c>
      <c r="Q62" s="541">
        <f t="shared" si="5"/>
        <v>4233.9936587445382</v>
      </c>
      <c r="R62" s="541">
        <f t="shared" si="5"/>
        <v>0</v>
      </c>
      <c r="S62" s="541">
        <f t="shared" si="5"/>
        <v>0</v>
      </c>
      <c r="T62" s="541">
        <f t="shared" si="5"/>
        <v>0</v>
      </c>
      <c r="U62" s="541">
        <f t="shared" si="5"/>
        <v>338.71949269956309</v>
      </c>
      <c r="V62" s="546">
        <f t="shared" si="5"/>
        <v>256.45904447252627</v>
      </c>
      <c r="W62" s="541">
        <f t="shared" si="5"/>
        <v>270.97559415965043</v>
      </c>
      <c r="X62" s="72">
        <f t="shared" ref="X62:X67" si="6">SUM(D62:W62)</f>
        <v>42483.489134351388</v>
      </c>
    </row>
    <row r="63" spans="1:25" ht="15" customHeight="1">
      <c r="A63" s="534"/>
      <c r="B63" s="3" t="s">
        <v>623</v>
      </c>
      <c r="C63" s="17" t="s">
        <v>628</v>
      </c>
      <c r="D63" s="541">
        <f t="shared" ref="D63:W63" si="7">D61*$D$55/$D$53</f>
        <v>9208.8690015208194</v>
      </c>
      <c r="E63" s="541">
        <f t="shared" si="7"/>
        <v>2596.8494440299833</v>
      </c>
      <c r="F63" s="541">
        <f t="shared" si="7"/>
        <v>3282.8908292437013</v>
      </c>
      <c r="G63" s="541">
        <f t="shared" si="7"/>
        <v>1860.2689599055368</v>
      </c>
      <c r="H63" s="541">
        <f t="shared" si="7"/>
        <v>2347.3798494068128</v>
      </c>
      <c r="I63" s="541">
        <f t="shared" si="7"/>
        <v>446.24949038196399</v>
      </c>
      <c r="J63" s="541">
        <f t="shared" si="7"/>
        <v>661.30948574676597</v>
      </c>
      <c r="K63" s="541">
        <f t="shared" si="7"/>
        <v>213.98469538797792</v>
      </c>
      <c r="L63" s="541">
        <f t="shared" si="7"/>
        <v>800.02318275706318</v>
      </c>
      <c r="M63" s="541">
        <f t="shared" si="7"/>
        <v>2746.3161408085207</v>
      </c>
      <c r="N63" s="541">
        <f t="shared" si="7"/>
        <v>750.55938382315878</v>
      </c>
      <c r="O63" s="541">
        <f t="shared" si="7"/>
        <v>0</v>
      </c>
      <c r="P63" s="541">
        <f t="shared" si="7"/>
        <v>7.527099837768068</v>
      </c>
      <c r="Q63" s="541">
        <f t="shared" si="7"/>
        <v>2822.6624391630253</v>
      </c>
      <c r="R63" s="541">
        <f t="shared" si="7"/>
        <v>0</v>
      </c>
      <c r="S63" s="541">
        <f t="shared" si="7"/>
        <v>0</v>
      </c>
      <c r="T63" s="541">
        <f t="shared" si="7"/>
        <v>0</v>
      </c>
      <c r="U63" s="541">
        <f t="shared" si="7"/>
        <v>225.81299513304202</v>
      </c>
      <c r="V63" s="541">
        <f t="shared" si="7"/>
        <v>170.97269631501754</v>
      </c>
      <c r="W63" s="541">
        <f t="shared" si="7"/>
        <v>180.65039610643362</v>
      </c>
      <c r="X63" s="72">
        <f t="shared" si="6"/>
        <v>28322.326089567592</v>
      </c>
    </row>
    <row r="64" spans="1:25">
      <c r="A64" s="543"/>
      <c r="B64" s="536" t="s">
        <v>625</v>
      </c>
      <c r="C64" s="544"/>
      <c r="D64" s="547">
        <f>D63/0.4</f>
        <v>23022.172503802049</v>
      </c>
      <c r="E64" s="547">
        <f t="shared" ref="E64:W64" si="8">E63/0.4</f>
        <v>6492.1236100749575</v>
      </c>
      <c r="F64" s="547">
        <f t="shared" si="8"/>
        <v>8207.2270731092522</v>
      </c>
      <c r="G64" s="547">
        <f t="shared" si="8"/>
        <v>4650.6723997638419</v>
      </c>
      <c r="H64" s="547">
        <f t="shared" si="8"/>
        <v>5868.4496235170318</v>
      </c>
      <c r="I64" s="547">
        <f t="shared" si="8"/>
        <v>1115.62372595491</v>
      </c>
      <c r="J64" s="547">
        <f t="shared" si="8"/>
        <v>1653.2737143669149</v>
      </c>
      <c r="K64" s="547">
        <f t="shared" si="8"/>
        <v>534.96173846994475</v>
      </c>
      <c r="L64" s="547">
        <f t="shared" si="8"/>
        <v>2000.0579568926578</v>
      </c>
      <c r="M64" s="547">
        <f t="shared" si="8"/>
        <v>6865.7903520213013</v>
      </c>
      <c r="N64" s="547">
        <f t="shared" si="8"/>
        <v>1876.3984595578968</v>
      </c>
      <c r="O64" s="547">
        <f t="shared" si="8"/>
        <v>0</v>
      </c>
      <c r="P64" s="547">
        <f t="shared" si="8"/>
        <v>18.817749594420167</v>
      </c>
      <c r="Q64" s="547">
        <f t="shared" si="8"/>
        <v>7056.656097907563</v>
      </c>
      <c r="R64" s="547">
        <f t="shared" si="8"/>
        <v>0</v>
      </c>
      <c r="S64" s="547">
        <f t="shared" si="8"/>
        <v>0</v>
      </c>
      <c r="T64" s="547">
        <f t="shared" si="8"/>
        <v>0</v>
      </c>
      <c r="U64" s="547">
        <f t="shared" si="8"/>
        <v>564.53248783260506</v>
      </c>
      <c r="V64" s="547">
        <f t="shared" si="8"/>
        <v>427.43174078754384</v>
      </c>
      <c r="W64" s="547">
        <f t="shared" si="8"/>
        <v>451.62599026608405</v>
      </c>
      <c r="X64" s="72"/>
      <c r="Y64" s="39"/>
    </row>
    <row r="65" spans="1:24">
      <c r="A65" s="532" t="s">
        <v>252</v>
      </c>
      <c r="B65" s="57" t="s">
        <v>629</v>
      </c>
      <c r="C65" s="17" t="s">
        <v>626</v>
      </c>
      <c r="D65" s="222">
        <f>C22</f>
        <v>4825</v>
      </c>
      <c r="E65" s="222">
        <f t="shared" ref="E65:W65" si="9">D22</f>
        <v>2600</v>
      </c>
      <c r="F65" s="222">
        <f t="shared" si="9"/>
        <v>17361</v>
      </c>
      <c r="G65" s="222">
        <f t="shared" si="9"/>
        <v>3980</v>
      </c>
      <c r="H65" s="222">
        <f t="shared" si="9"/>
        <v>4678</v>
      </c>
      <c r="I65" s="222">
        <f t="shared" si="9"/>
        <v>3664</v>
      </c>
      <c r="J65" s="222">
        <f t="shared" si="9"/>
        <v>1594</v>
      </c>
      <c r="K65" s="222">
        <f t="shared" si="9"/>
        <v>0</v>
      </c>
      <c r="L65" s="222">
        <f t="shared" si="9"/>
        <v>0</v>
      </c>
      <c r="M65" s="222">
        <f t="shared" si="9"/>
        <v>0</v>
      </c>
      <c r="N65" s="222">
        <f t="shared" si="9"/>
        <v>0</v>
      </c>
      <c r="O65" s="222">
        <f t="shared" si="9"/>
        <v>0</v>
      </c>
      <c r="P65" s="222">
        <f t="shared" si="9"/>
        <v>0</v>
      </c>
      <c r="Q65" s="222">
        <f t="shared" si="9"/>
        <v>133</v>
      </c>
      <c r="R65" s="222">
        <f t="shared" si="9"/>
        <v>20</v>
      </c>
      <c r="S65" s="222">
        <f t="shared" si="9"/>
        <v>195</v>
      </c>
      <c r="T65" s="222">
        <f t="shared" si="9"/>
        <v>50</v>
      </c>
      <c r="U65" s="222">
        <f t="shared" si="9"/>
        <v>107</v>
      </c>
      <c r="V65" s="222">
        <f t="shared" si="9"/>
        <v>0</v>
      </c>
      <c r="W65" s="222">
        <f t="shared" si="9"/>
        <v>135</v>
      </c>
      <c r="X65" s="72">
        <f t="shared" si="6"/>
        <v>39342</v>
      </c>
    </row>
    <row r="66" spans="1:24">
      <c r="A66" s="532"/>
      <c r="B66" s="3" t="s">
        <v>543</v>
      </c>
      <c r="C66" s="17" t="s">
        <v>627</v>
      </c>
      <c r="D66" s="541">
        <f t="shared" ref="D66:W66" si="10">D65*$C$54/$D$53</f>
        <v>7782.4835822637706</v>
      </c>
      <c r="E66" s="541">
        <f t="shared" si="10"/>
        <v>4193.6699096136381</v>
      </c>
      <c r="F66" s="541">
        <f t="shared" si="10"/>
        <v>28002.424346462449</v>
      </c>
      <c r="G66" s="541">
        <f t="shared" si="10"/>
        <v>6419.5408616393379</v>
      </c>
      <c r="H66" s="541">
        <f t="shared" si="10"/>
        <v>7545.3799373740767</v>
      </c>
      <c r="I66" s="541">
        <f t="shared" si="10"/>
        <v>5909.8486726247575</v>
      </c>
      <c r="J66" s="541">
        <f t="shared" si="10"/>
        <v>2571.0422445862073</v>
      </c>
      <c r="K66" s="541">
        <f t="shared" si="10"/>
        <v>0</v>
      </c>
      <c r="L66" s="541">
        <f t="shared" si="10"/>
        <v>0</v>
      </c>
      <c r="M66" s="541">
        <f t="shared" si="10"/>
        <v>0</v>
      </c>
      <c r="N66" s="541">
        <f t="shared" si="10"/>
        <v>0</v>
      </c>
      <c r="O66" s="541">
        <f t="shared" si="10"/>
        <v>0</v>
      </c>
      <c r="P66" s="541">
        <f t="shared" si="10"/>
        <v>0</v>
      </c>
      <c r="Q66" s="541">
        <f t="shared" si="10"/>
        <v>214.52234537638995</v>
      </c>
      <c r="R66" s="541">
        <f t="shared" si="10"/>
        <v>32.258999304720291</v>
      </c>
      <c r="S66" s="541">
        <f t="shared" si="10"/>
        <v>314.52524322102283</v>
      </c>
      <c r="T66" s="541">
        <f t="shared" si="10"/>
        <v>80.64749826180072</v>
      </c>
      <c r="U66" s="541">
        <f t="shared" si="10"/>
        <v>172.58564628025354</v>
      </c>
      <c r="V66" s="541">
        <f t="shared" si="10"/>
        <v>0</v>
      </c>
      <c r="W66" s="541">
        <f t="shared" si="10"/>
        <v>217.74824530686197</v>
      </c>
      <c r="X66" s="72">
        <f t="shared" si="6"/>
        <v>63456.677532315291</v>
      </c>
    </row>
    <row r="67" spans="1:24">
      <c r="A67" s="532"/>
      <c r="B67" s="3" t="s">
        <v>623</v>
      </c>
      <c r="C67" s="17" t="s">
        <v>628</v>
      </c>
      <c r="D67" s="541">
        <f t="shared" ref="D67:W67" si="11">D65*$D$55/$D$53</f>
        <v>5188.3223881758458</v>
      </c>
      <c r="E67" s="541">
        <f t="shared" si="11"/>
        <v>2795.7799397424251</v>
      </c>
      <c r="F67" s="541">
        <f t="shared" si="11"/>
        <v>18668.282897641635</v>
      </c>
      <c r="G67" s="541">
        <f t="shared" si="11"/>
        <v>4279.693907759558</v>
      </c>
      <c r="H67" s="541">
        <f t="shared" si="11"/>
        <v>5030.2532915827169</v>
      </c>
      <c r="I67" s="541">
        <f t="shared" si="11"/>
        <v>3939.8991150831712</v>
      </c>
      <c r="J67" s="541">
        <f t="shared" si="11"/>
        <v>1714.0281630574714</v>
      </c>
      <c r="K67" s="541">
        <f t="shared" si="11"/>
        <v>0</v>
      </c>
      <c r="L67" s="541">
        <f t="shared" si="11"/>
        <v>0</v>
      </c>
      <c r="M67" s="541">
        <f t="shared" si="11"/>
        <v>0</v>
      </c>
      <c r="N67" s="541">
        <f t="shared" si="11"/>
        <v>0</v>
      </c>
      <c r="O67" s="541">
        <f t="shared" si="11"/>
        <v>0</v>
      </c>
      <c r="P67" s="541">
        <f t="shared" si="11"/>
        <v>0</v>
      </c>
      <c r="Q67" s="541">
        <f t="shared" si="11"/>
        <v>143.01489691759329</v>
      </c>
      <c r="R67" s="541">
        <f t="shared" si="11"/>
        <v>21.505999536480193</v>
      </c>
      <c r="S67" s="541">
        <f t="shared" si="11"/>
        <v>209.6834954806819</v>
      </c>
      <c r="T67" s="541">
        <f t="shared" si="11"/>
        <v>53.764998841200487</v>
      </c>
      <c r="U67" s="541">
        <f t="shared" si="11"/>
        <v>115.05709752016902</v>
      </c>
      <c r="V67" s="541">
        <f t="shared" si="11"/>
        <v>0</v>
      </c>
      <c r="W67" s="541">
        <f t="shared" si="11"/>
        <v>145.16549687124132</v>
      </c>
      <c r="X67" s="72">
        <f t="shared" si="6"/>
        <v>42304.451688210189</v>
      </c>
    </row>
    <row r="68" spans="1:24">
      <c r="A68" s="545"/>
      <c r="B68" s="536" t="s">
        <v>625</v>
      </c>
      <c r="C68" s="544"/>
      <c r="D68" s="547">
        <f>D67/0.4</f>
        <v>12970.805970439615</v>
      </c>
      <c r="E68" s="547">
        <f t="shared" ref="E68:W68" si="12">E67/0.4</f>
        <v>6989.4498493560623</v>
      </c>
      <c r="F68" s="547">
        <f t="shared" si="12"/>
        <v>46670.707244104087</v>
      </c>
      <c r="G68" s="547">
        <f t="shared" si="12"/>
        <v>10699.234769398894</v>
      </c>
      <c r="H68" s="547">
        <f t="shared" si="12"/>
        <v>12575.633228956791</v>
      </c>
      <c r="I68" s="547">
        <f t="shared" si="12"/>
        <v>9849.7477877079273</v>
      </c>
      <c r="J68" s="547">
        <f t="shared" si="12"/>
        <v>4285.0704076436778</v>
      </c>
      <c r="K68" s="547">
        <f t="shared" si="12"/>
        <v>0</v>
      </c>
      <c r="L68" s="547">
        <f t="shared" si="12"/>
        <v>0</v>
      </c>
      <c r="M68" s="547">
        <f t="shared" si="12"/>
        <v>0</v>
      </c>
      <c r="N68" s="547">
        <f t="shared" si="12"/>
        <v>0</v>
      </c>
      <c r="O68" s="547">
        <f t="shared" si="12"/>
        <v>0</v>
      </c>
      <c r="P68" s="547">
        <f t="shared" si="12"/>
        <v>0</v>
      </c>
      <c r="Q68" s="547">
        <f t="shared" si="12"/>
        <v>357.53724229398318</v>
      </c>
      <c r="R68" s="547">
        <f t="shared" si="12"/>
        <v>53.76499884120048</v>
      </c>
      <c r="S68" s="547">
        <f t="shared" si="12"/>
        <v>524.20873870170476</v>
      </c>
      <c r="T68" s="547">
        <f t="shared" si="12"/>
        <v>134.41249710300121</v>
      </c>
      <c r="U68" s="547">
        <f t="shared" si="12"/>
        <v>287.64274380042252</v>
      </c>
      <c r="V68" s="547">
        <f t="shared" si="12"/>
        <v>0</v>
      </c>
      <c r="W68" s="547">
        <f t="shared" si="12"/>
        <v>362.91374217810329</v>
      </c>
    </row>
    <row r="69" spans="1:24">
      <c r="A69" s="3" t="s">
        <v>693</v>
      </c>
      <c r="B69" s="3"/>
      <c r="C69" s="3"/>
      <c r="D69" s="88" t="b">
        <f>(D62+D66)&gt;C43</f>
        <v>1</v>
      </c>
      <c r="E69" s="88" t="b">
        <f t="shared" ref="E69:W69" si="13">(E62+E66)&gt;D43</f>
        <v>1</v>
      </c>
      <c r="F69" s="88" t="b">
        <f t="shared" si="13"/>
        <v>1</v>
      </c>
      <c r="G69" s="88" t="b">
        <f t="shared" si="13"/>
        <v>1</v>
      </c>
      <c r="H69" s="88" t="b">
        <f t="shared" si="13"/>
        <v>1</v>
      </c>
      <c r="I69" s="88" t="b">
        <f t="shared" si="13"/>
        <v>1</v>
      </c>
      <c r="J69" s="88" t="b">
        <f t="shared" si="13"/>
        <v>1</v>
      </c>
      <c r="K69" s="88" t="b">
        <f t="shared" si="13"/>
        <v>1</v>
      </c>
      <c r="L69" s="88" t="b">
        <f t="shared" si="13"/>
        <v>1</v>
      </c>
      <c r="M69" s="88" t="b">
        <f t="shared" si="13"/>
        <v>1</v>
      </c>
      <c r="N69" s="88" t="b">
        <f t="shared" si="13"/>
        <v>1</v>
      </c>
      <c r="O69" s="88" t="b">
        <f t="shared" si="13"/>
        <v>0</v>
      </c>
      <c r="P69" s="88" t="b">
        <f t="shared" si="13"/>
        <v>1</v>
      </c>
      <c r="Q69" s="88" t="b">
        <f t="shared" si="13"/>
        <v>1</v>
      </c>
      <c r="R69" s="88" t="b">
        <f t="shared" si="13"/>
        <v>1</v>
      </c>
      <c r="S69" s="88" t="b">
        <f t="shared" si="13"/>
        <v>1</v>
      </c>
      <c r="T69" s="88" t="b">
        <f t="shared" si="13"/>
        <v>1</v>
      </c>
      <c r="U69" s="88" t="b">
        <f t="shared" si="13"/>
        <v>1</v>
      </c>
      <c r="V69" s="40" t="b">
        <f t="shared" si="13"/>
        <v>0</v>
      </c>
      <c r="W69" s="88" t="b">
        <f t="shared" si="13"/>
        <v>1</v>
      </c>
    </row>
    <row r="71" spans="1:24">
      <c r="A71" s="24" t="s">
        <v>694</v>
      </c>
    </row>
  </sheetData>
  <mergeCells count="5">
    <mergeCell ref="B59:W59"/>
    <mergeCell ref="B12:V12"/>
    <mergeCell ref="B2:V5"/>
    <mergeCell ref="B6:V10"/>
    <mergeCell ref="B11:V11"/>
  </mergeCells>
  <hyperlinks>
    <hyperlink ref="I34" r:id="rId1" location="flexible-chp-demo" display="https://gitlab.vtt.fi/backbone/backbone/-/wikis/Getting-started/Example models - flexible-chp-demo" xr:uid="{6BF90A3C-0B85-45A4-9ECD-3B4CF5577458}"/>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E66C6-A3D1-4286-B7B1-F4C7F70C84A7}">
  <sheetPr>
    <tabColor theme="9" tint="0.59999389629810485"/>
  </sheetPr>
  <dimension ref="A1:Y60"/>
  <sheetViews>
    <sheetView showZeros="0" topLeftCell="A40" workbookViewId="0">
      <selection activeCell="J17" sqref="J17"/>
    </sheetView>
  </sheetViews>
  <sheetFormatPr defaultRowHeight="15"/>
  <cols>
    <col min="1" max="7" width="9.140625" style="39"/>
    <col min="8" max="8" width="9.140625" style="72"/>
    <col min="9" max="19" width="9.140625" style="39"/>
    <col min="20" max="20" width="9.140625" style="39" customWidth="1"/>
    <col min="21" max="24" width="9.140625" style="39"/>
    <col min="25" max="25" width="9.140625" style="72"/>
    <col min="26" max="16384" width="9.140625" style="39"/>
  </cols>
  <sheetData>
    <row r="1" spans="1:25">
      <c r="A1" s="79" t="s">
        <v>607</v>
      </c>
      <c r="B1" s="79"/>
      <c r="C1" s="79"/>
      <c r="D1" s="79"/>
      <c r="E1" s="79"/>
      <c r="F1" s="79"/>
      <c r="G1" s="79"/>
      <c r="H1" s="384"/>
      <c r="I1" s="79"/>
      <c r="J1" s="79"/>
      <c r="K1" s="79"/>
      <c r="L1" s="79" t="s">
        <v>661</v>
      </c>
      <c r="M1" s="531" t="s">
        <v>660</v>
      </c>
      <c r="N1" s="79"/>
      <c r="O1" s="79"/>
      <c r="P1" s="79"/>
      <c r="Q1" s="79"/>
      <c r="R1" s="79"/>
      <c r="S1" s="79"/>
      <c r="T1" s="79"/>
      <c r="U1" s="79"/>
      <c r="V1" s="79"/>
      <c r="W1" s="79"/>
      <c r="X1" s="79"/>
      <c r="Y1" s="384"/>
    </row>
    <row r="2" spans="1:25">
      <c r="A2" s="92" t="s">
        <v>608</v>
      </c>
      <c r="B2" s="79"/>
      <c r="C2" s="79"/>
      <c r="D2" s="79"/>
      <c r="E2" s="79"/>
      <c r="F2" s="79"/>
      <c r="G2" s="79"/>
      <c r="H2" s="384"/>
      <c r="I2" s="79"/>
      <c r="J2" s="79"/>
      <c r="K2" s="79"/>
      <c r="L2" s="79"/>
      <c r="M2" s="79"/>
      <c r="N2" s="79"/>
      <c r="O2" s="79"/>
      <c r="P2" s="79"/>
      <c r="Q2" s="79"/>
      <c r="R2" s="79"/>
      <c r="S2" s="79"/>
      <c r="T2" s="79"/>
      <c r="U2" s="79"/>
      <c r="V2" s="79"/>
      <c r="W2" s="79"/>
      <c r="X2" s="79"/>
      <c r="Y2" s="384"/>
    </row>
    <row r="4" spans="1:25">
      <c r="A4" s="383" t="s">
        <v>609</v>
      </c>
      <c r="B4" s="79"/>
      <c r="C4" s="79"/>
      <c r="D4" s="79"/>
      <c r="E4" s="79"/>
      <c r="F4" s="79"/>
      <c r="G4" s="79"/>
      <c r="H4" s="384"/>
      <c r="I4" s="79"/>
      <c r="J4" s="79"/>
      <c r="K4" s="79"/>
      <c r="L4" s="79"/>
      <c r="M4" s="79"/>
      <c r="N4" s="79"/>
      <c r="O4" s="79"/>
      <c r="P4" s="79"/>
      <c r="Q4" s="79"/>
      <c r="R4" s="79"/>
      <c r="S4" s="79"/>
      <c r="T4" s="79"/>
      <c r="U4" s="79"/>
      <c r="V4" s="79"/>
      <c r="W4" s="79"/>
      <c r="X4" s="79"/>
      <c r="Y4" s="384"/>
    </row>
    <row r="5" spans="1:25">
      <c r="A5" s="319" t="s">
        <v>544</v>
      </c>
      <c r="B5" s="318" t="s">
        <v>532</v>
      </c>
      <c r="C5" s="318" t="s">
        <v>530</v>
      </c>
      <c r="D5" s="318" t="s">
        <v>523</v>
      </c>
      <c r="E5" s="318" t="s">
        <v>546</v>
      </c>
      <c r="F5" s="318" t="s">
        <v>533</v>
      </c>
      <c r="G5" s="318" t="s">
        <v>529</v>
      </c>
      <c r="I5" s="319" t="s">
        <v>543</v>
      </c>
      <c r="J5" s="318" t="s">
        <v>532</v>
      </c>
      <c r="K5" s="318" t="s">
        <v>530</v>
      </c>
      <c r="L5" s="318" t="s">
        <v>524</v>
      </c>
      <c r="M5" s="318" t="s">
        <v>525</v>
      </c>
      <c r="N5" s="318" t="s">
        <v>546</v>
      </c>
      <c r="O5" s="318" t="s">
        <v>523</v>
      </c>
      <c r="P5" s="318" t="s">
        <v>549</v>
      </c>
      <c r="Q5" s="318" t="s">
        <v>533</v>
      </c>
      <c r="R5" s="318" t="s">
        <v>526</v>
      </c>
      <c r="S5" s="318" t="s">
        <v>529</v>
      </c>
      <c r="T5" s="318" t="s">
        <v>527</v>
      </c>
      <c r="U5" s="318" t="s">
        <v>528</v>
      </c>
      <c r="V5" s="318" t="s">
        <v>545</v>
      </c>
      <c r="W5" s="318" t="s">
        <v>547</v>
      </c>
      <c r="X5" s="318" t="s">
        <v>548</v>
      </c>
    </row>
    <row r="6" spans="1:25">
      <c r="A6" s="21" t="s">
        <v>534</v>
      </c>
      <c r="B6" s="189">
        <v>586</v>
      </c>
      <c r="C6" s="189"/>
      <c r="D6" s="189"/>
      <c r="E6" s="189"/>
      <c r="F6" s="189"/>
      <c r="G6" s="189"/>
      <c r="H6" s="72">
        <f t="shared" ref="H6:H21" si="0">SUM(B6:G6)</f>
        <v>586</v>
      </c>
      <c r="I6" s="21" t="s">
        <v>534</v>
      </c>
      <c r="J6" s="189">
        <v>1172</v>
      </c>
      <c r="K6" s="189"/>
      <c r="L6" s="189"/>
      <c r="M6" s="189"/>
      <c r="N6" s="189"/>
      <c r="O6" s="189"/>
      <c r="P6" s="189"/>
      <c r="Q6" s="189"/>
      <c r="R6" s="189"/>
      <c r="S6" s="189"/>
      <c r="T6" s="189"/>
      <c r="U6" s="189"/>
      <c r="V6" s="189"/>
      <c r="W6" s="189"/>
      <c r="X6" s="189"/>
      <c r="Y6" s="72">
        <f>SUM(J6:X6)</f>
        <v>1172</v>
      </c>
    </row>
    <row r="7" spans="1:25">
      <c r="A7" s="318" t="s">
        <v>531</v>
      </c>
      <c r="B7" s="194">
        <v>1500</v>
      </c>
      <c r="C7" s="194"/>
      <c r="D7" s="194"/>
      <c r="E7" s="194"/>
      <c r="F7" s="194"/>
      <c r="G7" s="194"/>
      <c r="H7" s="72">
        <f t="shared" si="0"/>
        <v>1500</v>
      </c>
      <c r="I7" s="318" t="s">
        <v>531</v>
      </c>
      <c r="J7" s="194">
        <v>3000</v>
      </c>
      <c r="K7" s="194"/>
      <c r="L7" s="194"/>
      <c r="M7" s="194"/>
      <c r="N7" s="194"/>
      <c r="O7" s="194"/>
      <c r="P7" s="194"/>
      <c r="Q7" s="194"/>
      <c r="R7" s="194"/>
      <c r="S7" s="194"/>
      <c r="T7" s="194"/>
      <c r="U7" s="194"/>
      <c r="V7" s="194"/>
      <c r="W7" s="194"/>
      <c r="X7" s="194"/>
      <c r="Y7" s="72">
        <f t="shared" ref="Y7:Y21" si="1">SUM(J7:X7)</f>
        <v>3000</v>
      </c>
    </row>
    <row r="8" spans="1:25">
      <c r="A8" s="21" t="s">
        <v>107</v>
      </c>
      <c r="B8" s="189"/>
      <c r="C8" s="189">
        <v>3750</v>
      </c>
      <c r="D8" s="189">
        <v>7929</v>
      </c>
      <c r="E8" s="189"/>
      <c r="F8" s="189">
        <v>300</v>
      </c>
      <c r="G8" s="189"/>
      <c r="H8" s="72">
        <f t="shared" si="0"/>
        <v>11979</v>
      </c>
      <c r="I8" s="21" t="s">
        <v>107</v>
      </c>
      <c r="J8" s="189"/>
      <c r="K8" s="189">
        <v>7512</v>
      </c>
      <c r="L8" s="189"/>
      <c r="M8" s="189">
        <v>23300</v>
      </c>
      <c r="N8" s="189"/>
      <c r="O8" s="189">
        <v>7929</v>
      </c>
      <c r="P8" s="189"/>
      <c r="Q8" s="189">
        <v>900</v>
      </c>
      <c r="R8" s="189"/>
      <c r="S8" s="189"/>
      <c r="T8" s="189"/>
      <c r="U8" s="189"/>
      <c r="V8" s="189"/>
      <c r="W8" s="189"/>
      <c r="X8" s="189"/>
      <c r="Y8" s="72">
        <f t="shared" si="1"/>
        <v>39641</v>
      </c>
    </row>
    <row r="9" spans="1:25">
      <c r="A9" s="21" t="s">
        <v>113</v>
      </c>
      <c r="B9" s="189"/>
      <c r="C9" s="189">
        <v>5300</v>
      </c>
      <c r="D9" s="189">
        <v>960</v>
      </c>
      <c r="E9" s="189"/>
      <c r="F9" s="189"/>
      <c r="G9" s="189"/>
      <c r="H9" s="72">
        <f t="shared" si="0"/>
        <v>6260</v>
      </c>
      <c r="I9" s="21" t="s">
        <v>113</v>
      </c>
      <c r="J9" s="189"/>
      <c r="K9" s="189">
        <v>10650</v>
      </c>
      <c r="L9" s="189">
        <v>22000</v>
      </c>
      <c r="M9" s="189">
        <v>11000</v>
      </c>
      <c r="N9" s="189"/>
      <c r="O9" s="189">
        <v>960</v>
      </c>
      <c r="P9" s="189"/>
      <c r="Q9" s="189"/>
      <c r="R9" s="189"/>
      <c r="S9" s="189"/>
      <c r="T9" s="189"/>
      <c r="U9" s="189"/>
      <c r="V9" s="189"/>
      <c r="W9" s="189"/>
      <c r="X9" s="189"/>
      <c r="Y9" s="72">
        <f t="shared" si="1"/>
        <v>44610</v>
      </c>
    </row>
    <row r="10" spans="1:25">
      <c r="A10" s="21" t="s">
        <v>104</v>
      </c>
      <c r="B10" s="189"/>
      <c r="C10" s="189"/>
      <c r="D10" s="189"/>
      <c r="E10" s="189"/>
      <c r="F10" s="189">
        <v>70</v>
      </c>
      <c r="G10" s="189">
        <v>135</v>
      </c>
      <c r="H10" s="72">
        <f t="shared" si="0"/>
        <v>205</v>
      </c>
      <c r="I10" s="21" t="s">
        <v>104</v>
      </c>
      <c r="J10" s="189"/>
      <c r="K10" s="189"/>
      <c r="L10" s="189">
        <v>1200</v>
      </c>
      <c r="M10" s="189"/>
      <c r="N10" s="189"/>
      <c r="O10" s="189"/>
      <c r="P10" s="189"/>
      <c r="Q10" s="189">
        <v>140</v>
      </c>
      <c r="R10" s="189">
        <v>550</v>
      </c>
      <c r="S10" s="189">
        <v>270</v>
      </c>
      <c r="T10" s="189"/>
      <c r="U10" s="189"/>
      <c r="V10" s="189"/>
      <c r="W10" s="189"/>
      <c r="X10" s="189"/>
      <c r="Y10" s="72">
        <f t="shared" si="1"/>
        <v>2160</v>
      </c>
    </row>
    <row r="11" spans="1:25">
      <c r="A11" s="21" t="s">
        <v>105</v>
      </c>
      <c r="B11" s="189"/>
      <c r="C11" s="189">
        <v>289</v>
      </c>
      <c r="D11" s="189"/>
      <c r="E11" s="189"/>
      <c r="F11" s="189">
        <v>200</v>
      </c>
      <c r="G11" s="189">
        <v>1020</v>
      </c>
      <c r="H11" s="72">
        <f t="shared" si="0"/>
        <v>1509</v>
      </c>
      <c r="I11" s="21" t="s">
        <v>105</v>
      </c>
      <c r="J11" s="189"/>
      <c r="K11" s="189">
        <v>578</v>
      </c>
      <c r="L11" s="189">
        <v>12000</v>
      </c>
      <c r="M11" s="189"/>
      <c r="N11" s="189"/>
      <c r="O11" s="189"/>
      <c r="P11" s="189"/>
      <c r="Q11" s="189">
        <v>400</v>
      </c>
      <c r="R11" s="189">
        <v>4158</v>
      </c>
      <c r="S11" s="189">
        <v>2045</v>
      </c>
      <c r="T11" s="189">
        <v>700</v>
      </c>
      <c r="U11" s="189"/>
      <c r="V11" s="189"/>
      <c r="W11" s="189"/>
      <c r="X11" s="189"/>
      <c r="Y11" s="72">
        <f t="shared" si="1"/>
        <v>19881</v>
      </c>
    </row>
    <row r="12" spans="1:25">
      <c r="A12" s="21" t="s">
        <v>106</v>
      </c>
      <c r="B12" s="189"/>
      <c r="C12" s="189"/>
      <c r="D12" s="189"/>
      <c r="E12" s="189"/>
      <c r="F12" s="189">
        <v>80</v>
      </c>
      <c r="G12" s="189">
        <v>360</v>
      </c>
      <c r="H12" s="72">
        <f t="shared" si="0"/>
        <v>440</v>
      </c>
      <c r="I12" s="21" t="s">
        <v>106</v>
      </c>
      <c r="J12" s="189"/>
      <c r="K12" s="189"/>
      <c r="L12" s="189">
        <v>2500</v>
      </c>
      <c r="M12" s="189"/>
      <c r="N12" s="189"/>
      <c r="O12" s="189"/>
      <c r="P12" s="189"/>
      <c r="Q12" s="189">
        <v>160</v>
      </c>
      <c r="R12" s="189">
        <v>1200</v>
      </c>
      <c r="S12" s="189">
        <v>720</v>
      </c>
      <c r="T12" s="189"/>
      <c r="U12" s="189"/>
      <c r="V12" s="189"/>
      <c r="W12" s="189"/>
      <c r="X12" s="189"/>
      <c r="Y12" s="72">
        <f t="shared" si="1"/>
        <v>4580</v>
      </c>
    </row>
    <row r="13" spans="1:25">
      <c r="A13" s="318" t="s">
        <v>99</v>
      </c>
      <c r="B13" s="194"/>
      <c r="C13" s="194">
        <v>600</v>
      </c>
      <c r="D13" s="194">
        <v>967</v>
      </c>
      <c r="E13" s="194"/>
      <c r="F13" s="194">
        <v>300</v>
      </c>
      <c r="G13" s="194">
        <v>900</v>
      </c>
      <c r="H13" s="72">
        <f t="shared" si="0"/>
        <v>2767</v>
      </c>
      <c r="I13" s="318" t="s">
        <v>99</v>
      </c>
      <c r="J13" s="194"/>
      <c r="K13" s="194">
        <v>1166</v>
      </c>
      <c r="L13" s="194">
        <v>1300</v>
      </c>
      <c r="M13" s="194">
        <v>2600</v>
      </c>
      <c r="N13" s="194"/>
      <c r="O13" s="194">
        <v>967</v>
      </c>
      <c r="P13" s="194"/>
      <c r="Q13" s="194">
        <v>600</v>
      </c>
      <c r="R13" s="194">
        <v>820</v>
      </c>
      <c r="S13" s="194">
        <v>1800</v>
      </c>
      <c r="T13" s="194"/>
      <c r="U13" s="194"/>
      <c r="V13" s="194"/>
      <c r="W13" s="194"/>
      <c r="X13" s="194"/>
      <c r="Y13" s="72">
        <f t="shared" si="1"/>
        <v>9253</v>
      </c>
    </row>
    <row r="14" spans="1:25">
      <c r="A14" s="21" t="s">
        <v>542</v>
      </c>
      <c r="B14" s="189"/>
      <c r="C14" s="189"/>
      <c r="D14" s="189">
        <v>200</v>
      </c>
      <c r="E14" s="189"/>
      <c r="F14" s="189">
        <v>35</v>
      </c>
      <c r="G14" s="189">
        <v>500</v>
      </c>
      <c r="H14" s="72">
        <f t="shared" si="0"/>
        <v>735</v>
      </c>
      <c r="I14" s="21" t="s">
        <v>542</v>
      </c>
      <c r="J14" s="189"/>
      <c r="K14" s="189"/>
      <c r="L14" s="189">
        <v>1000</v>
      </c>
      <c r="M14" s="189"/>
      <c r="N14" s="189"/>
      <c r="O14" s="189">
        <v>200</v>
      </c>
      <c r="P14" s="189"/>
      <c r="Q14" s="189">
        <v>110</v>
      </c>
      <c r="R14" s="189">
        <v>200</v>
      </c>
      <c r="S14" s="189">
        <v>1000</v>
      </c>
      <c r="T14" s="189"/>
      <c r="U14" s="189">
        <v>100</v>
      </c>
      <c r="V14" s="189"/>
      <c r="W14" s="189"/>
      <c r="X14" s="189"/>
      <c r="Y14" s="72">
        <f t="shared" si="1"/>
        <v>2610</v>
      </c>
    </row>
    <row r="15" spans="1:25">
      <c r="A15" s="21" t="s">
        <v>535</v>
      </c>
      <c r="B15" s="189"/>
      <c r="C15" s="189"/>
      <c r="D15" s="189">
        <v>470</v>
      </c>
      <c r="E15" s="189"/>
      <c r="F15" s="189"/>
      <c r="G15" s="189"/>
      <c r="H15" s="72">
        <f t="shared" si="0"/>
        <v>470</v>
      </c>
      <c r="I15" s="21" t="s">
        <v>535</v>
      </c>
      <c r="J15" s="189"/>
      <c r="K15" s="189"/>
      <c r="L15" s="189">
        <v>1300</v>
      </c>
      <c r="M15" s="189">
        <v>580</v>
      </c>
      <c r="N15" s="189"/>
      <c r="O15" s="189">
        <v>431</v>
      </c>
      <c r="P15" s="189"/>
      <c r="Q15" s="189"/>
      <c r="R15" s="189">
        <v>220</v>
      </c>
      <c r="S15" s="189"/>
      <c r="T15" s="189">
        <v>110</v>
      </c>
      <c r="U15" s="189">
        <v>240</v>
      </c>
      <c r="V15" s="189"/>
      <c r="W15" s="189"/>
      <c r="X15" s="189"/>
      <c r="Y15" s="72">
        <f t="shared" si="1"/>
        <v>2881</v>
      </c>
    </row>
    <row r="16" spans="1:25">
      <c r="A16" s="21" t="s">
        <v>541</v>
      </c>
      <c r="B16" s="189"/>
      <c r="C16" s="189"/>
      <c r="D16" s="189">
        <v>234</v>
      </c>
      <c r="E16" s="189"/>
      <c r="F16" s="189"/>
      <c r="G16" s="189"/>
      <c r="H16" s="72">
        <f t="shared" si="0"/>
        <v>234</v>
      </c>
      <c r="I16" s="21" t="s">
        <v>541</v>
      </c>
      <c r="J16" s="189"/>
      <c r="K16" s="189"/>
      <c r="L16" s="189">
        <v>240</v>
      </c>
      <c r="M16" s="189">
        <v>500</v>
      </c>
      <c r="N16" s="189"/>
      <c r="O16" s="189">
        <v>214</v>
      </c>
      <c r="P16" s="189"/>
      <c r="Q16" s="189"/>
      <c r="R16" s="189"/>
      <c r="S16" s="189"/>
      <c r="T16" s="189"/>
      <c r="U16" s="189"/>
      <c r="V16" s="189"/>
      <c r="W16" s="189"/>
      <c r="X16" s="189"/>
      <c r="Y16" s="72">
        <f t="shared" si="1"/>
        <v>954</v>
      </c>
    </row>
    <row r="17" spans="1:25">
      <c r="A17" s="21" t="s">
        <v>536</v>
      </c>
      <c r="B17" s="189"/>
      <c r="C17" s="189"/>
      <c r="D17" s="189">
        <v>140</v>
      </c>
      <c r="E17" s="189"/>
      <c r="F17" s="189"/>
      <c r="G17" s="189">
        <v>60</v>
      </c>
      <c r="H17" s="72">
        <f t="shared" si="0"/>
        <v>200</v>
      </c>
      <c r="I17" s="21" t="s">
        <v>536</v>
      </c>
      <c r="J17" s="189"/>
      <c r="K17" s="189"/>
      <c r="L17" s="189">
        <v>465</v>
      </c>
      <c r="M17" s="189">
        <v>75</v>
      </c>
      <c r="N17" s="189"/>
      <c r="O17" s="189">
        <v>160</v>
      </c>
      <c r="P17" s="189"/>
      <c r="Q17" s="189"/>
      <c r="R17" s="189"/>
      <c r="S17" s="189">
        <v>130</v>
      </c>
      <c r="T17" s="189"/>
      <c r="U17" s="189">
        <v>45</v>
      </c>
      <c r="V17" s="189"/>
      <c r="W17" s="189"/>
      <c r="X17" s="189"/>
      <c r="Y17" s="72">
        <f t="shared" si="1"/>
        <v>875</v>
      </c>
    </row>
    <row r="18" spans="1:25">
      <c r="A18" s="21" t="s">
        <v>539</v>
      </c>
      <c r="B18" s="189"/>
      <c r="C18" s="189"/>
      <c r="D18" s="189">
        <v>90</v>
      </c>
      <c r="E18" s="189"/>
      <c r="F18" s="189">
        <v>35</v>
      </c>
      <c r="G18" s="189">
        <v>30</v>
      </c>
      <c r="H18" s="72">
        <f t="shared" si="0"/>
        <v>155</v>
      </c>
      <c r="I18" s="21" t="s">
        <v>539</v>
      </c>
      <c r="J18" s="189"/>
      <c r="K18" s="189"/>
      <c r="L18" s="189">
        <v>200</v>
      </c>
      <c r="M18" s="189">
        <v>432</v>
      </c>
      <c r="N18" s="189"/>
      <c r="O18" s="189">
        <v>100</v>
      </c>
      <c r="P18" s="189"/>
      <c r="Q18" s="189">
        <v>110</v>
      </c>
      <c r="R18" s="189"/>
      <c r="S18" s="189">
        <v>80</v>
      </c>
      <c r="T18" s="189"/>
      <c r="U18" s="189"/>
      <c r="V18" s="189"/>
      <c r="W18" s="189"/>
      <c r="X18" s="189"/>
      <c r="Y18" s="72">
        <f t="shared" si="1"/>
        <v>922</v>
      </c>
    </row>
    <row r="19" spans="1:25">
      <c r="A19" s="21" t="s">
        <v>540</v>
      </c>
      <c r="B19" s="189"/>
      <c r="C19" s="189"/>
      <c r="D19" s="189"/>
      <c r="E19" s="189"/>
      <c r="F19" s="189"/>
      <c r="G19" s="189">
        <v>100</v>
      </c>
      <c r="H19" s="72">
        <f t="shared" si="0"/>
        <v>100</v>
      </c>
      <c r="I19" s="21" t="s">
        <v>540</v>
      </c>
      <c r="J19" s="189"/>
      <c r="K19" s="189"/>
      <c r="L19" s="189">
        <v>600</v>
      </c>
      <c r="M19" s="189"/>
      <c r="N19" s="189"/>
      <c r="O19" s="189"/>
      <c r="P19" s="189"/>
      <c r="Q19" s="189"/>
      <c r="R19" s="189">
        <v>220</v>
      </c>
      <c r="S19" s="189"/>
      <c r="T19" s="189"/>
      <c r="U19" s="189">
        <v>40</v>
      </c>
      <c r="V19" s="189"/>
      <c r="W19" s="189"/>
      <c r="X19" s="189"/>
      <c r="Y19" s="72">
        <f t="shared" si="1"/>
        <v>860</v>
      </c>
    </row>
    <row r="20" spans="1:25">
      <c r="A20" s="21" t="s">
        <v>538</v>
      </c>
      <c r="B20" s="189"/>
      <c r="C20" s="189">
        <v>160</v>
      </c>
      <c r="D20" s="189"/>
      <c r="E20" s="189"/>
      <c r="F20" s="189"/>
      <c r="G20" s="189">
        <v>146</v>
      </c>
      <c r="H20" s="72">
        <f t="shared" si="0"/>
        <v>306</v>
      </c>
      <c r="I20" s="21" t="s">
        <v>538</v>
      </c>
      <c r="J20" s="189"/>
      <c r="K20" s="189">
        <v>380</v>
      </c>
      <c r="L20" s="189">
        <v>620</v>
      </c>
      <c r="M20" s="189"/>
      <c r="N20" s="189"/>
      <c r="O20" s="189"/>
      <c r="P20" s="189"/>
      <c r="Q20" s="189"/>
      <c r="R20" s="189"/>
      <c r="S20" s="189">
        <v>250</v>
      </c>
      <c r="T20" s="189">
        <v>30</v>
      </c>
      <c r="U20" s="189"/>
      <c r="V20" s="189"/>
      <c r="W20" s="189"/>
      <c r="X20" s="189"/>
      <c r="Y20" s="72">
        <f t="shared" si="1"/>
        <v>1280</v>
      </c>
    </row>
    <row r="21" spans="1:25">
      <c r="A21" s="318" t="s">
        <v>537</v>
      </c>
      <c r="B21" s="194"/>
      <c r="C21" s="194"/>
      <c r="D21" s="194"/>
      <c r="E21" s="194"/>
      <c r="F21" s="194"/>
      <c r="G21" s="194">
        <v>280</v>
      </c>
      <c r="H21" s="72">
        <f t="shared" si="0"/>
        <v>280</v>
      </c>
      <c r="I21" s="318" t="s">
        <v>537</v>
      </c>
      <c r="J21" s="194"/>
      <c r="K21" s="194"/>
      <c r="L21" s="194">
        <v>400</v>
      </c>
      <c r="M21" s="194"/>
      <c r="N21" s="194"/>
      <c r="O21" s="194"/>
      <c r="P21" s="194"/>
      <c r="Q21" s="194"/>
      <c r="R21" s="194"/>
      <c r="S21" s="194">
        <v>420</v>
      </c>
      <c r="T21" s="194"/>
      <c r="U21" s="194"/>
      <c r="V21" s="194"/>
      <c r="W21" s="194"/>
      <c r="X21" s="194"/>
      <c r="Y21" s="72">
        <f t="shared" si="1"/>
        <v>820</v>
      </c>
    </row>
    <row r="22" spans="1:25">
      <c r="H22" s="72">
        <f>SUM(H6:H21)</f>
        <v>27726</v>
      </c>
      <c r="Y22" s="72">
        <f>SUM(Y6:Y21)</f>
        <v>135499</v>
      </c>
    </row>
    <row r="23" spans="1:25">
      <c r="A23" s="383" t="s">
        <v>610</v>
      </c>
      <c r="B23" s="79"/>
      <c r="C23" s="79"/>
      <c r="D23" s="79"/>
      <c r="E23" s="79"/>
      <c r="F23" s="79"/>
      <c r="G23" s="79"/>
      <c r="H23" s="384"/>
      <c r="I23" s="79"/>
      <c r="J23" s="79"/>
      <c r="K23" s="79"/>
      <c r="L23" s="79"/>
      <c r="M23" s="79"/>
      <c r="N23" s="79"/>
      <c r="O23" s="79"/>
      <c r="P23" s="79"/>
      <c r="Q23" s="79"/>
      <c r="R23" s="79"/>
      <c r="S23" s="79"/>
      <c r="T23" s="79"/>
      <c r="U23" s="79"/>
      <c r="V23" s="79"/>
      <c r="W23" s="79"/>
      <c r="X23" s="79"/>
      <c r="Y23" s="384"/>
    </row>
    <row r="24" spans="1:25">
      <c r="A24" s="319" t="s">
        <v>544</v>
      </c>
      <c r="B24" s="318" t="s">
        <v>532</v>
      </c>
      <c r="C24" s="318" t="s">
        <v>530</v>
      </c>
      <c r="D24" s="318" t="s">
        <v>523</v>
      </c>
      <c r="E24" s="318" t="s">
        <v>546</v>
      </c>
      <c r="F24" s="318" t="s">
        <v>533</v>
      </c>
      <c r="G24" s="318" t="s">
        <v>529</v>
      </c>
      <c r="I24" s="319" t="s">
        <v>543</v>
      </c>
      <c r="J24" s="318" t="s">
        <v>532</v>
      </c>
      <c r="K24" s="318" t="s">
        <v>530</v>
      </c>
      <c r="L24" s="318" t="s">
        <v>524</v>
      </c>
      <c r="M24" s="318" t="s">
        <v>525</v>
      </c>
      <c r="N24" s="318" t="s">
        <v>546</v>
      </c>
      <c r="O24" s="318" t="s">
        <v>523</v>
      </c>
      <c r="P24" s="318" t="s">
        <v>549</v>
      </c>
      <c r="Q24" s="318" t="s">
        <v>533</v>
      </c>
      <c r="R24" s="318" t="s">
        <v>526</v>
      </c>
      <c r="S24" s="318" t="s">
        <v>529</v>
      </c>
      <c r="T24" s="318" t="s">
        <v>527</v>
      </c>
      <c r="U24" s="318" t="s">
        <v>528</v>
      </c>
      <c r="V24" s="318" t="s">
        <v>545</v>
      </c>
      <c r="W24" s="318" t="s">
        <v>547</v>
      </c>
      <c r="X24" s="318" t="s">
        <v>548</v>
      </c>
    </row>
    <row r="25" spans="1:25">
      <c r="A25" s="21" t="s">
        <v>534</v>
      </c>
      <c r="B25" s="189">
        <v>586</v>
      </c>
      <c r="C25" s="189"/>
      <c r="D25" s="189"/>
      <c r="E25" s="189"/>
      <c r="F25" s="189"/>
      <c r="G25" s="189"/>
      <c r="H25" s="72">
        <f t="shared" ref="H25:H40" si="2">SUM(B25:G25)</f>
        <v>586</v>
      </c>
      <c r="I25" s="21" t="s">
        <v>534</v>
      </c>
      <c r="J25" s="189">
        <v>1172</v>
      </c>
      <c r="K25" s="189"/>
      <c r="L25" s="189"/>
      <c r="M25" s="189"/>
      <c r="N25" s="189"/>
      <c r="O25" s="189"/>
      <c r="P25" s="189"/>
      <c r="Q25" s="189"/>
      <c r="R25" s="189"/>
      <c r="S25" s="189"/>
      <c r="T25" s="189"/>
      <c r="U25" s="189"/>
      <c r="V25" s="189"/>
      <c r="W25" s="189"/>
      <c r="X25" s="189"/>
      <c r="Y25" s="72">
        <f>SUM(J25:X25)</f>
        <v>1172</v>
      </c>
    </row>
    <row r="26" spans="1:25">
      <c r="A26" s="318" t="s">
        <v>531</v>
      </c>
      <c r="B26" s="194">
        <v>1500</v>
      </c>
      <c r="C26" s="194"/>
      <c r="D26" s="194"/>
      <c r="E26" s="194"/>
      <c r="F26" s="194"/>
      <c r="G26" s="194"/>
      <c r="H26" s="72">
        <f t="shared" si="2"/>
        <v>1500</v>
      </c>
      <c r="I26" s="318" t="s">
        <v>531</v>
      </c>
      <c r="J26" s="194">
        <v>3000</v>
      </c>
      <c r="K26" s="194"/>
      <c r="L26" s="194"/>
      <c r="M26" s="194"/>
      <c r="N26" s="194"/>
      <c r="O26" s="194"/>
      <c r="P26" s="194"/>
      <c r="Q26" s="194"/>
      <c r="R26" s="194"/>
      <c r="S26" s="194"/>
      <c r="T26" s="194"/>
      <c r="U26" s="194"/>
      <c r="V26" s="194"/>
      <c r="W26" s="194"/>
      <c r="X26" s="194"/>
      <c r="Y26" s="72">
        <f t="shared" ref="Y26:Y40" si="3">SUM(J26:X26)</f>
        <v>3000</v>
      </c>
    </row>
    <row r="27" spans="1:25">
      <c r="A27" s="21" t="s">
        <v>107</v>
      </c>
      <c r="B27" s="189"/>
      <c r="C27" s="189">
        <v>3750</v>
      </c>
      <c r="D27" s="189">
        <v>7929</v>
      </c>
      <c r="E27" s="189"/>
      <c r="F27" s="189">
        <v>300</v>
      </c>
      <c r="G27" s="189"/>
      <c r="H27" s="72">
        <f t="shared" si="2"/>
        <v>11979</v>
      </c>
      <c r="I27" s="21" t="s">
        <v>107</v>
      </c>
      <c r="J27" s="189"/>
      <c r="K27" s="189">
        <v>7512</v>
      </c>
      <c r="L27" s="189"/>
      <c r="M27" s="189">
        <v>23300</v>
      </c>
      <c r="N27" s="189"/>
      <c r="O27" s="189">
        <v>7929</v>
      </c>
      <c r="P27" s="189"/>
      <c r="Q27" s="189">
        <v>900</v>
      </c>
      <c r="R27" s="189"/>
      <c r="S27" s="189"/>
      <c r="T27" s="189"/>
      <c r="U27" s="189"/>
      <c r="V27" s="189">
        <v>999</v>
      </c>
      <c r="W27" s="189"/>
      <c r="X27" s="189"/>
      <c r="Y27" s="72">
        <f t="shared" si="3"/>
        <v>40640</v>
      </c>
    </row>
    <row r="28" spans="1:25">
      <c r="A28" s="21" t="s">
        <v>113</v>
      </c>
      <c r="B28" s="189"/>
      <c r="C28" s="189">
        <v>5300</v>
      </c>
      <c r="D28" s="189">
        <v>960</v>
      </c>
      <c r="E28" s="189"/>
      <c r="F28" s="189"/>
      <c r="G28" s="189"/>
      <c r="H28" s="72">
        <f t="shared" si="2"/>
        <v>6260</v>
      </c>
      <c r="I28" s="21" t="s">
        <v>113</v>
      </c>
      <c r="J28" s="189"/>
      <c r="K28" s="189">
        <v>10650</v>
      </c>
      <c r="L28" s="189">
        <v>22000</v>
      </c>
      <c r="M28" s="189">
        <v>11000</v>
      </c>
      <c r="N28" s="189"/>
      <c r="O28" s="189">
        <v>960</v>
      </c>
      <c r="P28" s="189"/>
      <c r="Q28" s="189"/>
      <c r="R28" s="189"/>
      <c r="S28" s="189"/>
      <c r="T28" s="189"/>
      <c r="U28" s="189"/>
      <c r="V28" s="189">
        <v>1060</v>
      </c>
      <c r="W28" s="189"/>
      <c r="X28" s="189"/>
      <c r="Y28" s="72">
        <f t="shared" si="3"/>
        <v>45670</v>
      </c>
    </row>
    <row r="29" spans="1:25">
      <c r="A29" s="21" t="s">
        <v>104</v>
      </c>
      <c r="B29" s="189"/>
      <c r="C29" s="189"/>
      <c r="D29" s="189"/>
      <c r="E29" s="189"/>
      <c r="F29" s="189">
        <v>70</v>
      </c>
      <c r="G29" s="189">
        <v>135</v>
      </c>
      <c r="H29" s="72">
        <f t="shared" si="2"/>
        <v>205</v>
      </c>
      <c r="I29" s="21" t="s">
        <v>104</v>
      </c>
      <c r="J29" s="189"/>
      <c r="K29" s="189"/>
      <c r="L29" s="189">
        <v>1200</v>
      </c>
      <c r="M29" s="189"/>
      <c r="N29" s="189"/>
      <c r="O29" s="189"/>
      <c r="P29" s="189"/>
      <c r="Q29" s="189">
        <v>140</v>
      </c>
      <c r="R29" s="189">
        <v>550</v>
      </c>
      <c r="S29" s="189">
        <v>270</v>
      </c>
      <c r="T29" s="189"/>
      <c r="U29" s="189"/>
      <c r="V29" s="189">
        <v>49</v>
      </c>
      <c r="W29" s="189"/>
      <c r="X29" s="189"/>
      <c r="Y29" s="72">
        <f t="shared" si="3"/>
        <v>2209</v>
      </c>
    </row>
    <row r="30" spans="1:25">
      <c r="A30" s="21" t="s">
        <v>105</v>
      </c>
      <c r="B30" s="189"/>
      <c r="C30" s="189">
        <v>289</v>
      </c>
      <c r="D30" s="189"/>
      <c r="E30" s="189"/>
      <c r="F30" s="189">
        <v>200</v>
      </c>
      <c r="G30" s="189">
        <v>1020</v>
      </c>
      <c r="H30" s="72">
        <f t="shared" si="2"/>
        <v>1509</v>
      </c>
      <c r="I30" s="21" t="s">
        <v>105</v>
      </c>
      <c r="J30" s="189"/>
      <c r="K30" s="189">
        <v>578</v>
      </c>
      <c r="L30" s="189">
        <v>12000</v>
      </c>
      <c r="M30" s="189"/>
      <c r="N30" s="189"/>
      <c r="O30" s="189"/>
      <c r="P30" s="189"/>
      <c r="Q30" s="189">
        <v>400</v>
      </c>
      <c r="R30" s="189">
        <v>4158</v>
      </c>
      <c r="S30" s="189">
        <v>2045</v>
      </c>
      <c r="T30" s="189">
        <v>700</v>
      </c>
      <c r="U30" s="189"/>
      <c r="V30" s="189">
        <v>380</v>
      </c>
      <c r="W30" s="189"/>
      <c r="X30" s="189"/>
      <c r="Y30" s="72">
        <f t="shared" si="3"/>
        <v>20261</v>
      </c>
    </row>
    <row r="31" spans="1:25">
      <c r="A31" s="21" t="s">
        <v>106</v>
      </c>
      <c r="B31" s="189"/>
      <c r="C31" s="189"/>
      <c r="D31" s="189"/>
      <c r="E31" s="189"/>
      <c r="F31" s="189">
        <v>80</v>
      </c>
      <c r="G31" s="189">
        <v>360</v>
      </c>
      <c r="H31" s="72">
        <f t="shared" si="2"/>
        <v>440</v>
      </c>
      <c r="I31" s="21" t="s">
        <v>106</v>
      </c>
      <c r="J31" s="189"/>
      <c r="K31" s="189"/>
      <c r="L31" s="189">
        <v>2500</v>
      </c>
      <c r="M31" s="189"/>
      <c r="N31" s="189"/>
      <c r="O31" s="189"/>
      <c r="P31" s="189"/>
      <c r="Q31" s="189">
        <v>160</v>
      </c>
      <c r="R31" s="189">
        <v>1200</v>
      </c>
      <c r="S31" s="189">
        <v>720</v>
      </c>
      <c r="T31" s="189"/>
      <c r="U31" s="189"/>
      <c r="V31" s="189">
        <v>112</v>
      </c>
      <c r="W31" s="189"/>
      <c r="X31" s="189"/>
      <c r="Y31" s="72">
        <f t="shared" si="3"/>
        <v>4692</v>
      </c>
    </row>
    <row r="32" spans="1:25">
      <c r="A32" s="318" t="s">
        <v>99</v>
      </c>
      <c r="B32" s="194"/>
      <c r="C32" s="194">
        <v>600</v>
      </c>
      <c r="D32" s="194">
        <v>967</v>
      </c>
      <c r="E32" s="194"/>
      <c r="F32" s="194">
        <v>300</v>
      </c>
      <c r="G32" s="194">
        <v>900</v>
      </c>
      <c r="H32" s="72">
        <f t="shared" si="2"/>
        <v>2767</v>
      </c>
      <c r="I32" s="318" t="s">
        <v>99</v>
      </c>
      <c r="J32" s="194"/>
      <c r="K32" s="194">
        <v>1166</v>
      </c>
      <c r="L32" s="194">
        <v>1300</v>
      </c>
      <c r="M32" s="194">
        <v>2600</v>
      </c>
      <c r="N32" s="194"/>
      <c r="O32" s="194">
        <v>967</v>
      </c>
      <c r="P32" s="194"/>
      <c r="Q32" s="194">
        <v>600</v>
      </c>
      <c r="R32" s="194">
        <v>820</v>
      </c>
      <c r="S32" s="194">
        <v>1800</v>
      </c>
      <c r="T32" s="194"/>
      <c r="U32" s="194"/>
      <c r="V32" s="194">
        <v>187</v>
      </c>
      <c r="W32" s="194"/>
      <c r="X32" s="194"/>
      <c r="Y32" s="72">
        <f t="shared" si="3"/>
        <v>9440</v>
      </c>
    </row>
    <row r="33" spans="1:25">
      <c r="A33" s="21" t="s">
        <v>542</v>
      </c>
      <c r="B33" s="189"/>
      <c r="C33" s="189"/>
      <c r="D33" s="189">
        <v>233</v>
      </c>
      <c r="E33" s="189"/>
      <c r="F33" s="189">
        <v>46</v>
      </c>
      <c r="G33" s="189">
        <v>1574</v>
      </c>
      <c r="H33" s="72">
        <f t="shared" si="2"/>
        <v>1853</v>
      </c>
      <c r="I33" s="21" t="s">
        <v>542</v>
      </c>
      <c r="J33" s="189"/>
      <c r="K33" s="189"/>
      <c r="L33" s="189">
        <v>4064</v>
      </c>
      <c r="M33" s="189">
        <v>1998</v>
      </c>
      <c r="N33" s="189"/>
      <c r="O33" s="189">
        <v>253</v>
      </c>
      <c r="P33" s="189"/>
      <c r="Q33" s="189">
        <v>195</v>
      </c>
      <c r="R33" s="189">
        <v>2947</v>
      </c>
      <c r="S33" s="189">
        <v>3446</v>
      </c>
      <c r="T33" s="189"/>
      <c r="U33" s="189">
        <v>536</v>
      </c>
      <c r="V33" s="189">
        <v>192</v>
      </c>
      <c r="W33" s="189">
        <v>90</v>
      </c>
      <c r="X33" s="189"/>
      <c r="Y33" s="72">
        <f t="shared" si="3"/>
        <v>13721</v>
      </c>
    </row>
    <row r="34" spans="1:25">
      <c r="A34" s="21" t="s">
        <v>535</v>
      </c>
      <c r="B34" s="189"/>
      <c r="C34" s="189"/>
      <c r="D34" s="189">
        <v>630</v>
      </c>
      <c r="E34" s="189"/>
      <c r="F34" s="189"/>
      <c r="G34" s="189"/>
      <c r="H34" s="72">
        <f t="shared" si="2"/>
        <v>630</v>
      </c>
      <c r="I34" s="21" t="s">
        <v>535</v>
      </c>
      <c r="J34" s="189"/>
      <c r="K34" s="189"/>
      <c r="L34" s="189">
        <v>1003</v>
      </c>
      <c r="M34" s="189">
        <v>580</v>
      </c>
      <c r="N34" s="189"/>
      <c r="O34" s="189">
        <v>593</v>
      </c>
      <c r="P34" s="189"/>
      <c r="Q34" s="189"/>
      <c r="R34" s="189">
        <v>352</v>
      </c>
      <c r="S34" s="189"/>
      <c r="T34" s="189">
        <v>321</v>
      </c>
      <c r="U34" s="189">
        <v>220</v>
      </c>
      <c r="V34" s="189">
        <v>120</v>
      </c>
      <c r="W34" s="189">
        <v>120</v>
      </c>
      <c r="X34" s="189"/>
      <c r="Y34" s="72">
        <f t="shared" si="3"/>
        <v>3309</v>
      </c>
    </row>
    <row r="35" spans="1:25">
      <c r="A35" s="21" t="s">
        <v>541</v>
      </c>
      <c r="B35" s="189"/>
      <c r="C35" s="189"/>
      <c r="D35" s="189">
        <v>234</v>
      </c>
      <c r="E35" s="189">
        <v>45</v>
      </c>
      <c r="F35" s="189"/>
      <c r="G35" s="189"/>
      <c r="H35" s="72">
        <f t="shared" si="2"/>
        <v>279</v>
      </c>
      <c r="I35" s="21" t="s">
        <v>541</v>
      </c>
      <c r="J35" s="189"/>
      <c r="K35" s="189"/>
      <c r="L35" s="189">
        <v>88</v>
      </c>
      <c r="M35" s="189">
        <v>555</v>
      </c>
      <c r="N35" s="189">
        <v>75</v>
      </c>
      <c r="O35" s="189">
        <v>214</v>
      </c>
      <c r="P35" s="189"/>
      <c r="Q35" s="189"/>
      <c r="R35" s="189"/>
      <c r="S35" s="189">
        <v>132</v>
      </c>
      <c r="T35" s="189">
        <v>219</v>
      </c>
      <c r="U35" s="189">
        <v>150</v>
      </c>
      <c r="V35" s="189">
        <v>80</v>
      </c>
      <c r="W35" s="189"/>
      <c r="X35" s="189"/>
      <c r="Y35" s="72">
        <f t="shared" si="3"/>
        <v>1513</v>
      </c>
    </row>
    <row r="36" spans="1:25">
      <c r="A36" s="21" t="s">
        <v>536</v>
      </c>
      <c r="B36" s="189"/>
      <c r="C36" s="189"/>
      <c r="D36" s="189">
        <v>147</v>
      </c>
      <c r="E36" s="189"/>
      <c r="F36" s="189"/>
      <c r="G36" s="189">
        <v>50</v>
      </c>
      <c r="H36" s="72">
        <f t="shared" si="2"/>
        <v>197</v>
      </c>
      <c r="I36" s="21" t="s">
        <v>536</v>
      </c>
      <c r="J36" s="189"/>
      <c r="K36" s="189"/>
      <c r="L36" s="189">
        <v>305</v>
      </c>
      <c r="M36" s="189">
        <v>235</v>
      </c>
      <c r="N36" s="189"/>
      <c r="O36" s="189">
        <v>160</v>
      </c>
      <c r="P36" s="189"/>
      <c r="Q36" s="189"/>
      <c r="R36" s="189">
        <v>92</v>
      </c>
      <c r="S36" s="189">
        <v>160</v>
      </c>
      <c r="T36" s="189"/>
      <c r="U36" s="189">
        <v>45</v>
      </c>
      <c r="V36" s="189">
        <v>45</v>
      </c>
      <c r="W36" s="189"/>
      <c r="X36" s="189"/>
      <c r="Y36" s="72">
        <f t="shared" si="3"/>
        <v>1042</v>
      </c>
    </row>
    <row r="37" spans="1:25">
      <c r="A37" s="21" t="s">
        <v>539</v>
      </c>
      <c r="B37" s="189"/>
      <c r="C37" s="189"/>
      <c r="D37" s="189">
        <v>88</v>
      </c>
      <c r="E37" s="189"/>
      <c r="F37" s="189">
        <v>76</v>
      </c>
      <c r="G37" s="189">
        <v>28</v>
      </c>
      <c r="H37" s="72">
        <f t="shared" si="2"/>
        <v>192</v>
      </c>
      <c r="I37" s="21" t="s">
        <v>539</v>
      </c>
      <c r="J37" s="189"/>
      <c r="K37" s="189"/>
      <c r="L37" s="189">
        <v>152</v>
      </c>
      <c r="M37" s="189">
        <v>427</v>
      </c>
      <c r="N37" s="189"/>
      <c r="O37" s="189">
        <v>90</v>
      </c>
      <c r="P37" s="189">
        <v>80</v>
      </c>
      <c r="Q37" s="189">
        <v>147</v>
      </c>
      <c r="R37" s="189">
        <v>23</v>
      </c>
      <c r="S37" s="189">
        <v>105</v>
      </c>
      <c r="T37" s="189">
        <v>5</v>
      </c>
      <c r="U37" s="189">
        <v>180</v>
      </c>
      <c r="V37" s="189">
        <v>60</v>
      </c>
      <c r="W37" s="189"/>
      <c r="X37" s="189">
        <v>200</v>
      </c>
      <c r="Y37" s="72">
        <f t="shared" si="3"/>
        <v>1469</v>
      </c>
    </row>
    <row r="38" spans="1:25">
      <c r="A38" s="21" t="s">
        <v>540</v>
      </c>
      <c r="B38" s="189"/>
      <c r="C38" s="189"/>
      <c r="D38" s="189"/>
      <c r="E38" s="189"/>
      <c r="F38" s="189"/>
      <c r="G38" s="189">
        <v>192</v>
      </c>
      <c r="H38" s="72">
        <f t="shared" si="2"/>
        <v>192</v>
      </c>
      <c r="I38" s="21" t="s">
        <v>540</v>
      </c>
      <c r="J38" s="189"/>
      <c r="K38" s="189"/>
      <c r="L38" s="189">
        <v>345</v>
      </c>
      <c r="M38" s="189"/>
      <c r="N38" s="189"/>
      <c r="O38" s="189"/>
      <c r="P38" s="189"/>
      <c r="Q38" s="189"/>
      <c r="R38" s="189"/>
      <c r="S38" s="189">
        <v>345</v>
      </c>
      <c r="T38" s="189">
        <v>1</v>
      </c>
      <c r="U38" s="189">
        <v>40</v>
      </c>
      <c r="V38" s="189">
        <v>28</v>
      </c>
      <c r="W38" s="189">
        <v>55</v>
      </c>
      <c r="X38" s="189"/>
      <c r="Y38" s="72">
        <f t="shared" si="3"/>
        <v>814</v>
      </c>
    </row>
    <row r="39" spans="1:25">
      <c r="A39" s="21" t="s">
        <v>538</v>
      </c>
      <c r="B39" s="189"/>
      <c r="C39" s="189">
        <v>86</v>
      </c>
      <c r="D39" s="189"/>
      <c r="E39" s="189"/>
      <c r="F39" s="189"/>
      <c r="G39" s="189">
        <v>160</v>
      </c>
      <c r="H39" s="72">
        <f t="shared" si="2"/>
        <v>246</v>
      </c>
      <c r="I39" s="21" t="s">
        <v>538</v>
      </c>
      <c r="J39" s="189"/>
      <c r="K39" s="189">
        <v>174</v>
      </c>
      <c r="L39" s="189">
        <v>383</v>
      </c>
      <c r="M39" s="189"/>
      <c r="N39" s="189"/>
      <c r="O39" s="189"/>
      <c r="P39" s="189"/>
      <c r="Q39" s="189"/>
      <c r="R39" s="189">
        <v>104</v>
      </c>
      <c r="S39" s="189">
        <v>260</v>
      </c>
      <c r="T39" s="189">
        <v>52</v>
      </c>
      <c r="U39" s="189">
        <v>50</v>
      </c>
      <c r="V39" s="189">
        <v>38</v>
      </c>
      <c r="W39" s="189"/>
      <c r="X39" s="189"/>
      <c r="Y39" s="72">
        <f t="shared" si="3"/>
        <v>1061</v>
      </c>
    </row>
    <row r="40" spans="1:25">
      <c r="A40" s="318" t="s">
        <v>537</v>
      </c>
      <c r="B40" s="194"/>
      <c r="C40" s="194"/>
      <c r="D40" s="194"/>
      <c r="E40" s="194"/>
      <c r="F40" s="194"/>
      <c r="G40" s="194">
        <v>250</v>
      </c>
      <c r="H40" s="72">
        <f t="shared" si="2"/>
        <v>250</v>
      </c>
      <c r="I40" s="318" t="s">
        <v>537</v>
      </c>
      <c r="J40" s="194"/>
      <c r="K40" s="194"/>
      <c r="L40" s="194">
        <v>203</v>
      </c>
      <c r="M40" s="194"/>
      <c r="N40" s="194"/>
      <c r="O40" s="194"/>
      <c r="P40" s="194"/>
      <c r="Q40" s="194"/>
      <c r="R40" s="194">
        <v>27</v>
      </c>
      <c r="S40" s="194">
        <v>435</v>
      </c>
      <c r="T40" s="194">
        <v>45</v>
      </c>
      <c r="U40" s="194">
        <v>120</v>
      </c>
      <c r="V40" s="194">
        <v>40</v>
      </c>
      <c r="W40" s="194"/>
      <c r="X40" s="194"/>
      <c r="Y40" s="72">
        <f t="shared" si="3"/>
        <v>870</v>
      </c>
    </row>
    <row r="41" spans="1:25">
      <c r="H41" s="72">
        <f>SUM(H25:H40)</f>
        <v>29085</v>
      </c>
      <c r="Y41" s="72">
        <f>SUM(Y25:Y40)</f>
        <v>150883</v>
      </c>
    </row>
    <row r="42" spans="1:25">
      <c r="A42" s="383" t="s">
        <v>444</v>
      </c>
      <c r="B42" s="79"/>
      <c r="C42" s="79"/>
      <c r="D42" s="79"/>
      <c r="E42" s="79"/>
      <c r="F42" s="79"/>
      <c r="G42" s="79"/>
      <c r="H42" s="384"/>
      <c r="I42" s="79"/>
      <c r="J42" s="79"/>
      <c r="K42" s="79"/>
      <c r="L42" s="79"/>
      <c r="M42" s="79"/>
      <c r="N42" s="79"/>
      <c r="O42" s="79"/>
      <c r="P42" s="79"/>
      <c r="Q42" s="79"/>
      <c r="R42" s="79"/>
      <c r="S42" s="79"/>
      <c r="T42" s="79"/>
      <c r="U42" s="79"/>
      <c r="V42" s="79"/>
      <c r="W42" s="79"/>
      <c r="X42" s="79"/>
      <c r="Y42" s="384"/>
    </row>
    <row r="43" spans="1:25">
      <c r="A43" s="319" t="s">
        <v>544</v>
      </c>
      <c r="B43" s="318" t="s">
        <v>532</v>
      </c>
      <c r="C43" s="318" t="s">
        <v>530</v>
      </c>
      <c r="D43" s="318" t="s">
        <v>523</v>
      </c>
      <c r="E43" s="318" t="s">
        <v>546</v>
      </c>
      <c r="F43" s="318" t="s">
        <v>533</v>
      </c>
      <c r="G43" s="318" t="s">
        <v>529</v>
      </c>
      <c r="I43" s="319" t="s">
        <v>543</v>
      </c>
      <c r="J43" s="318" t="s">
        <v>532</v>
      </c>
      <c r="K43" s="318" t="s">
        <v>530</v>
      </c>
      <c r="L43" s="318" t="s">
        <v>524</v>
      </c>
      <c r="M43" s="318" t="s">
        <v>525</v>
      </c>
      <c r="N43" s="318" t="s">
        <v>546</v>
      </c>
      <c r="O43" s="318" t="s">
        <v>523</v>
      </c>
      <c r="P43" s="318" t="s">
        <v>549</v>
      </c>
      <c r="Q43" s="318" t="s">
        <v>533</v>
      </c>
      <c r="R43" s="318" t="s">
        <v>526</v>
      </c>
      <c r="S43" s="318" t="s">
        <v>529</v>
      </c>
      <c r="T43" s="318" t="s">
        <v>527</v>
      </c>
      <c r="U43" s="318" t="s">
        <v>528</v>
      </c>
      <c r="V43" s="318" t="s">
        <v>545</v>
      </c>
      <c r="W43" s="318" t="s">
        <v>547</v>
      </c>
      <c r="X43" s="318" t="s">
        <v>548</v>
      </c>
    </row>
    <row r="44" spans="1:25">
      <c r="A44" s="21" t="s">
        <v>534</v>
      </c>
      <c r="B44" s="189">
        <f>B25-B6</f>
        <v>0</v>
      </c>
      <c r="C44" s="189">
        <f t="shared" ref="C44:H44" si="4">C25-C6</f>
        <v>0</v>
      </c>
      <c r="D44" s="189">
        <f t="shared" si="4"/>
        <v>0</v>
      </c>
      <c r="E44" s="189">
        <f t="shared" si="4"/>
        <v>0</v>
      </c>
      <c r="F44" s="189">
        <f t="shared" si="4"/>
        <v>0</v>
      </c>
      <c r="G44" s="189">
        <f t="shared" si="4"/>
        <v>0</v>
      </c>
      <c r="H44" s="72">
        <f t="shared" si="4"/>
        <v>0</v>
      </c>
      <c r="I44" s="21" t="s">
        <v>534</v>
      </c>
      <c r="J44" s="189">
        <f>J25-J6</f>
        <v>0</v>
      </c>
      <c r="K44" s="189">
        <f t="shared" ref="K44:Y44" si="5">K25-K6</f>
        <v>0</v>
      </c>
      <c r="L44" s="189">
        <f t="shared" si="5"/>
        <v>0</v>
      </c>
      <c r="M44" s="189">
        <f t="shared" si="5"/>
        <v>0</v>
      </c>
      <c r="N44" s="189">
        <f t="shared" si="5"/>
        <v>0</v>
      </c>
      <c r="O44" s="189">
        <f t="shared" si="5"/>
        <v>0</v>
      </c>
      <c r="P44" s="189">
        <f t="shared" si="5"/>
        <v>0</v>
      </c>
      <c r="Q44" s="189">
        <f t="shared" si="5"/>
        <v>0</v>
      </c>
      <c r="R44" s="189">
        <f t="shared" si="5"/>
        <v>0</v>
      </c>
      <c r="S44" s="189">
        <f t="shared" si="5"/>
        <v>0</v>
      </c>
      <c r="T44" s="189">
        <f t="shared" si="5"/>
        <v>0</v>
      </c>
      <c r="U44" s="189">
        <f t="shared" si="5"/>
        <v>0</v>
      </c>
      <c r="V44" s="189">
        <f t="shared" si="5"/>
        <v>0</v>
      </c>
      <c r="W44" s="189">
        <f t="shared" si="5"/>
        <v>0</v>
      </c>
      <c r="X44" s="189">
        <f t="shared" si="5"/>
        <v>0</v>
      </c>
      <c r="Y44" s="72">
        <f t="shared" si="5"/>
        <v>0</v>
      </c>
    </row>
    <row r="45" spans="1:25">
      <c r="A45" s="318" t="s">
        <v>531</v>
      </c>
      <c r="B45" s="194">
        <f t="shared" ref="B45:H60" si="6">B26-B7</f>
        <v>0</v>
      </c>
      <c r="C45" s="194">
        <f t="shared" si="6"/>
        <v>0</v>
      </c>
      <c r="D45" s="194">
        <f t="shared" si="6"/>
        <v>0</v>
      </c>
      <c r="E45" s="194">
        <f t="shared" si="6"/>
        <v>0</v>
      </c>
      <c r="F45" s="194">
        <f t="shared" si="6"/>
        <v>0</v>
      </c>
      <c r="G45" s="194">
        <f t="shared" si="6"/>
        <v>0</v>
      </c>
      <c r="H45" s="72">
        <f t="shared" si="6"/>
        <v>0</v>
      </c>
      <c r="I45" s="318" t="s">
        <v>531</v>
      </c>
      <c r="J45" s="194">
        <f t="shared" ref="J45:Y60" si="7">J26-J7</f>
        <v>0</v>
      </c>
      <c r="K45" s="194">
        <f t="shared" si="7"/>
        <v>0</v>
      </c>
      <c r="L45" s="194">
        <f t="shared" si="7"/>
        <v>0</v>
      </c>
      <c r="M45" s="194">
        <f t="shared" si="7"/>
        <v>0</v>
      </c>
      <c r="N45" s="194">
        <f t="shared" si="7"/>
        <v>0</v>
      </c>
      <c r="O45" s="194">
        <f t="shared" si="7"/>
        <v>0</v>
      </c>
      <c r="P45" s="194">
        <f t="shared" si="7"/>
        <v>0</v>
      </c>
      <c r="Q45" s="194">
        <f t="shared" si="7"/>
        <v>0</v>
      </c>
      <c r="R45" s="194">
        <f t="shared" si="7"/>
        <v>0</v>
      </c>
      <c r="S45" s="194">
        <f t="shared" si="7"/>
        <v>0</v>
      </c>
      <c r="T45" s="194">
        <f t="shared" si="7"/>
        <v>0</v>
      </c>
      <c r="U45" s="194">
        <f t="shared" si="7"/>
        <v>0</v>
      </c>
      <c r="V45" s="194">
        <f t="shared" si="7"/>
        <v>0</v>
      </c>
      <c r="W45" s="194">
        <f t="shared" si="7"/>
        <v>0</v>
      </c>
      <c r="X45" s="194">
        <f t="shared" si="7"/>
        <v>0</v>
      </c>
      <c r="Y45" s="72">
        <f t="shared" si="7"/>
        <v>0</v>
      </c>
    </row>
    <row r="46" spans="1:25">
      <c r="A46" s="21" t="s">
        <v>107</v>
      </c>
      <c r="B46" s="189">
        <f t="shared" si="6"/>
        <v>0</v>
      </c>
      <c r="C46" s="189">
        <f t="shared" si="6"/>
        <v>0</v>
      </c>
      <c r="D46" s="189">
        <f t="shared" si="6"/>
        <v>0</v>
      </c>
      <c r="E46" s="189">
        <f t="shared" si="6"/>
        <v>0</v>
      </c>
      <c r="F46" s="189">
        <f t="shared" si="6"/>
        <v>0</v>
      </c>
      <c r="G46" s="189">
        <f t="shared" si="6"/>
        <v>0</v>
      </c>
      <c r="H46" s="72">
        <f t="shared" si="6"/>
        <v>0</v>
      </c>
      <c r="I46" s="21" t="s">
        <v>107</v>
      </c>
      <c r="J46" s="189">
        <f t="shared" si="7"/>
        <v>0</v>
      </c>
      <c r="K46" s="189">
        <f t="shared" si="7"/>
        <v>0</v>
      </c>
      <c r="L46" s="189">
        <f t="shared" si="7"/>
        <v>0</v>
      </c>
      <c r="M46" s="189">
        <f t="shared" si="7"/>
        <v>0</v>
      </c>
      <c r="N46" s="189">
        <f t="shared" si="7"/>
        <v>0</v>
      </c>
      <c r="O46" s="189">
        <f t="shared" si="7"/>
        <v>0</v>
      </c>
      <c r="P46" s="189">
        <f t="shared" si="7"/>
        <v>0</v>
      </c>
      <c r="Q46" s="189">
        <f t="shared" si="7"/>
        <v>0</v>
      </c>
      <c r="R46" s="189">
        <f t="shared" si="7"/>
        <v>0</v>
      </c>
      <c r="S46" s="189">
        <f t="shared" si="7"/>
        <v>0</v>
      </c>
      <c r="T46" s="189">
        <f t="shared" si="7"/>
        <v>0</v>
      </c>
      <c r="U46" s="189">
        <f t="shared" si="7"/>
        <v>0</v>
      </c>
      <c r="V46" s="189">
        <f t="shared" si="7"/>
        <v>999</v>
      </c>
      <c r="W46" s="189">
        <f t="shared" si="7"/>
        <v>0</v>
      </c>
      <c r="X46" s="189">
        <f t="shared" si="7"/>
        <v>0</v>
      </c>
      <c r="Y46" s="72">
        <f t="shared" si="7"/>
        <v>999</v>
      </c>
    </row>
    <row r="47" spans="1:25">
      <c r="A47" s="21" t="s">
        <v>113</v>
      </c>
      <c r="B47" s="189">
        <f t="shared" si="6"/>
        <v>0</v>
      </c>
      <c r="C47" s="189">
        <f t="shared" si="6"/>
        <v>0</v>
      </c>
      <c r="D47" s="189">
        <f t="shared" si="6"/>
        <v>0</v>
      </c>
      <c r="E47" s="189">
        <f t="shared" si="6"/>
        <v>0</v>
      </c>
      <c r="F47" s="189">
        <f t="shared" si="6"/>
        <v>0</v>
      </c>
      <c r="G47" s="189">
        <f t="shared" si="6"/>
        <v>0</v>
      </c>
      <c r="H47" s="72">
        <f t="shared" si="6"/>
        <v>0</v>
      </c>
      <c r="I47" s="21" t="s">
        <v>113</v>
      </c>
      <c r="J47" s="189">
        <f t="shared" si="7"/>
        <v>0</v>
      </c>
      <c r="K47" s="189">
        <f t="shared" si="7"/>
        <v>0</v>
      </c>
      <c r="L47" s="189">
        <f t="shared" si="7"/>
        <v>0</v>
      </c>
      <c r="M47" s="189">
        <f t="shared" si="7"/>
        <v>0</v>
      </c>
      <c r="N47" s="189">
        <f t="shared" si="7"/>
        <v>0</v>
      </c>
      <c r="O47" s="189">
        <f t="shared" si="7"/>
        <v>0</v>
      </c>
      <c r="P47" s="189">
        <f t="shared" si="7"/>
        <v>0</v>
      </c>
      <c r="Q47" s="189">
        <f t="shared" si="7"/>
        <v>0</v>
      </c>
      <c r="R47" s="189">
        <f t="shared" si="7"/>
        <v>0</v>
      </c>
      <c r="S47" s="189">
        <f t="shared" si="7"/>
        <v>0</v>
      </c>
      <c r="T47" s="189">
        <f t="shared" si="7"/>
        <v>0</v>
      </c>
      <c r="U47" s="189">
        <f t="shared" si="7"/>
        <v>0</v>
      </c>
      <c r="V47" s="189">
        <f t="shared" si="7"/>
        <v>1060</v>
      </c>
      <c r="W47" s="189">
        <f t="shared" si="7"/>
        <v>0</v>
      </c>
      <c r="X47" s="189">
        <f t="shared" si="7"/>
        <v>0</v>
      </c>
      <c r="Y47" s="72">
        <f t="shared" si="7"/>
        <v>1060</v>
      </c>
    </row>
    <row r="48" spans="1:25">
      <c r="A48" s="21" t="s">
        <v>104</v>
      </c>
      <c r="B48" s="189">
        <f t="shared" si="6"/>
        <v>0</v>
      </c>
      <c r="C48" s="189">
        <f t="shared" si="6"/>
        <v>0</v>
      </c>
      <c r="D48" s="189">
        <f t="shared" si="6"/>
        <v>0</v>
      </c>
      <c r="E48" s="189">
        <f t="shared" si="6"/>
        <v>0</v>
      </c>
      <c r="F48" s="189">
        <f t="shared" si="6"/>
        <v>0</v>
      </c>
      <c r="G48" s="189">
        <f t="shared" si="6"/>
        <v>0</v>
      </c>
      <c r="H48" s="72">
        <f t="shared" si="6"/>
        <v>0</v>
      </c>
      <c r="I48" s="21" t="s">
        <v>104</v>
      </c>
      <c r="J48" s="189">
        <f t="shared" si="7"/>
        <v>0</v>
      </c>
      <c r="K48" s="189">
        <f t="shared" si="7"/>
        <v>0</v>
      </c>
      <c r="L48" s="189">
        <f t="shared" si="7"/>
        <v>0</v>
      </c>
      <c r="M48" s="189">
        <f t="shared" si="7"/>
        <v>0</v>
      </c>
      <c r="N48" s="189">
        <f t="shared" si="7"/>
        <v>0</v>
      </c>
      <c r="O48" s="189">
        <f t="shared" si="7"/>
        <v>0</v>
      </c>
      <c r="P48" s="189">
        <f t="shared" si="7"/>
        <v>0</v>
      </c>
      <c r="Q48" s="189">
        <f t="shared" si="7"/>
        <v>0</v>
      </c>
      <c r="R48" s="189">
        <f t="shared" si="7"/>
        <v>0</v>
      </c>
      <c r="S48" s="189">
        <f t="shared" si="7"/>
        <v>0</v>
      </c>
      <c r="T48" s="189">
        <f t="shared" si="7"/>
        <v>0</v>
      </c>
      <c r="U48" s="189">
        <f t="shared" si="7"/>
        <v>0</v>
      </c>
      <c r="V48" s="189">
        <f t="shared" si="7"/>
        <v>49</v>
      </c>
      <c r="W48" s="189">
        <f t="shared" si="7"/>
        <v>0</v>
      </c>
      <c r="X48" s="189">
        <f t="shared" si="7"/>
        <v>0</v>
      </c>
      <c r="Y48" s="72">
        <f t="shared" si="7"/>
        <v>49</v>
      </c>
    </row>
    <row r="49" spans="1:25">
      <c r="A49" s="21" t="s">
        <v>105</v>
      </c>
      <c r="B49" s="189">
        <f t="shared" si="6"/>
        <v>0</v>
      </c>
      <c r="C49" s="189">
        <f t="shared" si="6"/>
        <v>0</v>
      </c>
      <c r="D49" s="189">
        <f t="shared" si="6"/>
        <v>0</v>
      </c>
      <c r="E49" s="189">
        <f t="shared" si="6"/>
        <v>0</v>
      </c>
      <c r="F49" s="189">
        <f t="shared" si="6"/>
        <v>0</v>
      </c>
      <c r="G49" s="189">
        <f t="shared" si="6"/>
        <v>0</v>
      </c>
      <c r="H49" s="72">
        <f t="shared" si="6"/>
        <v>0</v>
      </c>
      <c r="I49" s="21" t="s">
        <v>105</v>
      </c>
      <c r="J49" s="189">
        <f t="shared" si="7"/>
        <v>0</v>
      </c>
      <c r="K49" s="189">
        <f t="shared" si="7"/>
        <v>0</v>
      </c>
      <c r="L49" s="189">
        <f t="shared" si="7"/>
        <v>0</v>
      </c>
      <c r="M49" s="189">
        <f t="shared" si="7"/>
        <v>0</v>
      </c>
      <c r="N49" s="189">
        <f t="shared" si="7"/>
        <v>0</v>
      </c>
      <c r="O49" s="189">
        <f t="shared" si="7"/>
        <v>0</v>
      </c>
      <c r="P49" s="189">
        <f t="shared" si="7"/>
        <v>0</v>
      </c>
      <c r="Q49" s="189">
        <f t="shared" si="7"/>
        <v>0</v>
      </c>
      <c r="R49" s="189">
        <f t="shared" si="7"/>
        <v>0</v>
      </c>
      <c r="S49" s="189">
        <f t="shared" si="7"/>
        <v>0</v>
      </c>
      <c r="T49" s="189">
        <f t="shared" si="7"/>
        <v>0</v>
      </c>
      <c r="U49" s="189">
        <f t="shared" si="7"/>
        <v>0</v>
      </c>
      <c r="V49" s="189">
        <f t="shared" si="7"/>
        <v>380</v>
      </c>
      <c r="W49" s="189">
        <f t="shared" si="7"/>
        <v>0</v>
      </c>
      <c r="X49" s="189">
        <f t="shared" si="7"/>
        <v>0</v>
      </c>
      <c r="Y49" s="72">
        <f t="shared" si="7"/>
        <v>380</v>
      </c>
    </row>
    <row r="50" spans="1:25">
      <c r="A50" s="21" t="s">
        <v>106</v>
      </c>
      <c r="B50" s="189">
        <f t="shared" si="6"/>
        <v>0</v>
      </c>
      <c r="C50" s="189">
        <f t="shared" si="6"/>
        <v>0</v>
      </c>
      <c r="D50" s="189">
        <f t="shared" si="6"/>
        <v>0</v>
      </c>
      <c r="E50" s="189">
        <f t="shared" si="6"/>
        <v>0</v>
      </c>
      <c r="F50" s="189">
        <f t="shared" si="6"/>
        <v>0</v>
      </c>
      <c r="G50" s="189">
        <f t="shared" si="6"/>
        <v>0</v>
      </c>
      <c r="H50" s="72">
        <f t="shared" si="6"/>
        <v>0</v>
      </c>
      <c r="I50" s="21" t="s">
        <v>106</v>
      </c>
      <c r="J50" s="189">
        <f t="shared" si="7"/>
        <v>0</v>
      </c>
      <c r="K50" s="189">
        <f t="shared" si="7"/>
        <v>0</v>
      </c>
      <c r="L50" s="189">
        <f t="shared" si="7"/>
        <v>0</v>
      </c>
      <c r="M50" s="189">
        <f t="shared" si="7"/>
        <v>0</v>
      </c>
      <c r="N50" s="189">
        <f t="shared" si="7"/>
        <v>0</v>
      </c>
      <c r="O50" s="189">
        <f t="shared" si="7"/>
        <v>0</v>
      </c>
      <c r="P50" s="189">
        <f t="shared" si="7"/>
        <v>0</v>
      </c>
      <c r="Q50" s="189">
        <f t="shared" si="7"/>
        <v>0</v>
      </c>
      <c r="R50" s="189">
        <f t="shared" si="7"/>
        <v>0</v>
      </c>
      <c r="S50" s="189">
        <f t="shared" si="7"/>
        <v>0</v>
      </c>
      <c r="T50" s="189">
        <f t="shared" si="7"/>
        <v>0</v>
      </c>
      <c r="U50" s="189">
        <f t="shared" si="7"/>
        <v>0</v>
      </c>
      <c r="V50" s="189">
        <f t="shared" si="7"/>
        <v>112</v>
      </c>
      <c r="W50" s="189">
        <f t="shared" si="7"/>
        <v>0</v>
      </c>
      <c r="X50" s="189">
        <f t="shared" si="7"/>
        <v>0</v>
      </c>
      <c r="Y50" s="72">
        <f t="shared" si="7"/>
        <v>112</v>
      </c>
    </row>
    <row r="51" spans="1:25">
      <c r="A51" s="318" t="s">
        <v>99</v>
      </c>
      <c r="B51" s="194">
        <f t="shared" si="6"/>
        <v>0</v>
      </c>
      <c r="C51" s="194">
        <f t="shared" si="6"/>
        <v>0</v>
      </c>
      <c r="D51" s="194">
        <f t="shared" si="6"/>
        <v>0</v>
      </c>
      <c r="E51" s="194">
        <f t="shared" si="6"/>
        <v>0</v>
      </c>
      <c r="F51" s="194">
        <f t="shared" si="6"/>
        <v>0</v>
      </c>
      <c r="G51" s="194">
        <f t="shared" si="6"/>
        <v>0</v>
      </c>
      <c r="H51" s="72">
        <f t="shared" si="6"/>
        <v>0</v>
      </c>
      <c r="I51" s="318" t="s">
        <v>99</v>
      </c>
      <c r="J51" s="194">
        <f t="shared" si="7"/>
        <v>0</v>
      </c>
      <c r="K51" s="194">
        <f t="shared" si="7"/>
        <v>0</v>
      </c>
      <c r="L51" s="194">
        <f t="shared" si="7"/>
        <v>0</v>
      </c>
      <c r="M51" s="194">
        <f t="shared" si="7"/>
        <v>0</v>
      </c>
      <c r="N51" s="194">
        <f t="shared" si="7"/>
        <v>0</v>
      </c>
      <c r="O51" s="194">
        <f t="shared" si="7"/>
        <v>0</v>
      </c>
      <c r="P51" s="194">
        <f t="shared" si="7"/>
        <v>0</v>
      </c>
      <c r="Q51" s="194">
        <f t="shared" si="7"/>
        <v>0</v>
      </c>
      <c r="R51" s="194">
        <f t="shared" si="7"/>
        <v>0</v>
      </c>
      <c r="S51" s="194">
        <f t="shared" si="7"/>
        <v>0</v>
      </c>
      <c r="T51" s="194">
        <f t="shared" si="7"/>
        <v>0</v>
      </c>
      <c r="U51" s="194">
        <f t="shared" si="7"/>
        <v>0</v>
      </c>
      <c r="V51" s="194">
        <f t="shared" si="7"/>
        <v>187</v>
      </c>
      <c r="W51" s="194">
        <f t="shared" si="7"/>
        <v>0</v>
      </c>
      <c r="X51" s="194">
        <f t="shared" si="7"/>
        <v>0</v>
      </c>
      <c r="Y51" s="72">
        <f t="shared" si="7"/>
        <v>187</v>
      </c>
    </row>
    <row r="52" spans="1:25">
      <c r="A52" s="21" t="s">
        <v>542</v>
      </c>
      <c r="B52" s="189">
        <f t="shared" si="6"/>
        <v>0</v>
      </c>
      <c r="C52" s="189">
        <f t="shared" si="6"/>
        <v>0</v>
      </c>
      <c r="D52" s="189">
        <f t="shared" si="6"/>
        <v>33</v>
      </c>
      <c r="E52" s="189">
        <f t="shared" si="6"/>
        <v>0</v>
      </c>
      <c r="F52" s="189">
        <f t="shared" si="6"/>
        <v>11</v>
      </c>
      <c r="G52" s="189">
        <f t="shared" si="6"/>
        <v>1074</v>
      </c>
      <c r="H52" s="72">
        <f t="shared" si="6"/>
        <v>1118</v>
      </c>
      <c r="I52" s="21" t="s">
        <v>542</v>
      </c>
      <c r="J52" s="189">
        <f t="shared" si="7"/>
        <v>0</v>
      </c>
      <c r="K52" s="189">
        <f t="shared" si="7"/>
        <v>0</v>
      </c>
      <c r="L52" s="189">
        <f t="shared" si="7"/>
        <v>3064</v>
      </c>
      <c r="M52" s="189">
        <f t="shared" si="7"/>
        <v>1998</v>
      </c>
      <c r="N52" s="189">
        <f t="shared" si="7"/>
        <v>0</v>
      </c>
      <c r="O52" s="189">
        <f t="shared" si="7"/>
        <v>53</v>
      </c>
      <c r="P52" s="189">
        <f t="shared" si="7"/>
        <v>0</v>
      </c>
      <c r="Q52" s="189">
        <f t="shared" si="7"/>
        <v>85</v>
      </c>
      <c r="R52" s="189">
        <f t="shared" si="7"/>
        <v>2747</v>
      </c>
      <c r="S52" s="189">
        <f t="shared" si="7"/>
        <v>2446</v>
      </c>
      <c r="T52" s="189">
        <f t="shared" si="7"/>
        <v>0</v>
      </c>
      <c r="U52" s="189">
        <f t="shared" si="7"/>
        <v>436</v>
      </c>
      <c r="V52" s="189">
        <f t="shared" si="7"/>
        <v>192</v>
      </c>
      <c r="W52" s="189">
        <f t="shared" si="7"/>
        <v>90</v>
      </c>
      <c r="X52" s="189">
        <f t="shared" si="7"/>
        <v>0</v>
      </c>
      <c r="Y52" s="72">
        <f t="shared" si="7"/>
        <v>11111</v>
      </c>
    </row>
    <row r="53" spans="1:25">
      <c r="A53" s="21" t="s">
        <v>535</v>
      </c>
      <c r="B53" s="189">
        <f t="shared" si="6"/>
        <v>0</v>
      </c>
      <c r="C53" s="189">
        <f t="shared" si="6"/>
        <v>0</v>
      </c>
      <c r="D53" s="189">
        <f t="shared" si="6"/>
        <v>160</v>
      </c>
      <c r="E53" s="189">
        <f t="shared" si="6"/>
        <v>0</v>
      </c>
      <c r="F53" s="189">
        <f t="shared" si="6"/>
        <v>0</v>
      </c>
      <c r="G53" s="189">
        <f t="shared" si="6"/>
        <v>0</v>
      </c>
      <c r="H53" s="72">
        <f t="shared" si="6"/>
        <v>160</v>
      </c>
      <c r="I53" s="21" t="s">
        <v>535</v>
      </c>
      <c r="J53" s="189">
        <f t="shared" si="7"/>
        <v>0</v>
      </c>
      <c r="K53" s="189">
        <f t="shared" si="7"/>
        <v>0</v>
      </c>
      <c r="L53" s="189">
        <f t="shared" si="7"/>
        <v>-297</v>
      </c>
      <c r="M53" s="189">
        <f t="shared" si="7"/>
        <v>0</v>
      </c>
      <c r="N53" s="189">
        <f t="shared" si="7"/>
        <v>0</v>
      </c>
      <c r="O53" s="189">
        <f t="shared" si="7"/>
        <v>162</v>
      </c>
      <c r="P53" s="189">
        <f t="shared" si="7"/>
        <v>0</v>
      </c>
      <c r="Q53" s="189">
        <f t="shared" si="7"/>
        <v>0</v>
      </c>
      <c r="R53" s="189">
        <f t="shared" si="7"/>
        <v>132</v>
      </c>
      <c r="S53" s="189">
        <f t="shared" si="7"/>
        <v>0</v>
      </c>
      <c r="T53" s="189">
        <f t="shared" si="7"/>
        <v>211</v>
      </c>
      <c r="U53" s="189">
        <f t="shared" si="7"/>
        <v>-20</v>
      </c>
      <c r="V53" s="189">
        <f t="shared" si="7"/>
        <v>120</v>
      </c>
      <c r="W53" s="189">
        <f t="shared" si="7"/>
        <v>120</v>
      </c>
      <c r="X53" s="189">
        <f t="shared" si="7"/>
        <v>0</v>
      </c>
      <c r="Y53" s="72">
        <f t="shared" si="7"/>
        <v>428</v>
      </c>
    </row>
    <row r="54" spans="1:25">
      <c r="A54" s="21" t="s">
        <v>541</v>
      </c>
      <c r="B54" s="189">
        <f t="shared" si="6"/>
        <v>0</v>
      </c>
      <c r="C54" s="189">
        <f t="shared" si="6"/>
        <v>0</v>
      </c>
      <c r="D54" s="189">
        <f t="shared" si="6"/>
        <v>0</v>
      </c>
      <c r="E54" s="189">
        <f t="shared" si="6"/>
        <v>45</v>
      </c>
      <c r="F54" s="189">
        <f t="shared" si="6"/>
        <v>0</v>
      </c>
      <c r="G54" s="189">
        <f t="shared" si="6"/>
        <v>0</v>
      </c>
      <c r="H54" s="72">
        <f t="shared" si="6"/>
        <v>45</v>
      </c>
      <c r="I54" s="21" t="s">
        <v>541</v>
      </c>
      <c r="J54" s="189">
        <f t="shared" si="7"/>
        <v>0</v>
      </c>
      <c r="K54" s="189">
        <f t="shared" si="7"/>
        <v>0</v>
      </c>
      <c r="L54" s="189">
        <f t="shared" si="7"/>
        <v>-152</v>
      </c>
      <c r="M54" s="189">
        <f t="shared" si="7"/>
        <v>55</v>
      </c>
      <c r="N54" s="189">
        <f t="shared" si="7"/>
        <v>75</v>
      </c>
      <c r="O54" s="189">
        <f t="shared" si="7"/>
        <v>0</v>
      </c>
      <c r="P54" s="189">
        <f t="shared" si="7"/>
        <v>0</v>
      </c>
      <c r="Q54" s="189">
        <f t="shared" si="7"/>
        <v>0</v>
      </c>
      <c r="R54" s="189">
        <f t="shared" si="7"/>
        <v>0</v>
      </c>
      <c r="S54" s="189">
        <f t="shared" si="7"/>
        <v>132</v>
      </c>
      <c r="T54" s="189">
        <f t="shared" si="7"/>
        <v>219</v>
      </c>
      <c r="U54" s="189">
        <f t="shared" si="7"/>
        <v>150</v>
      </c>
      <c r="V54" s="189">
        <f t="shared" si="7"/>
        <v>80</v>
      </c>
      <c r="W54" s="189">
        <f t="shared" si="7"/>
        <v>0</v>
      </c>
      <c r="X54" s="189">
        <f t="shared" si="7"/>
        <v>0</v>
      </c>
      <c r="Y54" s="72">
        <f t="shared" si="7"/>
        <v>559</v>
      </c>
    </row>
    <row r="55" spans="1:25">
      <c r="A55" s="21" t="s">
        <v>536</v>
      </c>
      <c r="B55" s="189">
        <f t="shared" si="6"/>
        <v>0</v>
      </c>
      <c r="C55" s="189">
        <f t="shared" si="6"/>
        <v>0</v>
      </c>
      <c r="D55" s="189">
        <f t="shared" si="6"/>
        <v>7</v>
      </c>
      <c r="E55" s="189">
        <f t="shared" si="6"/>
        <v>0</v>
      </c>
      <c r="F55" s="189">
        <f t="shared" si="6"/>
        <v>0</v>
      </c>
      <c r="G55" s="189">
        <f t="shared" si="6"/>
        <v>-10</v>
      </c>
      <c r="H55" s="72">
        <f t="shared" si="6"/>
        <v>-3</v>
      </c>
      <c r="I55" s="21" t="s">
        <v>536</v>
      </c>
      <c r="J55" s="189">
        <f t="shared" si="7"/>
        <v>0</v>
      </c>
      <c r="K55" s="189">
        <f t="shared" si="7"/>
        <v>0</v>
      </c>
      <c r="L55" s="189">
        <f t="shared" si="7"/>
        <v>-160</v>
      </c>
      <c r="M55" s="189">
        <f t="shared" si="7"/>
        <v>160</v>
      </c>
      <c r="N55" s="189">
        <f t="shared" si="7"/>
        <v>0</v>
      </c>
      <c r="O55" s="189">
        <f t="shared" si="7"/>
        <v>0</v>
      </c>
      <c r="P55" s="189">
        <f t="shared" si="7"/>
        <v>0</v>
      </c>
      <c r="Q55" s="189">
        <f t="shared" si="7"/>
        <v>0</v>
      </c>
      <c r="R55" s="189">
        <f t="shared" si="7"/>
        <v>92</v>
      </c>
      <c r="S55" s="189">
        <f t="shared" si="7"/>
        <v>30</v>
      </c>
      <c r="T55" s="189">
        <f t="shared" si="7"/>
        <v>0</v>
      </c>
      <c r="U55" s="189">
        <f t="shared" si="7"/>
        <v>0</v>
      </c>
      <c r="V55" s="189">
        <f t="shared" si="7"/>
        <v>45</v>
      </c>
      <c r="W55" s="189">
        <f t="shared" si="7"/>
        <v>0</v>
      </c>
      <c r="X55" s="189">
        <f t="shared" si="7"/>
        <v>0</v>
      </c>
      <c r="Y55" s="72">
        <f t="shared" si="7"/>
        <v>167</v>
      </c>
    </row>
    <row r="56" spans="1:25">
      <c r="A56" s="21" t="s">
        <v>539</v>
      </c>
      <c r="B56" s="189">
        <f t="shared" si="6"/>
        <v>0</v>
      </c>
      <c r="C56" s="189">
        <f t="shared" si="6"/>
        <v>0</v>
      </c>
      <c r="D56" s="189">
        <f t="shared" si="6"/>
        <v>-2</v>
      </c>
      <c r="E56" s="189">
        <f t="shared" si="6"/>
        <v>0</v>
      </c>
      <c r="F56" s="189">
        <f t="shared" si="6"/>
        <v>41</v>
      </c>
      <c r="G56" s="189">
        <f t="shared" si="6"/>
        <v>-2</v>
      </c>
      <c r="H56" s="72">
        <f t="shared" si="6"/>
        <v>37</v>
      </c>
      <c r="I56" s="21" t="s">
        <v>539</v>
      </c>
      <c r="J56" s="189">
        <f t="shared" si="7"/>
        <v>0</v>
      </c>
      <c r="K56" s="189">
        <f t="shared" si="7"/>
        <v>0</v>
      </c>
      <c r="L56" s="189">
        <f t="shared" si="7"/>
        <v>-48</v>
      </c>
      <c r="M56" s="189">
        <f t="shared" si="7"/>
        <v>-5</v>
      </c>
      <c r="N56" s="189">
        <f t="shared" si="7"/>
        <v>0</v>
      </c>
      <c r="O56" s="189">
        <f t="shared" si="7"/>
        <v>-10</v>
      </c>
      <c r="P56" s="189">
        <f t="shared" si="7"/>
        <v>80</v>
      </c>
      <c r="Q56" s="189">
        <f t="shared" si="7"/>
        <v>37</v>
      </c>
      <c r="R56" s="189">
        <f t="shared" si="7"/>
        <v>23</v>
      </c>
      <c r="S56" s="189">
        <f t="shared" si="7"/>
        <v>25</v>
      </c>
      <c r="T56" s="189">
        <f t="shared" si="7"/>
        <v>5</v>
      </c>
      <c r="U56" s="189">
        <f t="shared" si="7"/>
        <v>180</v>
      </c>
      <c r="V56" s="189">
        <f t="shared" si="7"/>
        <v>60</v>
      </c>
      <c r="W56" s="189">
        <f t="shared" si="7"/>
        <v>0</v>
      </c>
      <c r="X56" s="189">
        <f t="shared" si="7"/>
        <v>200</v>
      </c>
      <c r="Y56" s="72">
        <f t="shared" si="7"/>
        <v>547</v>
      </c>
    </row>
    <row r="57" spans="1:25">
      <c r="A57" s="21" t="s">
        <v>540</v>
      </c>
      <c r="B57" s="189">
        <f t="shared" si="6"/>
        <v>0</v>
      </c>
      <c r="C57" s="189">
        <f t="shared" si="6"/>
        <v>0</v>
      </c>
      <c r="D57" s="189">
        <f t="shared" si="6"/>
        <v>0</v>
      </c>
      <c r="E57" s="189">
        <f t="shared" si="6"/>
        <v>0</v>
      </c>
      <c r="F57" s="189">
        <f t="shared" si="6"/>
        <v>0</v>
      </c>
      <c r="G57" s="189">
        <f t="shared" si="6"/>
        <v>92</v>
      </c>
      <c r="H57" s="72">
        <f t="shared" si="6"/>
        <v>92</v>
      </c>
      <c r="I57" s="21" t="s">
        <v>540</v>
      </c>
      <c r="J57" s="189">
        <f t="shared" si="7"/>
        <v>0</v>
      </c>
      <c r="K57" s="189">
        <f t="shared" si="7"/>
        <v>0</v>
      </c>
      <c r="L57" s="189">
        <f t="shared" si="7"/>
        <v>-255</v>
      </c>
      <c r="M57" s="189">
        <f t="shared" si="7"/>
        <v>0</v>
      </c>
      <c r="N57" s="189">
        <f t="shared" si="7"/>
        <v>0</v>
      </c>
      <c r="O57" s="189">
        <f t="shared" si="7"/>
        <v>0</v>
      </c>
      <c r="P57" s="189">
        <f t="shared" si="7"/>
        <v>0</v>
      </c>
      <c r="Q57" s="189">
        <f t="shared" si="7"/>
        <v>0</v>
      </c>
      <c r="R57" s="189">
        <f t="shared" si="7"/>
        <v>-220</v>
      </c>
      <c r="S57" s="189">
        <f t="shared" si="7"/>
        <v>345</v>
      </c>
      <c r="T57" s="189">
        <f t="shared" si="7"/>
        <v>1</v>
      </c>
      <c r="U57" s="189">
        <f t="shared" si="7"/>
        <v>0</v>
      </c>
      <c r="V57" s="189">
        <f t="shared" si="7"/>
        <v>28</v>
      </c>
      <c r="W57" s="189">
        <f t="shared" si="7"/>
        <v>55</v>
      </c>
      <c r="X57" s="189">
        <f t="shared" si="7"/>
        <v>0</v>
      </c>
      <c r="Y57" s="72">
        <f t="shared" si="7"/>
        <v>-46</v>
      </c>
    </row>
    <row r="58" spans="1:25">
      <c r="A58" s="21" t="s">
        <v>538</v>
      </c>
      <c r="B58" s="189">
        <f t="shared" si="6"/>
        <v>0</v>
      </c>
      <c r="C58" s="189">
        <f t="shared" si="6"/>
        <v>-74</v>
      </c>
      <c r="D58" s="189">
        <f t="shared" si="6"/>
        <v>0</v>
      </c>
      <c r="E58" s="189">
        <f t="shared" si="6"/>
        <v>0</v>
      </c>
      <c r="F58" s="189">
        <f t="shared" si="6"/>
        <v>0</v>
      </c>
      <c r="G58" s="189">
        <f t="shared" si="6"/>
        <v>14</v>
      </c>
      <c r="H58" s="72">
        <f t="shared" si="6"/>
        <v>-60</v>
      </c>
      <c r="I58" s="21" t="s">
        <v>538</v>
      </c>
      <c r="J58" s="189">
        <f t="shared" si="7"/>
        <v>0</v>
      </c>
      <c r="K58" s="189">
        <f t="shared" si="7"/>
        <v>-206</v>
      </c>
      <c r="L58" s="189">
        <f t="shared" si="7"/>
        <v>-237</v>
      </c>
      <c r="M58" s="189">
        <f t="shared" si="7"/>
        <v>0</v>
      </c>
      <c r="N58" s="189">
        <f t="shared" si="7"/>
        <v>0</v>
      </c>
      <c r="O58" s="189">
        <f t="shared" si="7"/>
        <v>0</v>
      </c>
      <c r="P58" s="189">
        <f t="shared" si="7"/>
        <v>0</v>
      </c>
      <c r="Q58" s="189">
        <f t="shared" si="7"/>
        <v>0</v>
      </c>
      <c r="R58" s="189">
        <f t="shared" si="7"/>
        <v>104</v>
      </c>
      <c r="S58" s="189">
        <f t="shared" si="7"/>
        <v>10</v>
      </c>
      <c r="T58" s="189">
        <f t="shared" si="7"/>
        <v>22</v>
      </c>
      <c r="U58" s="189">
        <f t="shared" si="7"/>
        <v>50</v>
      </c>
      <c r="V58" s="189">
        <f t="shared" si="7"/>
        <v>38</v>
      </c>
      <c r="W58" s="189">
        <f t="shared" si="7"/>
        <v>0</v>
      </c>
      <c r="X58" s="189">
        <f t="shared" si="7"/>
        <v>0</v>
      </c>
      <c r="Y58" s="72">
        <f t="shared" si="7"/>
        <v>-219</v>
      </c>
    </row>
    <row r="59" spans="1:25">
      <c r="A59" s="318" t="s">
        <v>537</v>
      </c>
      <c r="B59" s="194">
        <f t="shared" si="6"/>
        <v>0</v>
      </c>
      <c r="C59" s="194">
        <f t="shared" si="6"/>
        <v>0</v>
      </c>
      <c r="D59" s="194">
        <f t="shared" si="6"/>
        <v>0</v>
      </c>
      <c r="E59" s="194">
        <f t="shared" si="6"/>
        <v>0</v>
      </c>
      <c r="F59" s="194">
        <f t="shared" si="6"/>
        <v>0</v>
      </c>
      <c r="G59" s="194">
        <f t="shared" si="6"/>
        <v>-30</v>
      </c>
      <c r="H59" s="72">
        <f t="shared" si="6"/>
        <v>-30</v>
      </c>
      <c r="I59" s="318" t="s">
        <v>537</v>
      </c>
      <c r="J59" s="194">
        <f t="shared" si="7"/>
        <v>0</v>
      </c>
      <c r="K59" s="194">
        <f t="shared" si="7"/>
        <v>0</v>
      </c>
      <c r="L59" s="194">
        <f t="shared" si="7"/>
        <v>-197</v>
      </c>
      <c r="M59" s="194">
        <f t="shared" si="7"/>
        <v>0</v>
      </c>
      <c r="N59" s="194">
        <f t="shared" si="7"/>
        <v>0</v>
      </c>
      <c r="O59" s="194">
        <f t="shared" si="7"/>
        <v>0</v>
      </c>
      <c r="P59" s="194">
        <f t="shared" si="7"/>
        <v>0</v>
      </c>
      <c r="Q59" s="194">
        <f t="shared" si="7"/>
        <v>0</v>
      </c>
      <c r="R59" s="194">
        <f t="shared" si="7"/>
        <v>27</v>
      </c>
      <c r="S59" s="194">
        <f t="shared" si="7"/>
        <v>15</v>
      </c>
      <c r="T59" s="194">
        <f t="shared" si="7"/>
        <v>45</v>
      </c>
      <c r="U59" s="194">
        <f t="shared" si="7"/>
        <v>120</v>
      </c>
      <c r="V59" s="194">
        <f t="shared" si="7"/>
        <v>40</v>
      </c>
      <c r="W59" s="194">
        <f t="shared" si="7"/>
        <v>0</v>
      </c>
      <c r="X59" s="194">
        <f t="shared" si="7"/>
        <v>0</v>
      </c>
      <c r="Y59" s="72">
        <f t="shared" si="7"/>
        <v>50</v>
      </c>
    </row>
    <row r="60" spans="1:25">
      <c r="H60" s="72">
        <f t="shared" si="6"/>
        <v>1359</v>
      </c>
      <c r="J60" s="254">
        <f>SUM(J44:J59)</f>
        <v>0</v>
      </c>
      <c r="K60" s="72">
        <f t="shared" ref="K60:X60" si="8">SUM(K44:K59)</f>
        <v>-206</v>
      </c>
      <c r="L60" s="72">
        <f t="shared" si="8"/>
        <v>1718</v>
      </c>
      <c r="M60" s="72">
        <f t="shared" si="8"/>
        <v>2208</v>
      </c>
      <c r="N60" s="72">
        <f t="shared" si="8"/>
        <v>75</v>
      </c>
      <c r="O60" s="72">
        <f t="shared" si="8"/>
        <v>205</v>
      </c>
      <c r="P60" s="72">
        <f t="shared" si="8"/>
        <v>80</v>
      </c>
      <c r="Q60" s="72">
        <f t="shared" si="8"/>
        <v>122</v>
      </c>
      <c r="R60" s="72">
        <f t="shared" si="8"/>
        <v>2905</v>
      </c>
      <c r="S60" s="72">
        <f t="shared" si="8"/>
        <v>3003</v>
      </c>
      <c r="T60" s="72">
        <f t="shared" si="8"/>
        <v>503</v>
      </c>
      <c r="U60" s="72">
        <f t="shared" si="8"/>
        <v>916</v>
      </c>
      <c r="V60" s="72">
        <f t="shared" si="8"/>
        <v>3390</v>
      </c>
      <c r="W60" s="72">
        <f t="shared" si="8"/>
        <v>265</v>
      </c>
      <c r="X60" s="72">
        <f t="shared" si="8"/>
        <v>200</v>
      </c>
      <c r="Y60" s="72">
        <f t="shared" si="7"/>
        <v>15384</v>
      </c>
    </row>
  </sheetData>
  <hyperlinks>
    <hyperlink ref="M1" r:id="rId1" display="https://github.com/vttresearch/north_european_model/commit/cf6d6bad45f10c5d2dca7170698cefa6048e8b7e" xr:uid="{642E1CAA-ADA1-475A-92DC-6FB45A80B92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Demand</vt:lpstr>
      <vt:lpstr>Production</vt:lpstr>
      <vt:lpstr>Flexibility</vt:lpstr>
      <vt:lpstr>H2</vt:lpstr>
      <vt:lpstr>Transmission - El.</vt:lpstr>
      <vt:lpstr>Transmission - H2</vt:lpstr>
      <vt:lpstr>Other (non)RES</vt:lpstr>
      <vt:lpstr>Heat</vt:lpstr>
      <vt:lpstr>Demand (old)</vt:lpstr>
      <vt:lpstr>Summary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Jasiunas Justinas</dc:creator>
  <cp:keywords/>
  <dc:description/>
  <cp:lastModifiedBy>Jasiunas Justinas</cp:lastModifiedBy>
  <cp:revision/>
  <dcterms:created xsi:type="dcterms:W3CDTF">2015-06-05T18:17:20Z</dcterms:created>
  <dcterms:modified xsi:type="dcterms:W3CDTF">2025-02-07T07:47:12Z</dcterms:modified>
  <cp:category/>
  <cp:contentStatus/>
</cp:coreProperties>
</file>