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north_european_model\src_files\data_files\"/>
    </mc:Choice>
  </mc:AlternateContent>
  <xr:revisionPtr revIDLastSave="0" documentId="13_ncr:1_{C206B49A-7ED0-4C37-96D1-22C846C4D7E8}" xr6:coauthVersionLast="47" xr6:coauthVersionMax="47" xr10:uidLastSave="{00000000-0000-0000-0000-000000000000}"/>
  <bookViews>
    <workbookView xWindow="-120" yWindow="-120" windowWidth="29040" windowHeight="17520" tabRatio="500" xr2:uid="{00000000-000D-0000-FFFF-FFFF00000000}"/>
  </bookViews>
  <sheets>
    <sheet name="Overview" sheetId="5" r:id="rId1"/>
    <sheet name="sources" sheetId="8" r:id="rId2"/>
    <sheet name="unittypedata" sheetId="1" r:id="rId3"/>
  </sheets>
  <definedNames>
    <definedName name="_xlnm._FilterDatabase" localSheetId="2" hidden="1">unittypedata!$A$1:$AJ$69</definedName>
    <definedName name="Bottom">OFFSET(#REF!,1,0,COUNT(#REF!),1)</definedName>
    <definedName name="fd">OFFSET(#REF!,1,0,COUNT(#REF!),1)</definedName>
    <definedName name="Labels">OFFSET(Bottom,0,-1)</definedName>
    <definedName name="SecondQ">OFFSET(#REF!,1,0,COUNT(#REF!),1)</definedName>
    <definedName name="ThirdQ">OFFSET(#REF!,1,0,COUNT(#REF!),1)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F98" i="1" l="1"/>
  <c r="AE98" i="1"/>
  <c r="AD98" i="1"/>
  <c r="AC98" i="1"/>
  <c r="AB98" i="1"/>
  <c r="AA98" i="1"/>
  <c r="Z98" i="1"/>
  <c r="Y98" i="1"/>
  <c r="X98" i="1"/>
  <c r="W98" i="1"/>
  <c r="V98" i="1"/>
  <c r="U98" i="1"/>
  <c r="T98" i="1"/>
  <c r="S98" i="1"/>
  <c r="R98" i="1"/>
  <c r="Q98" i="1"/>
  <c r="P98" i="1"/>
  <c r="O98" i="1"/>
  <c r="N98" i="1"/>
  <c r="K98" i="1"/>
  <c r="J98" i="1"/>
  <c r="I98" i="1"/>
  <c r="H98" i="1"/>
  <c r="AF97" i="1"/>
  <c r="AE97" i="1" s="1"/>
  <c r="AD97" i="1"/>
  <c r="AC97" i="1"/>
  <c r="AB97" i="1"/>
  <c r="AA97" i="1"/>
  <c r="Z97" i="1"/>
  <c r="Y97" i="1"/>
  <c r="X97" i="1"/>
  <c r="W97" i="1"/>
  <c r="V97" i="1"/>
  <c r="U97" i="1"/>
  <c r="T97" i="1"/>
  <c r="S97" i="1"/>
  <c r="R97" i="1"/>
  <c r="Q97" i="1"/>
  <c r="P97" i="1"/>
  <c r="O97" i="1"/>
  <c r="N97" i="1"/>
  <c r="K97" i="1"/>
  <c r="J97" i="1"/>
  <c r="I97" i="1"/>
  <c r="H97" i="1"/>
  <c r="J88" i="1"/>
  <c r="AF71" i="1"/>
  <c r="AE71" i="1" s="1"/>
  <c r="AD71" i="1"/>
  <c r="AC71" i="1"/>
  <c r="AA71" i="1"/>
  <c r="Z71" i="1"/>
  <c r="Y71" i="1"/>
  <c r="W71" i="1"/>
  <c r="T71" i="1"/>
  <c r="S71" i="1"/>
  <c r="R71" i="1"/>
  <c r="P71" i="1"/>
  <c r="O71" i="1"/>
  <c r="N71" i="1"/>
  <c r="K71" i="1"/>
  <c r="J71" i="1"/>
  <c r="I71" i="1"/>
  <c r="H71" i="1"/>
  <c r="AF70" i="1"/>
  <c r="AE70" i="1" s="1"/>
  <c r="AD70" i="1"/>
  <c r="AC70" i="1"/>
  <c r="AA70" i="1"/>
  <c r="Z70" i="1"/>
  <c r="Y70" i="1"/>
  <c r="W70" i="1"/>
  <c r="T70" i="1"/>
  <c r="S70" i="1"/>
  <c r="R70" i="1"/>
  <c r="P70" i="1"/>
  <c r="O70" i="1"/>
  <c r="N70" i="1"/>
  <c r="K70" i="1"/>
  <c r="J70" i="1"/>
  <c r="I70" i="1"/>
  <c r="H70" i="1"/>
  <c r="AF62" i="1"/>
  <c r="AE62" i="1" s="1"/>
  <c r="AA62" i="1"/>
  <c r="Z62" i="1"/>
  <c r="Y62" i="1"/>
  <c r="W62" i="1"/>
  <c r="S62" i="1"/>
  <c r="P62" i="1"/>
  <c r="O62" i="1"/>
  <c r="M62" i="1"/>
  <c r="L62" i="1"/>
  <c r="K62" i="1"/>
  <c r="J62" i="1"/>
  <c r="I62" i="1"/>
  <c r="H62" i="1"/>
  <c r="AF61" i="1"/>
  <c r="AE61" i="1" s="1"/>
  <c r="AA61" i="1"/>
  <c r="Z61" i="1"/>
  <c r="Y61" i="1"/>
  <c r="W61" i="1"/>
  <c r="S61" i="1"/>
  <c r="P61" i="1"/>
  <c r="O61" i="1"/>
  <c r="M61" i="1"/>
  <c r="L61" i="1"/>
  <c r="K61" i="1"/>
  <c r="J61" i="1"/>
  <c r="I61" i="1"/>
  <c r="H61" i="1"/>
  <c r="AF53" i="1"/>
  <c r="AE53" i="1" s="1"/>
  <c r="AA53" i="1"/>
  <c r="Z53" i="1"/>
  <c r="Y53" i="1"/>
  <c r="W53" i="1"/>
  <c r="T53" i="1"/>
  <c r="S53" i="1"/>
  <c r="R53" i="1"/>
  <c r="P53" i="1"/>
  <c r="O53" i="1"/>
  <c r="N53" i="1"/>
  <c r="K53" i="1"/>
  <c r="J53" i="1"/>
  <c r="I53" i="1"/>
  <c r="H53" i="1"/>
  <c r="AF52" i="1"/>
  <c r="AE52" i="1" s="1"/>
  <c r="AC52" i="1"/>
  <c r="AA52" i="1"/>
  <c r="Z52" i="1"/>
  <c r="Y52" i="1"/>
  <c r="W52" i="1"/>
  <c r="T52" i="1"/>
  <c r="S52" i="1"/>
  <c r="R52" i="1"/>
  <c r="P52" i="1"/>
  <c r="O52" i="1"/>
  <c r="N52" i="1"/>
  <c r="K52" i="1"/>
  <c r="J52" i="1"/>
  <c r="I52" i="1"/>
  <c r="H52" i="1"/>
  <c r="AF44" i="1"/>
  <c r="AE44" i="1" s="1"/>
  <c r="AD44" i="1"/>
  <c r="AC44" i="1"/>
  <c r="AA44" i="1"/>
  <c r="Z44" i="1"/>
  <c r="Y44" i="1"/>
  <c r="W44" i="1"/>
  <c r="T44" i="1"/>
  <c r="S44" i="1"/>
  <c r="R44" i="1"/>
  <c r="P44" i="1"/>
  <c r="O44" i="1"/>
  <c r="N44" i="1"/>
  <c r="K44" i="1"/>
  <c r="J44" i="1"/>
  <c r="I44" i="1"/>
  <c r="H44" i="1"/>
  <c r="AF43" i="1"/>
  <c r="AE43" i="1" s="1"/>
  <c r="AD43" i="1"/>
  <c r="AC43" i="1"/>
  <c r="AA43" i="1"/>
  <c r="Z43" i="1"/>
  <c r="Y43" i="1"/>
  <c r="W43" i="1"/>
  <c r="T43" i="1"/>
  <c r="S43" i="1"/>
  <c r="R43" i="1"/>
  <c r="P43" i="1"/>
  <c r="O43" i="1"/>
  <c r="N43" i="1"/>
  <c r="K43" i="1"/>
  <c r="J43" i="1"/>
  <c r="I43" i="1"/>
  <c r="H43" i="1"/>
  <c r="AF35" i="1"/>
  <c r="AE35" i="1" s="1"/>
  <c r="AA35" i="1"/>
  <c r="Z35" i="1"/>
  <c r="Y35" i="1"/>
  <c r="W35" i="1"/>
  <c r="S35" i="1"/>
  <c r="P35" i="1"/>
  <c r="O35" i="1"/>
  <c r="M35" i="1"/>
  <c r="L35" i="1"/>
  <c r="K35" i="1"/>
  <c r="J35" i="1"/>
  <c r="I35" i="1"/>
  <c r="H35" i="1"/>
  <c r="AF34" i="1"/>
  <c r="AE34" i="1" s="1"/>
  <c r="AA34" i="1"/>
  <c r="Z34" i="1"/>
  <c r="Y34" i="1"/>
  <c r="W34" i="1"/>
  <c r="S34" i="1"/>
  <c r="P34" i="1"/>
  <c r="O34" i="1"/>
  <c r="M34" i="1"/>
  <c r="L34" i="1"/>
  <c r="K34" i="1"/>
  <c r="J34" i="1"/>
  <c r="I34" i="1"/>
  <c r="H34" i="1"/>
  <c r="AF26" i="1"/>
  <c r="AE26" i="1" s="1"/>
  <c r="AA26" i="1"/>
  <c r="Z26" i="1"/>
  <c r="Y26" i="1"/>
  <c r="W26" i="1"/>
  <c r="T26" i="1"/>
  <c r="S26" i="1"/>
  <c r="R26" i="1"/>
  <c r="P26" i="1"/>
  <c r="O26" i="1"/>
  <c r="N26" i="1"/>
  <c r="K26" i="1"/>
  <c r="J26" i="1"/>
  <c r="I26" i="1"/>
  <c r="H26" i="1"/>
  <c r="AF25" i="1"/>
  <c r="AE25" i="1" s="1"/>
  <c r="AA25" i="1"/>
  <c r="Z25" i="1"/>
  <c r="Y25" i="1"/>
  <c r="W25" i="1"/>
  <c r="T25" i="1"/>
  <c r="S25" i="1"/>
  <c r="R25" i="1"/>
  <c r="P25" i="1"/>
  <c r="O25" i="1"/>
  <c r="N25" i="1"/>
  <c r="K25" i="1"/>
  <c r="J25" i="1"/>
  <c r="I25" i="1"/>
  <c r="H25" i="1"/>
  <c r="M17" i="1"/>
  <c r="L17" i="1"/>
  <c r="M16" i="1"/>
  <c r="L16" i="1"/>
  <c r="AF17" i="1"/>
  <c r="AE17" i="1" s="1"/>
  <c r="AA17" i="1"/>
  <c r="Z17" i="1"/>
  <c r="Y17" i="1"/>
  <c r="W17" i="1"/>
  <c r="S17" i="1"/>
  <c r="P17" i="1"/>
  <c r="O17" i="1"/>
  <c r="K17" i="1"/>
  <c r="J17" i="1"/>
  <c r="I17" i="1"/>
  <c r="H17" i="1"/>
  <c r="AF16" i="1"/>
  <c r="AE16" i="1" s="1"/>
  <c r="AA16" i="1"/>
  <c r="Z16" i="1"/>
  <c r="Y16" i="1"/>
  <c r="W16" i="1"/>
  <c r="S16" i="1"/>
  <c r="P16" i="1"/>
  <c r="O16" i="1"/>
  <c r="K16" i="1"/>
  <c r="J16" i="1"/>
  <c r="I16" i="1"/>
  <c r="H16" i="1"/>
  <c r="AF8" i="1"/>
  <c r="AE8" i="1" s="1"/>
  <c r="AF7" i="1"/>
  <c r="AE7" i="1" s="1"/>
  <c r="AA8" i="1"/>
  <c r="Z8" i="1"/>
  <c r="Y8" i="1"/>
  <c r="W8" i="1"/>
  <c r="T8" i="1"/>
  <c r="S8" i="1"/>
  <c r="R8" i="1"/>
  <c r="P8" i="1"/>
  <c r="O8" i="1"/>
  <c r="N8" i="1"/>
  <c r="K8" i="1"/>
  <c r="J8" i="1"/>
  <c r="I8" i="1"/>
  <c r="H8" i="1"/>
  <c r="AA7" i="1"/>
  <c r="Z7" i="1"/>
  <c r="Y7" i="1"/>
  <c r="W7" i="1"/>
  <c r="T7" i="1"/>
  <c r="S7" i="1"/>
  <c r="R7" i="1"/>
  <c r="P7" i="1"/>
  <c r="O7" i="1"/>
  <c r="N7" i="1"/>
  <c r="K7" i="1"/>
  <c r="J7" i="1"/>
  <c r="I7" i="1"/>
  <c r="H7" i="1"/>
  <c r="AF73" i="1"/>
  <c r="AE73" i="1" s="1"/>
  <c r="AD73" i="1"/>
  <c r="AC73" i="1"/>
  <c r="AA73" i="1"/>
  <c r="Z73" i="1"/>
  <c r="Y73" i="1"/>
  <c r="W73" i="1"/>
  <c r="T73" i="1"/>
  <c r="S73" i="1"/>
  <c r="R73" i="1"/>
  <c r="P73" i="1"/>
  <c r="O73" i="1"/>
  <c r="N73" i="1"/>
  <c r="K73" i="1"/>
  <c r="J73" i="1"/>
  <c r="I73" i="1"/>
  <c r="H73" i="1"/>
  <c r="AF72" i="1"/>
  <c r="AE72" i="1" s="1"/>
  <c r="AD72" i="1"/>
  <c r="AC72" i="1"/>
  <c r="AA72" i="1"/>
  <c r="Z72" i="1"/>
  <c r="Y72" i="1"/>
  <c r="W72" i="1"/>
  <c r="T72" i="1"/>
  <c r="S72" i="1"/>
  <c r="R72" i="1"/>
  <c r="P72" i="1"/>
  <c r="O72" i="1"/>
  <c r="N72" i="1"/>
  <c r="K72" i="1"/>
  <c r="J72" i="1"/>
  <c r="I72" i="1"/>
  <c r="H72" i="1"/>
  <c r="AF64" i="1"/>
  <c r="AE64" i="1" s="1"/>
  <c r="AA64" i="1"/>
  <c r="Z64" i="1"/>
  <c r="Y64" i="1"/>
  <c r="W64" i="1"/>
  <c r="S64" i="1"/>
  <c r="P64" i="1"/>
  <c r="O64" i="1"/>
  <c r="M64" i="1"/>
  <c r="L64" i="1"/>
  <c r="K64" i="1"/>
  <c r="J64" i="1"/>
  <c r="I64" i="1"/>
  <c r="H64" i="1"/>
  <c r="AF63" i="1"/>
  <c r="AE63" i="1" s="1"/>
  <c r="AA63" i="1"/>
  <c r="Z63" i="1"/>
  <c r="Y63" i="1"/>
  <c r="W63" i="1"/>
  <c r="S63" i="1"/>
  <c r="P63" i="1"/>
  <c r="O63" i="1"/>
  <c r="M63" i="1"/>
  <c r="L63" i="1"/>
  <c r="K63" i="1"/>
  <c r="J63" i="1"/>
  <c r="I63" i="1"/>
  <c r="H63" i="1"/>
  <c r="AF55" i="1"/>
  <c r="AE55" i="1" s="1"/>
  <c r="AA55" i="1"/>
  <c r="Z55" i="1"/>
  <c r="Y55" i="1"/>
  <c r="W55" i="1"/>
  <c r="T55" i="1"/>
  <c r="S55" i="1"/>
  <c r="R55" i="1"/>
  <c r="P55" i="1"/>
  <c r="O55" i="1"/>
  <c r="N55" i="1"/>
  <c r="K55" i="1"/>
  <c r="J55" i="1"/>
  <c r="I55" i="1"/>
  <c r="H55" i="1"/>
  <c r="AF54" i="1"/>
  <c r="AE54" i="1" s="1"/>
  <c r="AA54" i="1"/>
  <c r="Z54" i="1"/>
  <c r="Y54" i="1"/>
  <c r="W54" i="1"/>
  <c r="T54" i="1"/>
  <c r="S54" i="1"/>
  <c r="R54" i="1"/>
  <c r="P54" i="1"/>
  <c r="O54" i="1"/>
  <c r="N54" i="1"/>
  <c r="K54" i="1"/>
  <c r="J54" i="1"/>
  <c r="I54" i="1"/>
  <c r="H54" i="1"/>
  <c r="AF46" i="1"/>
  <c r="AE46" i="1" s="1"/>
  <c r="AD46" i="1"/>
  <c r="AC46" i="1"/>
  <c r="AA46" i="1"/>
  <c r="Z46" i="1"/>
  <c r="Y46" i="1"/>
  <c r="W46" i="1"/>
  <c r="T46" i="1"/>
  <c r="S46" i="1"/>
  <c r="R46" i="1"/>
  <c r="P46" i="1"/>
  <c r="O46" i="1"/>
  <c r="N46" i="1"/>
  <c r="K46" i="1"/>
  <c r="J46" i="1"/>
  <c r="I46" i="1"/>
  <c r="H46" i="1"/>
  <c r="AF45" i="1"/>
  <c r="AE45" i="1" s="1"/>
  <c r="AD45" i="1"/>
  <c r="AC45" i="1"/>
  <c r="AA45" i="1"/>
  <c r="Z45" i="1"/>
  <c r="Y45" i="1"/>
  <c r="W45" i="1"/>
  <c r="T45" i="1"/>
  <c r="S45" i="1"/>
  <c r="R45" i="1"/>
  <c r="P45" i="1"/>
  <c r="O45" i="1"/>
  <c r="N45" i="1"/>
  <c r="K45" i="1"/>
  <c r="J45" i="1"/>
  <c r="I45" i="1"/>
  <c r="H45" i="1"/>
  <c r="M37" i="1"/>
  <c r="L37" i="1"/>
  <c r="M36" i="1"/>
  <c r="L36" i="1"/>
  <c r="AF37" i="1"/>
  <c r="AE37" i="1" s="1"/>
  <c r="AA37" i="1"/>
  <c r="Z37" i="1"/>
  <c r="Y37" i="1"/>
  <c r="W37" i="1"/>
  <c r="S37" i="1"/>
  <c r="P37" i="1"/>
  <c r="O37" i="1"/>
  <c r="K37" i="1"/>
  <c r="J37" i="1"/>
  <c r="I37" i="1"/>
  <c r="H37" i="1"/>
  <c r="AF36" i="1"/>
  <c r="AE36" i="1" s="1"/>
  <c r="AA36" i="1"/>
  <c r="Z36" i="1"/>
  <c r="Y36" i="1"/>
  <c r="W36" i="1"/>
  <c r="S36" i="1"/>
  <c r="P36" i="1"/>
  <c r="O36" i="1"/>
  <c r="K36" i="1"/>
  <c r="J36" i="1"/>
  <c r="I36" i="1"/>
  <c r="H36" i="1"/>
  <c r="N28" i="1"/>
  <c r="N27" i="1"/>
  <c r="AF28" i="1"/>
  <c r="AE28" i="1" s="1"/>
  <c r="AA28" i="1"/>
  <c r="Z28" i="1"/>
  <c r="Y28" i="1"/>
  <c r="W28" i="1"/>
  <c r="T28" i="1"/>
  <c r="S28" i="1"/>
  <c r="R28" i="1"/>
  <c r="P28" i="1"/>
  <c r="O28" i="1"/>
  <c r="K28" i="1"/>
  <c r="J28" i="1"/>
  <c r="I28" i="1"/>
  <c r="H28" i="1"/>
  <c r="AF27" i="1"/>
  <c r="AE27" i="1" s="1"/>
  <c r="AA27" i="1"/>
  <c r="Z27" i="1"/>
  <c r="Y27" i="1"/>
  <c r="W27" i="1"/>
  <c r="T27" i="1"/>
  <c r="S27" i="1"/>
  <c r="R27" i="1"/>
  <c r="P27" i="1"/>
  <c r="O27" i="1"/>
  <c r="K27" i="1"/>
  <c r="J27" i="1"/>
  <c r="I27" i="1"/>
  <c r="H27" i="1"/>
  <c r="M19" i="1"/>
  <c r="L19" i="1"/>
  <c r="M18" i="1"/>
  <c r="L18" i="1"/>
  <c r="K18" i="1"/>
  <c r="AF19" i="1"/>
  <c r="AE19" i="1" s="1"/>
  <c r="AA19" i="1"/>
  <c r="Z19" i="1"/>
  <c r="Y19" i="1"/>
  <c r="W19" i="1"/>
  <c r="S19" i="1"/>
  <c r="P19" i="1"/>
  <c r="O19" i="1"/>
  <c r="K19" i="1"/>
  <c r="J19" i="1"/>
  <c r="I19" i="1"/>
  <c r="H19" i="1"/>
  <c r="AF18" i="1"/>
  <c r="AE18" i="1" s="1"/>
  <c r="AA18" i="1"/>
  <c r="Z18" i="1"/>
  <c r="Y18" i="1"/>
  <c r="W18" i="1"/>
  <c r="S18" i="1"/>
  <c r="P18" i="1"/>
  <c r="O18" i="1"/>
  <c r="J18" i="1"/>
  <c r="I18" i="1"/>
  <c r="H18" i="1"/>
  <c r="AF10" i="1"/>
  <c r="AE10" i="1" s="1"/>
  <c r="AA10" i="1"/>
  <c r="Z10" i="1"/>
  <c r="Y10" i="1"/>
  <c r="W10" i="1"/>
  <c r="T10" i="1"/>
  <c r="S10" i="1"/>
  <c r="R10" i="1"/>
  <c r="P10" i="1"/>
  <c r="O10" i="1"/>
  <c r="N10" i="1"/>
  <c r="K10" i="1"/>
  <c r="J10" i="1"/>
  <c r="I10" i="1"/>
  <c r="H10" i="1"/>
  <c r="AF9" i="1"/>
  <c r="AE9" i="1" s="1"/>
  <c r="AA9" i="1"/>
  <c r="Z9" i="1"/>
  <c r="Y9" i="1"/>
  <c r="S9" i="1"/>
  <c r="T9" i="1"/>
  <c r="W9" i="1"/>
  <c r="R9" i="1"/>
  <c r="O9" i="1"/>
  <c r="P9" i="1"/>
  <c r="N9" i="1"/>
  <c r="K9" i="1"/>
  <c r="J9" i="1"/>
  <c r="I9" i="1"/>
  <c r="H9" i="1"/>
  <c r="AF96" i="1"/>
  <c r="AE96" i="1" s="1"/>
  <c r="AF94" i="1"/>
  <c r="AF92" i="1"/>
  <c r="AD96" i="1"/>
  <c r="AD94" i="1"/>
  <c r="AD92" i="1"/>
  <c r="AD100" i="1" s="1"/>
  <c r="AC96" i="1"/>
  <c r="AC94" i="1"/>
  <c r="AC92" i="1"/>
  <c r="AC100" i="1" s="1"/>
  <c r="AA96" i="1"/>
  <c r="AA94" i="1"/>
  <c r="AA92" i="1"/>
  <c r="AA100" i="1" s="1"/>
  <c r="W96" i="1"/>
  <c r="W94" i="1"/>
  <c r="W92" i="1"/>
  <c r="W100" i="1" s="1"/>
  <c r="P92" i="1"/>
  <c r="P100" i="1" s="1"/>
  <c r="P94" i="1"/>
  <c r="P96" i="1"/>
  <c r="O96" i="1"/>
  <c r="O94" i="1"/>
  <c r="O92" i="1"/>
  <c r="O100" i="1" s="1"/>
  <c r="N92" i="1"/>
  <c r="N100" i="1" s="1"/>
  <c r="R92" i="1"/>
  <c r="R100" i="1" s="1"/>
  <c r="S92" i="1"/>
  <c r="S100" i="1" s="1"/>
  <c r="T92" i="1"/>
  <c r="T100" i="1" s="1"/>
  <c r="Y92" i="1"/>
  <c r="Z92" i="1"/>
  <c r="N94" i="1"/>
  <c r="R94" i="1"/>
  <c r="S94" i="1"/>
  <c r="T94" i="1"/>
  <c r="Y94" i="1"/>
  <c r="Z94" i="1"/>
  <c r="N96" i="1"/>
  <c r="R96" i="1"/>
  <c r="S96" i="1"/>
  <c r="T96" i="1"/>
  <c r="Y96" i="1"/>
  <c r="Y100" i="1" s="1"/>
  <c r="Z96" i="1"/>
  <c r="Z100" i="1" s="1"/>
  <c r="I92" i="1"/>
  <c r="J92" i="1"/>
  <c r="J100" i="1" s="1"/>
  <c r="K92" i="1"/>
  <c r="I94" i="1"/>
  <c r="J94" i="1"/>
  <c r="K94" i="1"/>
  <c r="I96" i="1"/>
  <c r="I100" i="1" s="1"/>
  <c r="J96" i="1"/>
  <c r="K96" i="1"/>
  <c r="K100" i="1" s="1"/>
  <c r="H96" i="1"/>
  <c r="H100" i="1" s="1"/>
  <c r="H94" i="1"/>
  <c r="H92" i="1"/>
  <c r="AF87" i="1"/>
  <c r="AE87" i="1" s="1"/>
  <c r="AF85" i="1"/>
  <c r="AE85" i="1" s="1"/>
  <c r="AF83" i="1"/>
  <c r="AE83" i="1" s="1"/>
  <c r="AA87" i="1"/>
  <c r="AA88" i="1" s="1"/>
  <c r="Z87" i="1"/>
  <c r="Z91" i="1" s="1"/>
  <c r="Y87" i="1"/>
  <c r="Y91" i="1" s="1"/>
  <c r="W87" i="1"/>
  <c r="W88" i="1" s="1"/>
  <c r="S87" i="1"/>
  <c r="S88" i="1" s="1"/>
  <c r="P87" i="1"/>
  <c r="P88" i="1" s="1"/>
  <c r="O87" i="1"/>
  <c r="O88" i="1" s="1"/>
  <c r="AA85" i="1"/>
  <c r="Z85" i="1"/>
  <c r="Y85" i="1"/>
  <c r="W85" i="1"/>
  <c r="S85" i="1"/>
  <c r="P85" i="1"/>
  <c r="O85" i="1"/>
  <c r="AA83" i="1"/>
  <c r="AA91" i="1" s="1"/>
  <c r="Z83" i="1"/>
  <c r="Z88" i="1" s="1"/>
  <c r="Y83" i="1"/>
  <c r="Y88" i="1" s="1"/>
  <c r="W83" i="1"/>
  <c r="W91" i="1" s="1"/>
  <c r="S83" i="1"/>
  <c r="S91" i="1" s="1"/>
  <c r="P83" i="1"/>
  <c r="P91" i="1" s="1"/>
  <c r="O83" i="1"/>
  <c r="O91" i="1" s="1"/>
  <c r="L83" i="1"/>
  <c r="L88" i="1" s="1"/>
  <c r="M83" i="1"/>
  <c r="M88" i="1" s="1"/>
  <c r="L85" i="1"/>
  <c r="M85" i="1"/>
  <c r="L87" i="1"/>
  <c r="L91" i="1" s="1"/>
  <c r="M87" i="1"/>
  <c r="M91" i="1" s="1"/>
  <c r="H85" i="1"/>
  <c r="H83" i="1"/>
  <c r="H88" i="1" s="1"/>
  <c r="K87" i="1"/>
  <c r="K91" i="1" s="1"/>
  <c r="J87" i="1"/>
  <c r="I87" i="1"/>
  <c r="I91" i="1" s="1"/>
  <c r="H87" i="1"/>
  <c r="H91" i="1" s="1"/>
  <c r="K85" i="1"/>
  <c r="J85" i="1"/>
  <c r="I85" i="1"/>
  <c r="K83" i="1"/>
  <c r="J83" i="1"/>
  <c r="J91" i="1" s="1"/>
  <c r="I83" i="1"/>
  <c r="I88" i="1" s="1"/>
  <c r="AF78" i="1"/>
  <c r="AE78" i="1" s="1"/>
  <c r="AF76" i="1"/>
  <c r="AF74" i="1"/>
  <c r="AF79" i="1" s="1"/>
  <c r="AE79" i="1" s="1"/>
  <c r="AA74" i="1"/>
  <c r="AA82" i="1" s="1"/>
  <c r="AA78" i="1"/>
  <c r="AA79" i="1" s="1"/>
  <c r="AA76" i="1"/>
  <c r="W78" i="1"/>
  <c r="W79" i="1" s="1"/>
  <c r="W76" i="1"/>
  <c r="W74" i="1"/>
  <c r="W82" i="1" s="1"/>
  <c r="P74" i="1"/>
  <c r="P82" i="1" s="1"/>
  <c r="P76" i="1"/>
  <c r="P78" i="1"/>
  <c r="P79" i="1" s="1"/>
  <c r="O78" i="1"/>
  <c r="O79" i="1" s="1"/>
  <c r="O76" i="1"/>
  <c r="O74" i="1"/>
  <c r="O82" i="1" s="1"/>
  <c r="I74" i="1"/>
  <c r="I79" i="1" s="1"/>
  <c r="J74" i="1"/>
  <c r="J82" i="1" s="1"/>
  <c r="K74" i="1"/>
  <c r="N74" i="1"/>
  <c r="N82" i="1" s="1"/>
  <c r="R74" i="1"/>
  <c r="R82" i="1" s="1"/>
  <c r="S74" i="1"/>
  <c r="S82" i="1" s="1"/>
  <c r="T74" i="1"/>
  <c r="T82" i="1" s="1"/>
  <c r="Y74" i="1"/>
  <c r="Y79" i="1" s="1"/>
  <c r="Z74" i="1"/>
  <c r="Z79" i="1" s="1"/>
  <c r="I76" i="1"/>
  <c r="J76" i="1"/>
  <c r="K76" i="1"/>
  <c r="N76" i="1"/>
  <c r="R76" i="1"/>
  <c r="S76" i="1"/>
  <c r="T76" i="1"/>
  <c r="Y76" i="1"/>
  <c r="Z76" i="1"/>
  <c r="I78" i="1"/>
  <c r="I82" i="1" s="1"/>
  <c r="J78" i="1"/>
  <c r="J79" i="1" s="1"/>
  <c r="K78" i="1"/>
  <c r="K82" i="1" s="1"/>
  <c r="N78" i="1"/>
  <c r="N79" i="1" s="1"/>
  <c r="R78" i="1"/>
  <c r="R79" i="1" s="1"/>
  <c r="S78" i="1"/>
  <c r="S79" i="1" s="1"/>
  <c r="T78" i="1"/>
  <c r="T79" i="1" s="1"/>
  <c r="Y78" i="1"/>
  <c r="Y82" i="1" s="1"/>
  <c r="Z78" i="1"/>
  <c r="Z82" i="1" s="1"/>
  <c r="H78" i="1"/>
  <c r="H82" i="1" s="1"/>
  <c r="H76" i="1"/>
  <c r="H74" i="1"/>
  <c r="H79" i="1" s="1"/>
  <c r="K88" i="1" l="1"/>
  <c r="AF88" i="1"/>
  <c r="AE88" i="1" s="1"/>
  <c r="K79" i="1"/>
  <c r="AF91" i="1"/>
  <c r="AE91" i="1" s="1"/>
  <c r="AF82" i="1"/>
  <c r="AE82" i="1" s="1"/>
  <c r="AF100" i="1"/>
  <c r="AE100" i="1" s="1"/>
  <c r="AA95" i="1"/>
  <c r="O75" i="1"/>
  <c r="O81" i="1" s="1"/>
  <c r="W75" i="1"/>
  <c r="W81" i="1" s="1"/>
  <c r="AD95" i="1"/>
  <c r="AC93" i="1"/>
  <c r="AC99" i="1" s="1"/>
  <c r="I95" i="1"/>
  <c r="I99" i="1" s="1"/>
  <c r="K93" i="1"/>
  <c r="J93" i="1"/>
  <c r="J99" i="1" s="1"/>
  <c r="N77" i="1"/>
  <c r="N80" i="1" s="1"/>
  <c r="I75" i="1"/>
  <c r="I80" i="1" s="1"/>
  <c r="Y95" i="1"/>
  <c r="Y99" i="1" s="1"/>
  <c r="N95" i="1"/>
  <c r="Z86" i="1"/>
  <c r="Z90" i="1" s="1"/>
  <c r="Z95" i="1"/>
  <c r="Z99" i="1" s="1"/>
  <c r="S86" i="1"/>
  <c r="S89" i="1" s="1"/>
  <c r="Y93" i="1"/>
  <c r="N75" i="1"/>
  <c r="N81" i="1" s="1"/>
  <c r="W77" i="1"/>
  <c r="W80" i="1" s="1"/>
  <c r="J86" i="1"/>
  <c r="J89" i="1" s="1"/>
  <c r="AF84" i="1"/>
  <c r="P86" i="1"/>
  <c r="P89" i="1" s="1"/>
  <c r="K86" i="1"/>
  <c r="K77" i="1"/>
  <c r="AF95" i="1"/>
  <c r="K75" i="1"/>
  <c r="Y86" i="1"/>
  <c r="Y90" i="1" s="1"/>
  <c r="J75" i="1"/>
  <c r="J81" i="1" s="1"/>
  <c r="AF86" i="1"/>
  <c r="P95" i="1"/>
  <c r="AD93" i="1"/>
  <c r="AD99" i="1" s="1"/>
  <c r="Y75" i="1"/>
  <c r="Y80" i="1" s="1"/>
  <c r="J77" i="1"/>
  <c r="J80" i="1" s="1"/>
  <c r="T77" i="1"/>
  <c r="T80" i="1" s="1"/>
  <c r="P93" i="1"/>
  <c r="P99" i="1" s="1"/>
  <c r="H93" i="1"/>
  <c r="I77" i="1"/>
  <c r="I81" i="1" s="1"/>
  <c r="AF77" i="1"/>
  <c r="AF81" i="1" s="1"/>
  <c r="AE81" i="1" s="1"/>
  <c r="T95" i="1"/>
  <c r="W95" i="1"/>
  <c r="AF93" i="1"/>
  <c r="AE93" i="1" s="1"/>
  <c r="H75" i="1"/>
  <c r="H80" i="1" s="1"/>
  <c r="T75" i="1"/>
  <c r="T81" i="1" s="1"/>
  <c r="Y77" i="1"/>
  <c r="Y81" i="1" s="1"/>
  <c r="P77" i="1"/>
  <c r="P80" i="1" s="1"/>
  <c r="M86" i="1"/>
  <c r="M90" i="1" s="1"/>
  <c r="J95" i="1"/>
  <c r="R95" i="1"/>
  <c r="AA93" i="1"/>
  <c r="AA99" i="1" s="1"/>
  <c r="O93" i="1"/>
  <c r="O99" i="1" s="1"/>
  <c r="AF75" i="1"/>
  <c r="W84" i="1"/>
  <c r="W90" i="1" s="1"/>
  <c r="T93" i="1"/>
  <c r="T99" i="1" s="1"/>
  <c r="O95" i="1"/>
  <c r="Y84" i="1"/>
  <c r="Y89" i="1" s="1"/>
  <c r="S93" i="1"/>
  <c r="S99" i="1" s="1"/>
  <c r="H77" i="1"/>
  <c r="H81" i="1" s="1"/>
  <c r="Z84" i="1"/>
  <c r="Z89" i="1" s="1"/>
  <c r="R93" i="1"/>
  <c r="R99" i="1" s="1"/>
  <c r="AE94" i="1"/>
  <c r="AA75" i="1"/>
  <c r="AA81" i="1" s="1"/>
  <c r="Z77" i="1"/>
  <c r="Z81" i="1" s="1"/>
  <c r="AA84" i="1"/>
  <c r="AA90" i="1" s="1"/>
  <c r="N93" i="1"/>
  <c r="N99" i="1" s="1"/>
  <c r="O86" i="1"/>
  <c r="O89" i="1" s="1"/>
  <c r="AE92" i="1"/>
  <c r="P75" i="1"/>
  <c r="P81" i="1" s="1"/>
  <c r="K95" i="1"/>
  <c r="K99" i="1" s="1"/>
  <c r="S95" i="1"/>
  <c r="W93" i="1"/>
  <c r="W99" i="1" s="1"/>
  <c r="AC95" i="1"/>
  <c r="H84" i="1"/>
  <c r="H89" i="1" s="1"/>
  <c r="O84" i="1"/>
  <c r="O90" i="1" s="1"/>
  <c r="W86" i="1"/>
  <c r="W89" i="1" s="1"/>
  <c r="O77" i="1"/>
  <c r="O80" i="1" s="1"/>
  <c r="I84" i="1"/>
  <c r="I89" i="1" s="1"/>
  <c r="P84" i="1"/>
  <c r="P90" i="1" s="1"/>
  <c r="I93" i="1"/>
  <c r="AE74" i="1"/>
  <c r="AA77" i="1"/>
  <c r="AA80" i="1" s="1"/>
  <c r="J84" i="1"/>
  <c r="J90" i="1" s="1"/>
  <c r="L86" i="1"/>
  <c r="L90" i="1" s="1"/>
  <c r="AE76" i="1"/>
  <c r="S77" i="1"/>
  <c r="S80" i="1" s="1"/>
  <c r="S75" i="1"/>
  <c r="S81" i="1" s="1"/>
  <c r="K84" i="1"/>
  <c r="M84" i="1"/>
  <c r="M89" i="1" s="1"/>
  <c r="Z75" i="1"/>
  <c r="Z80" i="1" s="1"/>
  <c r="R77" i="1"/>
  <c r="R80" i="1" s="1"/>
  <c r="R75" i="1"/>
  <c r="R81" i="1" s="1"/>
  <c r="I86" i="1"/>
  <c r="I90" i="1" s="1"/>
  <c r="L84" i="1"/>
  <c r="L89" i="1" s="1"/>
  <c r="S84" i="1"/>
  <c r="S90" i="1" s="1"/>
  <c r="AA86" i="1"/>
  <c r="AA89" i="1" s="1"/>
  <c r="Z93" i="1"/>
  <c r="H95" i="1"/>
  <c r="H99" i="1" s="1"/>
  <c r="H86" i="1"/>
  <c r="H90" i="1" s="1"/>
  <c r="K90" i="1" l="1"/>
  <c r="K89" i="1"/>
  <c r="AE84" i="1"/>
  <c r="AF89" i="1"/>
  <c r="AE89" i="1" s="1"/>
  <c r="AE75" i="1"/>
  <c r="AF80" i="1"/>
  <c r="AE80" i="1" s="1"/>
  <c r="K81" i="1"/>
  <c r="K80" i="1"/>
  <c r="AE86" i="1"/>
  <c r="AF90" i="1"/>
  <c r="AE90" i="1" s="1"/>
  <c r="AE95" i="1"/>
  <c r="AF99" i="1"/>
  <c r="AE99" i="1" s="1"/>
  <c r="AE77" i="1"/>
  <c r="AE3" i="1" l="1"/>
  <c r="AE4" i="1"/>
  <c r="AE5" i="1"/>
  <c r="AE6" i="1"/>
  <c r="AE11" i="1"/>
  <c r="AE12" i="1"/>
  <c r="AE13" i="1"/>
  <c r="AE14" i="1"/>
  <c r="AE15" i="1"/>
  <c r="AE20" i="1"/>
  <c r="AE21" i="1"/>
  <c r="AE22" i="1"/>
  <c r="AE23" i="1"/>
  <c r="AE24" i="1"/>
  <c r="AE29" i="1"/>
  <c r="AE30" i="1"/>
  <c r="AE31" i="1"/>
  <c r="AE32" i="1"/>
  <c r="AE33" i="1"/>
  <c r="AE38" i="1"/>
  <c r="AE39" i="1"/>
  <c r="AE40" i="1"/>
  <c r="AE41" i="1"/>
  <c r="AE42" i="1"/>
  <c r="AE47" i="1"/>
  <c r="AE48" i="1"/>
  <c r="AE49" i="1"/>
  <c r="AE50" i="1"/>
  <c r="AE51" i="1"/>
  <c r="AE56" i="1"/>
  <c r="AE57" i="1"/>
  <c r="AE58" i="1"/>
  <c r="AE59" i="1"/>
  <c r="AE60" i="1"/>
  <c r="AE65" i="1"/>
  <c r="AE66" i="1"/>
  <c r="AE67" i="1"/>
  <c r="AE68" i="1"/>
  <c r="AE69" i="1"/>
  <c r="AE2" i="1"/>
  <c r="AB2" i="1"/>
  <c r="AB10" i="1" s="1"/>
  <c r="R60" i="1"/>
  <c r="R61" i="1" s="1"/>
  <c r="R59" i="1"/>
  <c r="R62" i="1" s="1"/>
  <c r="R58" i="1"/>
  <c r="R57" i="1"/>
  <c r="R63" i="1" s="1"/>
  <c r="R56" i="1"/>
  <c r="R64" i="1" s="1"/>
  <c r="Q42" i="1"/>
  <c r="Q43" i="1" s="1"/>
  <c r="R33" i="1"/>
  <c r="R34" i="1" s="1"/>
  <c r="R32" i="1"/>
  <c r="R35" i="1" s="1"/>
  <c r="R31" i="1"/>
  <c r="R30" i="1"/>
  <c r="R36" i="1" s="1"/>
  <c r="R29" i="1"/>
  <c r="R37" i="1" s="1"/>
  <c r="R12" i="1"/>
  <c r="R13" i="1"/>
  <c r="V13" i="1" s="1"/>
  <c r="R14" i="1"/>
  <c r="R15" i="1"/>
  <c r="R16" i="1" s="1"/>
  <c r="R11" i="1"/>
  <c r="R19" i="1" s="1"/>
  <c r="T11" i="1"/>
  <c r="T19" i="1" s="1"/>
  <c r="Q11" i="1"/>
  <c r="Q19" i="1" s="1"/>
  <c r="Q12" i="1"/>
  <c r="Q13" i="1"/>
  <c r="Q14" i="1"/>
  <c r="Q15" i="1"/>
  <c r="Q16" i="1" s="1"/>
  <c r="Q20" i="1"/>
  <c r="Q21" i="1"/>
  <c r="Q22" i="1"/>
  <c r="U22" i="1" s="1"/>
  <c r="Q23" i="1"/>
  <c r="Q24" i="1"/>
  <c r="Q29" i="1"/>
  <c r="Q30" i="1"/>
  <c r="Q31" i="1"/>
  <c r="U31" i="1" s="1"/>
  <c r="Q32" i="1"/>
  <c r="Q33" i="1"/>
  <c r="Q38" i="1"/>
  <c r="Q46" i="1" s="1"/>
  <c r="Q39" i="1"/>
  <c r="Q40" i="1"/>
  <c r="Q41" i="1"/>
  <c r="Q47" i="1"/>
  <c r="Q48" i="1"/>
  <c r="Q49" i="1"/>
  <c r="U49" i="1" s="1"/>
  <c r="Q50" i="1"/>
  <c r="Q51" i="1"/>
  <c r="Q56" i="1"/>
  <c r="Q57" i="1"/>
  <c r="Q58" i="1"/>
  <c r="U58" i="1" s="1"/>
  <c r="Q59" i="1"/>
  <c r="Q60" i="1"/>
  <c r="Q65" i="1"/>
  <c r="Q66" i="1"/>
  <c r="Q67" i="1"/>
  <c r="U67" i="1" s="1"/>
  <c r="Q68" i="1"/>
  <c r="Q69" i="1"/>
  <c r="V20" i="1"/>
  <c r="V28" i="1" s="1"/>
  <c r="V21" i="1"/>
  <c r="V27" i="1" s="1"/>
  <c r="V22" i="1"/>
  <c r="V23" i="1"/>
  <c r="V26" i="1" s="1"/>
  <c r="V24" i="1"/>
  <c r="V25" i="1" s="1"/>
  <c r="V42" i="1"/>
  <c r="V43" i="1" s="1"/>
  <c r="V47" i="1"/>
  <c r="V55" i="1" s="1"/>
  <c r="V48" i="1"/>
  <c r="V54" i="1" s="1"/>
  <c r="V49" i="1"/>
  <c r="V50" i="1"/>
  <c r="V53" i="1" s="1"/>
  <c r="V51" i="1"/>
  <c r="V52" i="1" s="1"/>
  <c r="Q2" i="1"/>
  <c r="Q10" i="1" s="1"/>
  <c r="Q3" i="1"/>
  <c r="V3" i="1"/>
  <c r="V9" i="1" s="1"/>
  <c r="V4" i="1"/>
  <c r="V5" i="1"/>
  <c r="V8" i="1" s="1"/>
  <c r="V6" i="1"/>
  <c r="V7" i="1" s="1"/>
  <c r="V2" i="1"/>
  <c r="V10" i="1" s="1"/>
  <c r="U69" i="1" l="1"/>
  <c r="U70" i="1" s="1"/>
  <c r="Q70" i="1"/>
  <c r="U68" i="1"/>
  <c r="U71" i="1" s="1"/>
  <c r="Q71" i="1"/>
  <c r="U60" i="1"/>
  <c r="U61" i="1" s="1"/>
  <c r="Q61" i="1"/>
  <c r="U59" i="1"/>
  <c r="U62" i="1" s="1"/>
  <c r="Q62" i="1"/>
  <c r="U51" i="1"/>
  <c r="U52" i="1" s="1"/>
  <c r="Q52" i="1"/>
  <c r="U50" i="1"/>
  <c r="U53" i="1" s="1"/>
  <c r="Q53" i="1"/>
  <c r="U41" i="1"/>
  <c r="U44" i="1" s="1"/>
  <c r="Q44" i="1"/>
  <c r="U32" i="1"/>
  <c r="U35" i="1" s="1"/>
  <c r="Q35" i="1"/>
  <c r="U33" i="1"/>
  <c r="U34" i="1" s="1"/>
  <c r="Q34" i="1"/>
  <c r="U24" i="1"/>
  <c r="U25" i="1" s="1"/>
  <c r="Q25" i="1"/>
  <c r="U23" i="1"/>
  <c r="U26" i="1" s="1"/>
  <c r="Q26" i="1"/>
  <c r="V14" i="1"/>
  <c r="V17" i="1" s="1"/>
  <c r="R17" i="1"/>
  <c r="U14" i="1"/>
  <c r="U17" i="1" s="1"/>
  <c r="Q17" i="1"/>
  <c r="U30" i="1"/>
  <c r="U36" i="1" s="1"/>
  <c r="Q36" i="1"/>
  <c r="U21" i="1"/>
  <c r="U27" i="1" s="1"/>
  <c r="Q27" i="1"/>
  <c r="U65" i="1"/>
  <c r="U73" i="1" s="1"/>
  <c r="Q73" i="1"/>
  <c r="U20" i="1"/>
  <c r="U28" i="1" s="1"/>
  <c r="Q28" i="1"/>
  <c r="U47" i="1"/>
  <c r="U55" i="1" s="1"/>
  <c r="Q55" i="1"/>
  <c r="U66" i="1"/>
  <c r="U72" i="1" s="1"/>
  <c r="Q72" i="1"/>
  <c r="U39" i="1"/>
  <c r="U45" i="1" s="1"/>
  <c r="Q45" i="1"/>
  <c r="U29" i="1"/>
  <c r="U37" i="1" s="1"/>
  <c r="Q37" i="1"/>
  <c r="U48" i="1"/>
  <c r="U54" i="1" s="1"/>
  <c r="Q54" i="1"/>
  <c r="V12" i="1"/>
  <c r="V18" i="1" s="1"/>
  <c r="R18" i="1"/>
  <c r="U56" i="1"/>
  <c r="U64" i="1" s="1"/>
  <c r="Q64" i="1"/>
  <c r="U57" i="1"/>
  <c r="U63" i="1" s="1"/>
  <c r="Q63" i="1"/>
  <c r="U12" i="1"/>
  <c r="U18" i="1" s="1"/>
  <c r="Q18" i="1"/>
  <c r="U3" i="1"/>
  <c r="U9" i="1" s="1"/>
  <c r="Q9" i="1"/>
  <c r="Q92" i="1"/>
  <c r="Q100" i="1" s="1"/>
  <c r="V76" i="1"/>
  <c r="U2" i="1"/>
  <c r="Q74" i="1"/>
  <c r="Q82" i="1" s="1"/>
  <c r="V11" i="1"/>
  <c r="V19" i="1" s="1"/>
  <c r="R83" i="1"/>
  <c r="R91" i="1" s="1"/>
  <c r="V15" i="1"/>
  <c r="V16" i="1" s="1"/>
  <c r="R87" i="1"/>
  <c r="R88" i="1" s="1"/>
  <c r="R85" i="1"/>
  <c r="U11" i="1"/>
  <c r="Q83" i="1"/>
  <c r="Q91" i="1" s="1"/>
  <c r="U42" i="1"/>
  <c r="Q96" i="1"/>
  <c r="V78" i="1"/>
  <c r="V79" i="1" s="1"/>
  <c r="U38" i="1"/>
  <c r="U13" i="1"/>
  <c r="U85" i="1" s="1"/>
  <c r="Q85" i="1"/>
  <c r="U40" i="1"/>
  <c r="U94" i="1" s="1"/>
  <c r="Q94" i="1"/>
  <c r="V74" i="1"/>
  <c r="V82" i="1" s="1"/>
  <c r="U15" i="1"/>
  <c r="Q87" i="1"/>
  <c r="Q88" i="1" s="1"/>
  <c r="X56" i="1"/>
  <c r="X64" i="1" s="1"/>
  <c r="X57" i="1"/>
  <c r="X63" i="1" s="1"/>
  <c r="X58" i="1"/>
  <c r="X59" i="1"/>
  <c r="X62" i="1" s="1"/>
  <c r="X60" i="1"/>
  <c r="X61" i="1" s="1"/>
  <c r="X65" i="1"/>
  <c r="X73" i="1" s="1"/>
  <c r="X66" i="1"/>
  <c r="X72" i="1" s="1"/>
  <c r="X67" i="1"/>
  <c r="X68" i="1"/>
  <c r="X71" i="1" s="1"/>
  <c r="X69" i="1"/>
  <c r="X70" i="1" s="1"/>
  <c r="X3" i="1"/>
  <c r="X9" i="1" s="1"/>
  <c r="X4" i="1"/>
  <c r="X5" i="1"/>
  <c r="X8" i="1" s="1"/>
  <c r="X6" i="1"/>
  <c r="X7" i="1" s="1"/>
  <c r="X11" i="1"/>
  <c r="X19" i="1" s="1"/>
  <c r="X12" i="1"/>
  <c r="X18" i="1" s="1"/>
  <c r="X13" i="1"/>
  <c r="X14" i="1"/>
  <c r="X17" i="1" s="1"/>
  <c r="X15" i="1"/>
  <c r="X16" i="1" s="1"/>
  <c r="X20" i="1"/>
  <c r="X28" i="1" s="1"/>
  <c r="X21" i="1"/>
  <c r="X27" i="1" s="1"/>
  <c r="X22" i="1"/>
  <c r="X23" i="1"/>
  <c r="X26" i="1" s="1"/>
  <c r="X24" i="1"/>
  <c r="X25" i="1" s="1"/>
  <c r="X29" i="1"/>
  <c r="X37" i="1" s="1"/>
  <c r="X30" i="1"/>
  <c r="X36" i="1" s="1"/>
  <c r="X31" i="1"/>
  <c r="X32" i="1"/>
  <c r="X35" i="1" s="1"/>
  <c r="X33" i="1"/>
  <c r="X34" i="1" s="1"/>
  <c r="X38" i="1"/>
  <c r="X39" i="1"/>
  <c r="X45" i="1" s="1"/>
  <c r="X40" i="1"/>
  <c r="X94" i="1" s="1"/>
  <c r="X41" i="1"/>
  <c r="X44" i="1" s="1"/>
  <c r="X42" i="1"/>
  <c r="X47" i="1"/>
  <c r="X55" i="1" s="1"/>
  <c r="X48" i="1"/>
  <c r="X54" i="1" s="1"/>
  <c r="X49" i="1"/>
  <c r="X50" i="1"/>
  <c r="X53" i="1" s="1"/>
  <c r="X51" i="1"/>
  <c r="X52" i="1" s="1"/>
  <c r="X2" i="1"/>
  <c r="X10" i="1" s="1"/>
  <c r="AC24" i="1"/>
  <c r="AC6" i="1"/>
  <c r="AC7" i="1" s="1"/>
  <c r="AB69" i="1"/>
  <c r="AB70" i="1" s="1"/>
  <c r="AB68" i="1"/>
  <c r="AB71" i="1" s="1"/>
  <c r="AB67" i="1"/>
  <c r="AB66" i="1"/>
  <c r="AB72" i="1" s="1"/>
  <c r="AB65" i="1"/>
  <c r="AB73" i="1" s="1"/>
  <c r="V69" i="1"/>
  <c r="V68" i="1"/>
  <c r="V71" i="1" s="1"/>
  <c r="V67" i="1"/>
  <c r="V66" i="1"/>
  <c r="V72" i="1" s="1"/>
  <c r="V65" i="1"/>
  <c r="V73" i="1" s="1"/>
  <c r="AC60" i="1"/>
  <c r="AC61" i="1" s="1"/>
  <c r="T60" i="1"/>
  <c r="T59" i="1"/>
  <c r="T58" i="1"/>
  <c r="V58" i="1" s="1"/>
  <c r="T57" i="1"/>
  <c r="T56" i="1"/>
  <c r="N60" i="1"/>
  <c r="N61" i="1" s="1"/>
  <c r="N59" i="1"/>
  <c r="N62" i="1" s="1"/>
  <c r="N58" i="1"/>
  <c r="N57" i="1"/>
  <c r="N63" i="1" s="1"/>
  <c r="N56" i="1"/>
  <c r="N64" i="1" s="1"/>
  <c r="N33" i="1"/>
  <c r="N34" i="1" s="1"/>
  <c r="N32" i="1"/>
  <c r="N35" i="1" s="1"/>
  <c r="N31" i="1"/>
  <c r="N30" i="1"/>
  <c r="N36" i="1" s="1"/>
  <c r="N29" i="1"/>
  <c r="N37" i="1" s="1"/>
  <c r="N15" i="1"/>
  <c r="N16" i="1" s="1"/>
  <c r="N14" i="1"/>
  <c r="N17" i="1" s="1"/>
  <c r="N13" i="1"/>
  <c r="N12" i="1"/>
  <c r="N18" i="1" s="1"/>
  <c r="N11" i="1"/>
  <c r="N19" i="1" s="1"/>
  <c r="AC47" i="1"/>
  <c r="AC50" i="1"/>
  <c r="AC49" i="1"/>
  <c r="AC58" i="1" s="1"/>
  <c r="AC48" i="1"/>
  <c r="AD50" i="1"/>
  <c r="AD51" i="1"/>
  <c r="AD49" i="1"/>
  <c r="AD58" i="1" s="1"/>
  <c r="AD48" i="1"/>
  <c r="AD47" i="1"/>
  <c r="AB51" i="1"/>
  <c r="AB52" i="1" s="1"/>
  <c r="AB50" i="1"/>
  <c r="AB53" i="1" s="1"/>
  <c r="AB49" i="1"/>
  <c r="AB48" i="1"/>
  <c r="AB54" i="1" s="1"/>
  <c r="AB47" i="1"/>
  <c r="AB55" i="1" s="1"/>
  <c r="AB42" i="1"/>
  <c r="AB43" i="1" s="1"/>
  <c r="AB41" i="1"/>
  <c r="AB44" i="1" s="1"/>
  <c r="AB40" i="1"/>
  <c r="AB39" i="1"/>
  <c r="AB45" i="1" s="1"/>
  <c r="AB38" i="1"/>
  <c r="AB46" i="1" s="1"/>
  <c r="V41" i="1"/>
  <c r="V44" i="1" s="1"/>
  <c r="V40" i="1"/>
  <c r="V39" i="1"/>
  <c r="V45" i="1" s="1"/>
  <c r="V38" i="1"/>
  <c r="V46" i="1" s="1"/>
  <c r="T33" i="1"/>
  <c r="T32" i="1"/>
  <c r="T31" i="1"/>
  <c r="AB31" i="1" s="1"/>
  <c r="T30" i="1"/>
  <c r="T29" i="1"/>
  <c r="V32" i="1"/>
  <c r="V35" i="1" s="1"/>
  <c r="V31" i="1"/>
  <c r="V30" i="1"/>
  <c r="V36" i="1" s="1"/>
  <c r="V29" i="1"/>
  <c r="V37" i="1" s="1"/>
  <c r="AD24" i="1"/>
  <c r="AD6" i="1"/>
  <c r="AD7" i="1" s="1"/>
  <c r="AD20" i="1"/>
  <c r="AD23" i="1"/>
  <c r="AD21" i="1"/>
  <c r="AD22" i="1"/>
  <c r="AD31" i="1" s="1"/>
  <c r="AC20" i="1"/>
  <c r="AC23" i="1"/>
  <c r="AC21" i="1"/>
  <c r="AC22" i="1"/>
  <c r="AC31" i="1" s="1"/>
  <c r="AD5" i="1"/>
  <c r="AD4" i="1"/>
  <c r="AD3" i="1"/>
  <c r="AD2" i="1"/>
  <c r="AD10" i="1" s="1"/>
  <c r="AC5" i="1"/>
  <c r="AC4" i="1"/>
  <c r="AC3" i="1"/>
  <c r="AC2" i="1"/>
  <c r="AC10" i="1" s="1"/>
  <c r="AB20" i="1"/>
  <c r="AB28" i="1" s="1"/>
  <c r="AB21" i="1"/>
  <c r="AB27" i="1" s="1"/>
  <c r="AB22" i="1"/>
  <c r="AB23" i="1"/>
  <c r="AB26" i="1" s="1"/>
  <c r="AB24" i="1"/>
  <c r="AB25" i="1" s="1"/>
  <c r="T12" i="1"/>
  <c r="T18" i="1" s="1"/>
  <c r="T13" i="1"/>
  <c r="T14" i="1"/>
  <c r="T15" i="1"/>
  <c r="T16" i="1" s="1"/>
  <c r="Q4" i="1"/>
  <c r="Q5" i="1"/>
  <c r="Q6" i="1"/>
  <c r="Q7" i="1" s="1"/>
  <c r="V96" i="1" l="1"/>
  <c r="V70" i="1"/>
  <c r="V59" i="1"/>
  <c r="V62" i="1" s="1"/>
  <c r="T62" i="1"/>
  <c r="V60" i="1"/>
  <c r="V61" i="1" s="1"/>
  <c r="T61" i="1"/>
  <c r="AC59" i="1"/>
  <c r="AC62" i="1" s="1"/>
  <c r="AC53" i="1"/>
  <c r="AD60" i="1"/>
  <c r="AD61" i="1" s="1"/>
  <c r="AD52" i="1"/>
  <c r="AD59" i="1"/>
  <c r="AD62" i="1" s="1"/>
  <c r="AD53" i="1"/>
  <c r="U96" i="1"/>
  <c r="U95" i="1" s="1"/>
  <c r="U43" i="1"/>
  <c r="X96" i="1"/>
  <c r="X95" i="1" s="1"/>
  <c r="X43" i="1"/>
  <c r="AB32" i="1"/>
  <c r="AB35" i="1" s="1"/>
  <c r="T35" i="1"/>
  <c r="AB33" i="1"/>
  <c r="AB34" i="1" s="1"/>
  <c r="T34" i="1"/>
  <c r="AC32" i="1"/>
  <c r="AC35" i="1" s="1"/>
  <c r="AC26" i="1"/>
  <c r="AC33" i="1"/>
  <c r="AC34" i="1" s="1"/>
  <c r="AC25" i="1"/>
  <c r="AD32" i="1"/>
  <c r="AD35" i="1" s="1"/>
  <c r="AD26" i="1"/>
  <c r="AD33" i="1"/>
  <c r="AD34" i="1" s="1"/>
  <c r="AD25" i="1"/>
  <c r="AB14" i="1"/>
  <c r="AB17" i="1" s="1"/>
  <c r="T17" i="1"/>
  <c r="U87" i="1"/>
  <c r="U16" i="1"/>
  <c r="AD14" i="1"/>
  <c r="AD17" i="1" s="1"/>
  <c r="AD8" i="1"/>
  <c r="U5" i="1"/>
  <c r="U8" i="1" s="1"/>
  <c r="Q8" i="1"/>
  <c r="AC14" i="1"/>
  <c r="AC17" i="1" s="1"/>
  <c r="AC8" i="1"/>
  <c r="AC78" i="1"/>
  <c r="AC79" i="1" s="1"/>
  <c r="AD57" i="1"/>
  <c r="AD63" i="1" s="1"/>
  <c r="AD54" i="1"/>
  <c r="AC30" i="1"/>
  <c r="AC36" i="1" s="1"/>
  <c r="AC27" i="1"/>
  <c r="AC57" i="1"/>
  <c r="AC63" i="1" s="1"/>
  <c r="AC54" i="1"/>
  <c r="X92" i="1"/>
  <c r="X46" i="1"/>
  <c r="AB29" i="1"/>
  <c r="AB37" i="1" s="1"/>
  <c r="T37" i="1"/>
  <c r="AD30" i="1"/>
  <c r="AD36" i="1" s="1"/>
  <c r="AD27" i="1"/>
  <c r="AC56" i="1"/>
  <c r="AC64" i="1" s="1"/>
  <c r="AC55" i="1"/>
  <c r="AD56" i="1"/>
  <c r="AD64" i="1" s="1"/>
  <c r="AD55" i="1"/>
  <c r="AC29" i="1"/>
  <c r="AC37" i="1" s="1"/>
  <c r="AC28" i="1"/>
  <c r="AD29" i="1"/>
  <c r="AD37" i="1" s="1"/>
  <c r="AD28" i="1"/>
  <c r="U83" i="1"/>
  <c r="U91" i="1" s="1"/>
  <c r="U19" i="1"/>
  <c r="V56" i="1"/>
  <c r="V64" i="1" s="1"/>
  <c r="T64" i="1"/>
  <c r="V57" i="1"/>
  <c r="V63" i="1" s="1"/>
  <c r="T63" i="1"/>
  <c r="U92" i="1"/>
  <c r="U100" i="1" s="1"/>
  <c r="U46" i="1"/>
  <c r="AB30" i="1"/>
  <c r="AB36" i="1" s="1"/>
  <c r="T36" i="1"/>
  <c r="AD12" i="1"/>
  <c r="AD18" i="1" s="1"/>
  <c r="AD9" i="1"/>
  <c r="Q93" i="1"/>
  <c r="Q99" i="1" s="1"/>
  <c r="AC12" i="1"/>
  <c r="AC18" i="1" s="1"/>
  <c r="AC9" i="1"/>
  <c r="U74" i="1"/>
  <c r="U82" i="1" s="1"/>
  <c r="U10" i="1"/>
  <c r="R86" i="1"/>
  <c r="R89" i="1" s="1"/>
  <c r="X85" i="1"/>
  <c r="AB74" i="1"/>
  <c r="AB82" i="1" s="1"/>
  <c r="AD76" i="1"/>
  <c r="V77" i="1"/>
  <c r="V80" i="1" s="1"/>
  <c r="AC76" i="1"/>
  <c r="Q84" i="1"/>
  <c r="Q90" i="1" s="1"/>
  <c r="AD78" i="1"/>
  <c r="AD79" i="1" s="1"/>
  <c r="V75" i="1"/>
  <c r="V81" i="1" s="1"/>
  <c r="V85" i="1"/>
  <c r="X87" i="1"/>
  <c r="X88" i="1" s="1"/>
  <c r="AD74" i="1"/>
  <c r="AD82" i="1" s="1"/>
  <c r="Q86" i="1"/>
  <c r="Q89" i="1" s="1"/>
  <c r="AB94" i="1"/>
  <c r="X74" i="1"/>
  <c r="X82" i="1" s="1"/>
  <c r="AC74" i="1"/>
  <c r="AC82" i="1" s="1"/>
  <c r="X83" i="1"/>
  <c r="X91" i="1" s="1"/>
  <c r="X78" i="1"/>
  <c r="X79" i="1" s="1"/>
  <c r="U6" i="1"/>
  <c r="Q78" i="1"/>
  <c r="Q79" i="1" s="1"/>
  <c r="N83" i="1"/>
  <c r="N91" i="1" s="1"/>
  <c r="V92" i="1"/>
  <c r="V100" i="1" s="1"/>
  <c r="X76" i="1"/>
  <c r="R84" i="1"/>
  <c r="R90" i="1" s="1"/>
  <c r="AD11" i="1"/>
  <c r="AD15" i="1"/>
  <c r="T85" i="1"/>
  <c r="V94" i="1"/>
  <c r="AC15" i="1"/>
  <c r="AB96" i="1"/>
  <c r="AC13" i="1"/>
  <c r="AC85" i="1" s="1"/>
  <c r="AD13" i="1"/>
  <c r="AD85" i="1" s="1"/>
  <c r="N87" i="1"/>
  <c r="N88" i="1" s="1"/>
  <c r="T83" i="1"/>
  <c r="T91" i="1" s="1"/>
  <c r="AC11" i="1"/>
  <c r="U4" i="1"/>
  <c r="U76" i="1" s="1"/>
  <c r="Q76" i="1"/>
  <c r="AB15" i="1"/>
  <c r="AB16" i="1" s="1"/>
  <c r="T87" i="1"/>
  <c r="T88" i="1" s="1"/>
  <c r="N85" i="1"/>
  <c r="AB92" i="1"/>
  <c r="AB100" i="1" s="1"/>
  <c r="Q95" i="1"/>
  <c r="AB57" i="1"/>
  <c r="AB63" i="1" s="1"/>
  <c r="AB58" i="1"/>
  <c r="AB59" i="1"/>
  <c r="AB62" i="1" s="1"/>
  <c r="AB56" i="1"/>
  <c r="AB64" i="1" s="1"/>
  <c r="AB60" i="1"/>
  <c r="AB61" i="1" s="1"/>
  <c r="V33" i="1"/>
  <c r="AB11" i="1"/>
  <c r="AB19" i="1" s="1"/>
  <c r="AB12" i="1"/>
  <c r="AB18" i="1" s="1"/>
  <c r="AB13" i="1"/>
  <c r="AB3" i="1"/>
  <c r="AB9" i="1" s="1"/>
  <c r="AB4" i="1"/>
  <c r="AB76" i="1" s="1"/>
  <c r="AB5" i="1"/>
  <c r="AB8" i="1" s="1"/>
  <c r="AB6" i="1"/>
  <c r="U86" i="1" l="1"/>
  <c r="U89" i="1" s="1"/>
  <c r="U88" i="1"/>
  <c r="X86" i="1"/>
  <c r="X89" i="1" s="1"/>
  <c r="U84" i="1"/>
  <c r="U90" i="1" s="1"/>
  <c r="V87" i="1"/>
  <c r="V34" i="1"/>
  <c r="AC87" i="1"/>
  <c r="AC16" i="1"/>
  <c r="AD87" i="1"/>
  <c r="AD88" i="1" s="1"/>
  <c r="AD16" i="1"/>
  <c r="AB78" i="1"/>
  <c r="AB7" i="1"/>
  <c r="U78" i="1"/>
  <c r="U7" i="1"/>
  <c r="AC77" i="1"/>
  <c r="AC80" i="1" s="1"/>
  <c r="U93" i="1"/>
  <c r="U99" i="1" s="1"/>
  <c r="X93" i="1"/>
  <c r="X99" i="1" s="1"/>
  <c r="X100" i="1"/>
  <c r="V83" i="1"/>
  <c r="V91" i="1" s="1"/>
  <c r="AC83" i="1"/>
  <c r="AC91" i="1" s="1"/>
  <c r="AC19" i="1"/>
  <c r="AD83" i="1"/>
  <c r="AD91" i="1" s="1"/>
  <c r="AD19" i="1"/>
  <c r="X84" i="1"/>
  <c r="X90" i="1" s="1"/>
  <c r="AB75" i="1"/>
  <c r="AB81" i="1" s="1"/>
  <c r="AB83" i="1"/>
  <c r="AB91" i="1" s="1"/>
  <c r="AD75" i="1"/>
  <c r="AD81" i="1" s="1"/>
  <c r="AC75" i="1"/>
  <c r="AC81" i="1" s="1"/>
  <c r="AD77" i="1"/>
  <c r="AD80" i="1" s="1"/>
  <c r="N84" i="1"/>
  <c r="N90" i="1" s="1"/>
  <c r="Q77" i="1"/>
  <c r="Q80" i="1" s="1"/>
  <c r="T84" i="1"/>
  <c r="T90" i="1" s="1"/>
  <c r="AB93" i="1"/>
  <c r="AB99" i="1" s="1"/>
  <c r="AB95" i="1"/>
  <c r="X75" i="1"/>
  <c r="X81" i="1" s="1"/>
  <c r="AB87" i="1"/>
  <c r="AB88" i="1" s="1"/>
  <c r="T86" i="1"/>
  <c r="T89" i="1" s="1"/>
  <c r="Q75" i="1"/>
  <c r="Q81" i="1" s="1"/>
  <c r="V93" i="1"/>
  <c r="V99" i="1" s="1"/>
  <c r="X77" i="1"/>
  <c r="X80" i="1" s="1"/>
  <c r="AB85" i="1"/>
  <c r="V95" i="1"/>
  <c r="U75" i="1"/>
  <c r="U81" i="1" s="1"/>
  <c r="N86" i="1"/>
  <c r="N89" i="1" s="1"/>
  <c r="AD86" i="1" l="1"/>
  <c r="AD89" i="1" s="1"/>
  <c r="AC86" i="1"/>
  <c r="AC89" i="1" s="1"/>
  <c r="AC88" i="1"/>
  <c r="V86" i="1"/>
  <c r="V89" i="1" s="1"/>
  <c r="V88" i="1"/>
  <c r="U77" i="1"/>
  <c r="U80" i="1" s="1"/>
  <c r="U79" i="1"/>
  <c r="AB77" i="1"/>
  <c r="AB80" i="1" s="1"/>
  <c r="AB79" i="1"/>
  <c r="AC84" i="1"/>
  <c r="AC90" i="1" s="1"/>
  <c r="AD84" i="1"/>
  <c r="AD90" i="1" s="1"/>
  <c r="V84" i="1"/>
  <c r="V90" i="1" s="1"/>
  <c r="AB84" i="1"/>
  <c r="AB90" i="1" s="1"/>
  <c r="AB86" i="1"/>
  <c r="AB89"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tc={3F2FF353-1B69-443A-9B68-D61CA3E499A6}</author>
    <author>tc={45DC4EFF-DACF-4B4F-9DB8-B7D320BE3D2F}</author>
    <author>tc={3CF4BBB1-E5E0-4975-9077-CF983B040EA9}</author>
    <author>tc={E316524C-40C6-4ADF-893E-A55434F5AB2E}</author>
    <author>tc={5660B841-ED65-4C4E-9F2B-091EB96AA3F6}</author>
    <author>tc={5EA40E23-E27B-4554-8092-4EB5A9505F76}</author>
    <author>tc={E823D856-8B7B-4776-A1F3-660A988FE98C}</author>
    <author>tc={96E39AB5-377B-4A25-A9ED-F0280F75511F}</author>
    <author>tc={FEFEC0DB-B5CA-4B5F-A8A1-41078050B78C}</author>
  </authors>
  <commentList>
    <comment ref="L1" authorId="0" shapeId="0" xr:uid="{3F2FF353-1B69-443A-9B68-D61CA3E499A6}">
      <text>
        <t>[Threaded comment]
Your version of Excel allows you to read this threaded comment; however, any edits to it will get removed if the file is opened in a newer version of Excel. Learn more: https://go.microsoft.com/fwlink/?linkid=870924
Comment:
    Roughly guesstimated based on DEA technology data for biomass fired CHP plants, since they seem to operate roughly in similar steam temperature ranges as LWRs.</t>
      </text>
    </comment>
    <comment ref="N1" authorId="1" shapeId="0" xr:uid="{45DC4EFF-DACF-4B4F-9DB8-B7D320BE3D2F}">
      <text>
        <t>[Threaded comment]
Your version of Excel allows you to read this threaded comment; however, any edits to it will get removed if the file is opened in a newer version of Excel. Learn more: https://go.microsoft.com/fwlink/?linkid=870924
Comment:
    Note that the variable O&amp;M costs mostly DON’T include the cost of spent nuclear fuel! Although some of the `nucMax` values might.</t>
      </text>
    </comment>
    <comment ref="O1" authorId="2" shapeId="0" xr:uid="{3CF4BBB1-E5E0-4975-9077-CF983B040EA9}">
      <text>
        <t>[Threaded comment]
Your version of Excel allows you to read this threaded comment; however, any edits to it will get removed if the file is opened in a newer version of Excel. Learn more: https://go.microsoft.com/fwlink/?linkid=870924
Comment:
    `minOperationHours` and `minShutDownHours` mostly based on EUR Document 2.2-2.1.2-C. SMRs are given the benefit of the doubt.</t>
      </text>
    </comment>
    <comment ref="Q1" authorId="3" shapeId="0" xr:uid="{E316524C-40C6-4ADF-893E-A55434F5AB2E}">
      <text>
        <t>[Threaded comment]
Your version of Excel allows you to read this threaded comment; however, any edits to it will get removed if the file is opened in a newer version of Excel. Learn more: https://go.microsoft.com/fwlink/?linkid=870924
Comment:
    Warm and Hot startup parameters guesstimated based on the Cold ones by scaling with the relative `minShutDownHours` difference.</t>
      </text>
    </comment>
    <comment ref="S1" authorId="4" shapeId="0" xr:uid="{5660B841-ED65-4C4E-9F2B-091EB96AA3F6}">
      <text>
        <t>[Threaded comment]
Your version of Excel allows you to read this threaded comment; however, any edits to it will get removed if the file is opened in a newer version of Excel. Learn more: https://go.microsoft.com/fwlink/?linkid=870924
Comment:
    Legacy data? Original source unknown, maybe derived from ERAA24?</t>
      </text>
    </comment>
    <comment ref="T1" authorId="5" shapeId="0" xr:uid="{5EA40E23-E27B-4554-8092-4EB5A9505F76}">
      <text>
        <t>[Threaded comment]
Your version of Excel allows you to read this threaded comment; however, any edits to it will get removed if the file is opened in a newer version of Excel. Learn more: https://go.microsoft.com/fwlink/?linkid=870924
Comment:
    Only two startup cost values found in literature, rest are guesstimated based on legacy data.</t>
      </text>
    </comment>
    <comment ref="W1" authorId="6" shapeId="0" xr:uid="{E823D856-8B7B-4776-A1F3-660A988FE98C}">
      <text>
        <t>[Threaded comment]
Your version of Excel allows you to read this threaded comment; however, any edits to it will get removed if the file is opened in a newer version of Excel. Learn more: https://go.microsoft.com/fwlink/?linkid=870924
Comment:
    `startWarmAfterXHours´ mostly based on EUR Document 2.2-2.1.2-C</t>
      </text>
    </comment>
    <comment ref="X1" authorId="7" shapeId="0" xr:uid="{96E39AB5-377B-4A25-A9ED-F0280F75511F}">
      <text>
        <t>[Threaded comment]
Your version of Excel allows you to read this threaded comment; however, any edits to it will get removed if the file is opened in a newer version of Excel. Learn more: https://go.microsoft.com/fwlink/?linkid=870924
Comment:
    4x times warm like in ERAA24</t>
      </text>
    </comment>
    <comment ref="AA1" authorId="8" shapeId="0" xr:uid="{FEFEC0DB-B5CA-4B5F-A8A1-41078050B78C}">
      <text>
        <t>[Threaded comment]
Your version of Excel allows you to read this threaded comment; however, any edits to it will get removed if the file is opened in a newer version of Excel. Learn more: https://go.microsoft.com/fwlink/?linkid=870924
Comment:
    The max and min unit sizes in each category are well defined, but the typical reactor sizes within them is somewhat assumed.</t>
      </text>
    </comment>
  </commentList>
</comments>
</file>

<file path=xl/sharedStrings.xml><?xml version="1.0" encoding="utf-8"?>
<sst xmlns="http://schemas.openxmlformats.org/spreadsheetml/2006/main" count="809" uniqueCount="259">
  <si>
    <t>Generator_ID</t>
  </si>
  <si>
    <t>vomCosts</t>
  </si>
  <si>
    <t>minOperationHours</t>
  </si>
  <si>
    <t>minShutDownHours</t>
  </si>
  <si>
    <t>startfuelConsWarm</t>
  </si>
  <si>
    <t>startCostWarm</t>
  </si>
  <si>
    <t>startFuelConsCold</t>
  </si>
  <si>
    <t>startCostCold</t>
  </si>
  <si>
    <t>startFuelConsHot</t>
  </si>
  <si>
    <t>startCostHot</t>
  </si>
  <si>
    <t>startWarmAfterXHours</t>
  </si>
  <si>
    <t>startColdAfterXhours</t>
  </si>
  <si>
    <t>maxRampUp</t>
  </si>
  <si>
    <t>maxRampDown</t>
  </si>
  <si>
    <t>unitSize</t>
  </si>
  <si>
    <t>cb</t>
  </si>
  <si>
    <t>Nuclear</t>
  </si>
  <si>
    <t>elec</t>
  </si>
  <si>
    <t>cv</t>
  </si>
  <si>
    <t>scenario</t>
  </si>
  <si>
    <t>year</t>
  </si>
  <si>
    <t>grid_output1</t>
  </si>
  <si>
    <t>grid_output2</t>
  </si>
  <si>
    <t>grid_input1</t>
  </si>
  <si>
    <t>dheat</t>
  </si>
  <si>
    <t>unittype</t>
  </si>
  <si>
    <t>eff00</t>
  </si>
  <si>
    <t>eff01</t>
  </si>
  <si>
    <t>op00</t>
  </si>
  <si>
    <t>op01</t>
  </si>
  <si>
    <t>rampUpCost</t>
  </si>
  <si>
    <t>Note</t>
  </si>
  <si>
    <t>invCosts</t>
  </si>
  <si>
    <t>annuityFactor</t>
  </si>
  <si>
    <t>fomCosts</t>
  </si>
  <si>
    <t>Content</t>
  </si>
  <si>
    <t>Nuclear technology parameters</t>
  </si>
  <si>
    <t>Part of</t>
  </si>
  <si>
    <t>Author</t>
  </si>
  <si>
    <t>Topi Rasku &lt;topi.rasku@vtt.fi&gt;</t>
  </si>
  <si>
    <t>Last updated</t>
  </si>
  <si>
    <t>Description</t>
  </si>
  <si>
    <t>Key sheets</t>
  </si>
  <si>
    <t>unittypedata</t>
  </si>
  <si>
    <t>Contains the technology parameters for different nuclear technologies.</t>
  </si>
  <si>
    <t>Note that this is not a standalone input data file and requires the other North European model dataset as a basis.</t>
  </si>
  <si>
    <t>Discussion</t>
  </si>
  <si>
    <t>See the later "Discussion" for justification on selected input data focus, as well as some caveats.</t>
  </si>
  <si>
    <t>However, it should be noted that this limits the applicability of the output heat, as LWRs are generally only capable of max 300C heat output.</t>
  </si>
  <si>
    <t>1. Their technology is still unproven and economics uncertain (especially for Gen IV designs).</t>
  </si>
  <si>
    <t xml:space="preserve"> Whether mass production of modularized SMRs can recoup lost economies of scale remains uncertain, as SMR factories are massive upfront investments.</t>
  </si>
  <si>
    <t>SMR safety needs to be evaluated differently than traditional power plants, especially if situated in urban or industrial areas for co-generation, complicating regulatory approval processes.</t>
  </si>
  <si>
    <t>Gen IV reactors would be required for process heat in the 300-900C ranges, but those are likely decades away from commercial deployment.</t>
  </si>
  <si>
    <t>More spread out nuclear material raises concerns about security and proliferation risks for SMRs.</t>
  </si>
  <si>
    <t>2. Nuclear safety regulations and nuclear proliferation concerns need to be sorted out (again worse for Gen IV due to potentially higher enriched fuel).</t>
  </si>
  <si>
    <t>Overall, there is surprisingly little difference in SMR and NPP parameters for power generation, nor does there seem to be good reasons to expect otherwise.</t>
  </si>
  <si>
    <t>40-50% min load often considered a decent average for simpler modelling purposes.</t>
  </si>
  <si>
    <t>Likely to impact all LWR reactors somewhat equally regardless of their size.</t>
  </si>
  <si>
    <t>Low-temperature heat-only reactors might require even less time due to small size and already lower core temperatures.</t>
  </si>
  <si>
    <t>1. Minimum load avoids issues with xenon transients and soluble boron concentrations throughout the fuel cycle.</t>
  </si>
  <si>
    <t>3. Ramp limits are in place to minimize thermal stress on fuel assemblies and minize risk of fuel rod rupture.</t>
  </si>
  <si>
    <t>Technically modern reactors should also be capable of ramping down at 20%/min, but this is reserved for emergencies.</t>
  </si>
  <si>
    <t>As such, ramp limits are likely similar for NPPs and SMRs regardless of their size.</t>
  </si>
  <si>
    <t>However, low-temperature heat-only reactors might again be capable of faster ramping due to lower temperatures and thus fuel rod thermal stress?</t>
  </si>
  <si>
    <t>However, low-temperature heat-only reactors likely have significantly lower costs due to simplified design, which is at least somewhat reflected in the parameters.</t>
  </si>
  <si>
    <t>The flexible operation parameters are possibly partially better for SMRs, but concrete data on this is limited.</t>
  </si>
  <si>
    <t>nucLow</t>
  </si>
  <si>
    <t>nucTypical</t>
  </si>
  <si>
    <t>nucHigh</t>
  </si>
  <si>
    <t>nuclearLWR</t>
  </si>
  <si>
    <t>nuclearLWRchp</t>
  </si>
  <si>
    <t>nuclearSMLWR</t>
  </si>
  <si>
    <t>nuclearSMLWRchp</t>
  </si>
  <si>
    <t>nuclearMMLWR</t>
  </si>
  <si>
    <t>nuclearMMLWRchp</t>
  </si>
  <si>
    <t>[1] C. Bruynooghe, A. Eriksson, and G. Fulli, “Load-following Operating Mode at Nuclear Power</t>
  </si>
  <si>
    <t>Plants (NPPs) and Incidence on Operation and Maintenance (O&amp;M) Costs — Compatibility</t>
  </si>
  <si>
    <t>with Wind Power Variability,” Tech. Rep. EUR 245834 EN - 2010, European Commission</t>
  </si>
  <si>
    <t>Joint Research Centre Institute for Energy, Luxembourg, 2010. ISBN: 9789279175343 ISSN:</t>
  </si>
  <si>
    <t>1018-5593.</t>
  </si>
  <si>
    <t>[2] G. Simbolotti, “IEA ETSAP — Technology Brief E03 – Nuclear Power,” Apr. 2010.</t>
  </si>
  <si>
    <t>[3] Nuclear Energy Agency, “Technical and Economic Aspects of Load Following with Nuclear</t>
  </si>
  <si>
    <t>Power Plants,” tech. rep., Nuclear Energy Agency, June 2011.</t>
  </si>
  <si>
    <t>[4] EUR Association, “Chapter 2 — Performance requirements,” in European utility requirements</t>
  </si>
  <si>
    <t>for LWR nuclear power plants, vol. 2, EUR Association, revision e ed., Dec. 2016.</t>
  </si>
  <si>
    <t>[5] C. Cany, C. Mansilla, P. da Costa, G. Mathonni`ere, T. Duquesnoy, and A. Baschwitz, “Nuclear</t>
  </si>
  <si>
    <t>and intermittent renewables: Two compatible supply options? The case of the French power</t>
  </si>
  <si>
    <t>mix,” Energy Policy, vol. 95, pp. 135–146, Aug. 2016.</t>
  </si>
  <si>
    <t>[6] V. Tulkki, E. Pursiheimo, and T. J. Lindroos, District heat with Small Modular Reactors</t>
  </si>
  <si>
    <t>(SMR). VTT Technical Research Centre of Finland, 2017.</t>
  </si>
  <si>
    <t>[7] International Atomic Energy Agency, “Non-baseload Operation in Nuclear Power Plants: Load</t>
  </si>
  <si>
    <t>Following and Frequency Control Modes of Flexible Operation,” text, International Atomic</t>
  </si>
  <si>
    <t>Energy Agency, Apr. 2018. ISBN: 9789201108166 Publication Title: Non-baseload Operation</t>
  </si>
  <si>
    <t>in Nuclear Power Plants: Load Following and Frequency Control Modes of Flexible Operation.</t>
  </si>
  <si>
    <t>[8] K. V¨arri and S. Syri, “The Possible Role of Modular Nuclear Reactors in District Heating:</t>
  </si>
  <si>
    <t>Case Helsinki Region,” Energies, vol. 12, p. 2195, June 2019. Number: 11 Publisher: Multi-</t>
  </si>
  <si>
    <t>disciplinary Digital Publishing Institute.</t>
  </si>
  <si>
    <t>[9] M. Nichol and H. Desai, “Cost Competitiveness of Micro-Reactors for Remote Markets,” tech.</t>
  </si>
  <si>
    <t>rep., Nuclear Energy Institute, Apr. 2019.</t>
  </si>
  <si>
    <t>Nuclear and Renewables,” Tech. Rep. 7299, Nuclear Energy Agency, 2019.</t>
  </si>
  <si>
    <t>reactors from the perspective of integrated planning,” Progress in Nuclear Energy, vol. 118,</t>
  </si>
  <si>
    <t>p. 103106, Jan. 2020.</t>
  </si>
  <si>
    <t>Study,” Energies, vol. 13, p. 3782, July 2020. Number: 15 Publisher: Multidisciplinary Digital</t>
  </si>
  <si>
    <t>Publishing Institute.</t>
  </si>
  <si>
    <t>ities and challenges,” Progress in Nuclear Energy, vol. 138, p. 103822, Aug. 2021.</t>
  </si>
  <si>
    <t>7560, Nuclear Energy Agency, 2021.</t>
  </si>
  <si>
    <t>impacts on power systems with renewable energy,” Applied Energy, vol. 314, p. 118903, May</t>
  </si>
  <si>
    <t>analysis for heat pumps and nuclear heat in decarbonised Helsinki metropolitan district heating</t>
  </si>
  <si>
    <t>system,” Energy Storage and Saving, vol. 1, pp. 80–92, June 2022.</t>
  </si>
  <si>
    <t>multi-unit small modular reactors,” Energy, vol. 280, p. 128107, Oct. 2023.</t>
  </si>
  <si>
    <t>operation and maintenance scheduling,” Energy, vol. 313, p. 134098, Dec. 2024.</t>
  </si>
  <si>
    <t>50 Nuclear District Heating Reactor,” Energies, vol. 17, p. 3250, July 2024. Number: 13</t>
  </si>
  <si>
    <t>Publisher: Multidisciplinary Digital Publishing Institute.</t>
  </si>
  <si>
    <t>modular reactors in Europe,” Renewable and Sustainable Energy Reviews, vol. 203, p. 114743,</t>
  </si>
  <si>
    <t>Oct. 2024.</t>
  </si>
  <si>
    <t>tricity — Renewable Energy Technologies,” tech. rep., Fraunhofer Institute for Solar Energy</t>
  </si>
  <si>
    <t>Systems, Freiburg, June 2024.</t>
  </si>
  <si>
    <t>N. Stauff, K. Shirvan, and A. Stein, “Meta-Analysis of Advanced Nuclear Reactor Cost Es-</t>
  </si>
  <si>
    <t>timations,” Tech. Rep. INL/RPT–24-77048-Rev001, Idaho National Laboratory (INL), Idaho</t>
  </si>
  <si>
    <t>Falls, ID (United States), June 2024.</t>
  </si>
  <si>
    <t>Timescale Power System Operations With Temporally Coupled Sub-Models,” IEEE Trans-</t>
  </si>
  <si>
    <t>actions on Power Systems, vol. 40, pp. 793–805, Jan. 2025.</t>
  </si>
  <si>
    <t>baseload demand in capacity expansion planning for low-carbon power systems,” Applied En-</t>
  </si>
  <si>
    <t>ergy, vol. 377, p. 124366, Jan. 2025.</t>
  </si>
  <si>
    <t>Small Modular Reactors in Modern Power Systems,” Energies, vol. 18, p. 2578, May 2025.</t>
  </si>
  <si>
    <t>gies for Nuclear Integrated Energy Systems,” IEEE Access, vol. 13, pp. 118857–118873, July</t>
  </si>
  <si>
    <t>LWR reactors capable of temperatures required for "efficient" power generation are conceptually similar regardless of their size.</t>
  </si>
  <si>
    <t>What SMRs could save in mass production, they seem to lose in economies of scale (the massive upfront costs of "SMR factories" are a key economic uncertainty).</t>
  </si>
  <si>
    <t>nucLow - Contains low-end parameters supposedly within the realm of possibility. Sample these if you feel like using conservative technical parameters or optimistic cost assumptions.</t>
  </si>
  <si>
    <t>2. Startup/shutdown durations seem to be governed by the time it takes for the reactor core to safely heat up and cool, although thermal stress as well as xenon transients can still play a part depending on the fuel cycle.</t>
  </si>
  <si>
    <t>A "hot-hot" startup after less than 36 hours of "hot-shutdown-mode" only takes ~2 hours, while a "cold-cold" startup after e.g. a refuelling outage takes ~40 hours.</t>
  </si>
  <si>
    <t>nucHigh - Contains high-end parameters within the realm of possibility. Sample these if you want to use optimistic technical parameters or conservative cost assumptions.</t>
  </si>
  <si>
    <t>Economic competitiveness with VRE also often called into question for pure power production (outside supplying specific steady consumers outside wholesale markets).</t>
  </si>
  <si>
    <t>Based on the literature, the phenomena limiting reactor flexibility seem to relate to:</t>
  </si>
  <si>
    <t>There is a huge difference between "hot" and "cold" startups for nuclear reactors depending on the temperature of the reactor, the primary cooling circuit, and the turbine.</t>
  </si>
  <si>
    <t>Thus, this time could be noticeably lower for SMRs with smaller cores that should be faster to cool and heat up evenly, unless thermal stresses become an issue (which they shouldn't based on ramping capabilities?).</t>
  </si>
  <si>
    <t>Early in the fuel cycle, load-following between 20-100% is technically feasible under modern reactor reactivity requirements, but the last third of the cycle gradually becomes completely inflexible.</t>
  </si>
  <si>
    <t>Modern reactors should be capable of at least 3%/min in regular operation, and while TSOs can require more, 5%/min is a currently agreed-upon hard safety cap.</t>
  </si>
  <si>
    <t>Low-temperature heat-only reactors might differ in terms of xenon transients and soluble boron utilisation, yielding different minimum loads, but I would have to consult reactor dynamics specialists on the topic.</t>
  </si>
  <si>
    <t>NPPs should technically be capable of ramping between full-min-full power cycles: 2x per day, 5x per week, or 200x per year.</t>
  </si>
  <si>
    <t>The focus of this dataset is on emerging light-water micro- and small modular reactors, as well as modern conventional nuclear power plant (NPP) designs.</t>
  </si>
  <si>
    <t>LRW-SMLRW-MMLRW: Indicates whether the unit is a large LWR (~1000 MWe), a Small Modular LWR (&lt;300 MWe), or a Micro Modular LWR (&lt;50 MWth).</t>
  </si>
  <si>
    <t>1. LWR and especially PWR reactors constitute the majority of existing NPPs.</t>
  </si>
  <si>
    <t>2. Small modular LWRs are technologically more mature than alternative (Gen IV) designs, and thus likely to be commercialized first.</t>
  </si>
  <si>
    <t>3. Parameters are more plentiful and reliable due to existing experience with large LWRs, and we don't need to rely on design-specific developer-advertised values.</t>
  </si>
  <si>
    <t>The unit type data is categorized via two "axes":</t>
  </si>
  <si>
    <t>Note that this dataset is not methodologically rigorous.</t>
  </si>
  <si>
    <t>Parameter selection was largely based on subjective estimation of source credibility, not on any well-defined meta-analysis.</t>
  </si>
  <si>
    <t>Furthermore, currencies and their respective exchange rates or their evolution were not rigorously accounted for.</t>
  </si>
  <si>
    <t>[10] T. J. Lindroos, E. Pursiheimo, V. Sahlberg, and V. Tulkki, “A techno-economic assessment of</t>
  </si>
  <si>
    <t>NuScale and DHR-400 reactors in a district heating and cooling grid,” Energy Sources, Part</t>
  </si>
  <si>
    <t>B: Economics, Planning and Policy, vol. 14, pp. 13–24, Mar. 2019.</t>
  </si>
  <si>
    <t>[11] Nuclear Energy Agency, “The Costs of Decarbonisation: System Costs with High Shares of</t>
  </si>
  <si>
    <t>[12] V. Nian and S. Zhong, “Economic feasibility of flexible energy productions by small modular</t>
  </si>
  <si>
    <t>[13] A. Ter¨asvirta, S. Syri, and P. Hiltunen, “Small Nuclear Reactor—Nordic District Heating Case</t>
  </si>
  <si>
    <t>[14] R. Testoni, A. Bersano, and S. Segantin, “Review of nuclear microreactors: Status, potential-</t>
  </si>
  <si>
    <t>[15] Nuclear Energy Agency, “Small Modular Reactors: Challenges and Opportunities,” Tech. Rep.</t>
  </si>
  <si>
    <t>[16] A. Lynch, Y. Perez, S. Gabriel, and G. Mathonniere, “Nuclear fleet flexibility: Modeling and</t>
  </si>
  <si>
    <t>[17] E. Pursiheimo, T. J. Lindroos, D. Sundell, M. R¨am¨a, and V. Tulkki, “Optimal investment</t>
  </si>
  <si>
    <t>carbonizing district heating systems: a case study of the Helsinki metropolitan area,” Nuclear</t>
  </si>
  <si>
    <t>Engineering and Design, vol. 442, p. 114262, Oct. 2025.</t>
  </si>
  <si>
    <t>Stars indicate priority sources</t>
  </si>
  <si>
    <t>e = electricity only, chp = combined heat and power, ho = heat-only</t>
  </si>
  <si>
    <t>Table source: &lt;topi.rasku@vtt.fi&gt; GG-SMR working draft</t>
  </si>
  <si>
    <t>Contains the raw data table from my original parameter gathering while delving into SMR literature.</t>
  </si>
  <si>
    <t>Conventional LWR CHP</t>
  </si>
  <si>
    <t>Conventional LWR</t>
  </si>
  <si>
    <t>Small Modular LWR</t>
  </si>
  <si>
    <t>Small Modular LWR CHP</t>
  </si>
  <si>
    <t>Small Modular LWR DH</t>
  </si>
  <si>
    <t>nuclearSMLWRdh</t>
  </si>
  <si>
    <t>CHP-DH: Indicates whether the unit is a Combined Heat and Power or a District Heat-Only unit. If not indicated, the unit is electricity only.</t>
  </si>
  <si>
    <t>Micro Modular LWR</t>
  </si>
  <si>
    <t>Micro Modular LWR CHP</t>
  </si>
  <si>
    <t>Micro Modular LWR DH</t>
  </si>
  <si>
    <t>nuclearMMLWRdh</t>
  </si>
  <si>
    <t>The main reason for this are:</t>
  </si>
  <si>
    <t>4. All mature LWR designs use Low-Enriched Uranium (LEU ~3-5% U235) fuel, whereas some Gen IV SMR designs require High-Assay LEU (HALEU ~5-20% U235), the global supply of which is much more scarce.</t>
  </si>
  <si>
    <t>nucMin - Contains extreme low-end (i.e. minimum) parameters. Likely highly unrealistic, not recommended for actual use, but included for completeness' sake.</t>
  </si>
  <si>
    <t>nucMax - Contains extreme high-end (i.e. maximum) parameters. Not recommended for actual use and included primarily for completeness' sake.</t>
  </si>
  <si>
    <t>nucMax</t>
  </si>
  <si>
    <t>nucMin</t>
  </si>
  <si>
    <t>This dataset contains more detailed nuclear technology parameters focusing on light-water reactors (LWRs) both conventional as well as micro- and small modular reactors (SMRs) for power and heat generation.</t>
  </si>
  <si>
    <t>Data could be easily based on listed sources with multiple alternatives available for comparison</t>
  </si>
  <si>
    <t>Good</t>
  </si>
  <si>
    <t>Decent</t>
  </si>
  <si>
    <t>Bad</t>
  </si>
  <si>
    <t>Derived</t>
  </si>
  <si>
    <t>Derived from other data values.</t>
  </si>
  <si>
    <t>Uses 0.9 EUR/USD average conversion rate between 2020-2025</t>
  </si>
  <si>
    <t>Data could be based on listed sources, but limited or no alternatives were available for comparison, or was used slightly outside its original intended purpose.</t>
  </si>
  <si>
    <t>CHP cost surcharge</t>
  </si>
  <si>
    <t>CHP costs surcharge estimated based on source [A] by doubling the share of "Turbine Plant Equipment" of total power plant costs.</t>
  </si>
  <si>
    <t>EUR/USD assumed conversion</t>
  </si>
  <si>
    <t>DH reactor startup costs halved due to assumed simplicity compared to CHP reactors.</t>
  </si>
  <si>
    <t>Micro reactor temperatures assumed to stabilise and cool down faster after shutdown due to smaller core size.</t>
  </si>
  <si>
    <t>Data could not be based to listed sources, and subjective guesstimation from undocumented legacy data or arbitrary extrapolation was used as a supplement.</t>
  </si>
  <si>
    <t>[18] G. Black, D. Shropshire, K. Ara´ujo, and A. van Heek, “Prospects for Nuclear Microre-</t>
  </si>
  <si>
    <t>actors: A Review of the Technology, Economics, and Regulatory Considerations,” Nu-</t>
  </si>
  <si>
    <t>clear Technology, vol. 209, pp. S1–S20, Jan. 2023. Publisher: Taylor &amp; Francis eprint:</t>
  </si>
  <si>
    <t>https://doi.org/10.1080/00295450.2022.2118626.</t>
  </si>
  <si>
    <t>[19] S. Alhadhrami, G. J. Soto, and B. Lindley, “Dispatch analysis of flexible power operation with</t>
  </si>
  <si>
    <t>[20] A. Asuega, B. J. Limb, and J. C. Quinn, “Techno-economic analysis of advanced small modular</t>
  </si>
  <si>
    <t>nuclear reactors,” Applied Energy, vol. 334, p. 120669, Mar. 2023.</t>
  </si>
  <si>
    <t>[21] A. Rigby, S. Alhadhrami, and B. Lindley, “Co-optimization of nuclear reactor flexible power</t>
  </si>
  <si>
    <t>[22] L. Sokka, H. Kirppu, and J. Lepp¨anen, “Evaluation of Life Cycle CO2 Emissions for the LDR-</t>
  </si>
  <si>
    <t>[23] N. Van Hee, H. Peremans, and P. Nimmegeers, “Economic potential and barriers of small</t>
  </si>
  <si>
    <t>[24] C. Kost, P. M¨uller, J. S. Schweiger, V. Fluri, and J. Thomsen, “Study: Levelized Cost of Elec-</t>
  </si>
  <si>
    <t>[25] A. Abou-Jaoude, C. S. Lohse, L. M. Larsen, N. Guaita, I. Trivedi, F. C. Joseck, E. Hoffman,</t>
  </si>
  <si>
    <t>[26] NREL (National Renewable Energy Laboratory), “2024 Annual Technology Baseline,” July</t>
  </si>
  <si>
    <t>[27] ENTSO-E, “ERAA 2024 Downloads,” 2024.</t>
  </si>
  <si>
    <t>[28] J. Rahman and J. Zhang, “Steady-State Modeling of Small Modular Reactors for Multi-</t>
  </si>
  <si>
    <t>[29] M. Hjelmeland, J. K. Nøland, S. Backe, and M. Korp˚as, “The role of nuclear energy and</t>
  </si>
  <si>
    <t>[30] C. K. Simoglou, I. M. Kaissas, and P. N. Biskas, “Assessing the Implications of Integrating</t>
  </si>
  <si>
    <t>[31] A. I. Arvanitidis and M. Alamaniotis, “Optimal Economic Dispatch and Load-Following Strate-</t>
  </si>
  <si>
    <t>[32] “Lazard LCOE+,” June 2025.</t>
  </si>
  <si>
    <t>[33] J.-P. Ikonen, T. J. Lindroos, and P. Hiltunen, “Feasibility of small modular reactors for de-</t>
  </si>
  <si>
    <t>Priority</t>
  </si>
  <si>
    <t>Last updated: 2025-08-25</t>
  </si>
  <si>
    <t>Discount rate</t>
  </si>
  <si>
    <t>Technical lifetime</t>
  </si>
  <si>
    <t>GG-SMR project T5.3</t>
  </si>
  <si>
    <t>nucTypical - Contains "middle-of-the-pack" parameters aiming to represent expected parameters. This scenario could be used as-is.</t>
  </si>
  <si>
    <t>Data quality on the data sheets is indicated using the following colors:</t>
  </si>
  <si>
    <t>sources</t>
  </si>
  <si>
    <t>Note that the investment costs don't cover power or district heating grid connection costs: E.g. a "Conventional LWR CHP" unit would likely require quite an atypical district heating connection due to its size and presumed distance from any urban areas.</t>
  </si>
  <si>
    <t>E.g. for the `unittype`s to appear in the final processed input data, you need to provide some scenario `unitdata` for the processing.</t>
  </si>
  <si>
    <t>Thus, the parameters aim to reflect the properties of "Gen III+" Light Water Reactors (mainly Pressurized Water Reactor, not Boiling Water Reactor).</t>
  </si>
  <si>
    <t>This makes them suitable for district heating, desalination, and some pulp &amp; paper processes, but not enough for a lot of other industrial processes or high-temperature hydrogen electrolysis.</t>
  </si>
  <si>
    <t>However, SMRs still face significant uncertainties in their deployment:</t>
  </si>
  <si>
    <t>In principle, financing costs and risks should be lower than in conventional "megaprojects" due to shorter and modular construction times.</t>
  </si>
  <si>
    <t>The main uncontested advantage of SMRs is their ability (if permitted) to operate where large NPPs cannot: isolated/maritime/mobile environments, or close to urban and industrial areas for efficient co-generation.</t>
  </si>
  <si>
    <t>In principle, startup and shutdown numbers for NPPs over the lifetime are also limited to minimize thermal/corrosive stress on the reactor core (~20 hot starts per year, ~1-2 cold starts per year), but how these apply to SMRs is unknown.</t>
  </si>
  <si>
    <t>Generic LWR</t>
  </si>
  <si>
    <t>genericLWR</t>
  </si>
  <si>
    <t>Generic LWR CHP</t>
  </si>
  <si>
    <t>genericLWRchp</t>
  </si>
  <si>
    <t>Generic LWR DH</t>
  </si>
  <si>
    <t>genericLWRdh</t>
  </si>
  <si>
    <t>Generic power-only LWR, aggregated over `Conventional LWR`, `Small Modular LWR`, and `Micro Modular LWR`.</t>
  </si>
  <si>
    <t>Generic LWR CHP, aggregated over `Conventional LWR CHP`, `Small Modular LWR CHP`, and `Micro Modular LWR CHP`.</t>
  </si>
  <si>
    <t>Generic LWR DH, aggregated over `Small Modular LWR DH`, and `Micro Modular LWR DH`.</t>
  </si>
  <si>
    <t>nucIdeal</t>
  </si>
  <si>
    <t>nucOptimistic</t>
  </si>
  <si>
    <t>A mix of `nucLow` and `nucHigh` always sampling the advantageous parameter values.</t>
  </si>
  <si>
    <t>A mix of `nucMin` and `nucMax` always sampling the advantageous parameter values.</t>
  </si>
  <si>
    <t>nucWorst</t>
  </si>
  <si>
    <t>nucPessimistic</t>
  </si>
  <si>
    <t>2025-09-18</t>
  </si>
  <si>
    <r>
      <t xml:space="preserve">nucWorst - Samples `nucMin` and `nucMax`, always using the </t>
    </r>
    <r>
      <rPr>
        <b/>
        <i/>
        <sz val="11"/>
        <color rgb="FF7F7F7F"/>
        <rFont val="Arial"/>
        <family val="2"/>
        <scheme val="minor"/>
      </rPr>
      <t>disadvantageous</t>
    </r>
    <r>
      <rPr>
        <i/>
        <sz val="11"/>
        <color rgb="FF7F7F7F"/>
        <rFont val="Arial"/>
        <family val="2"/>
        <scheme val="minor"/>
      </rPr>
      <t xml:space="preserve"> parameter values.</t>
    </r>
  </si>
  <si>
    <r>
      <t xml:space="preserve">nucPessimistic - Samples `nucLow` and `nucHigh`, always using the </t>
    </r>
    <r>
      <rPr>
        <b/>
        <i/>
        <sz val="11"/>
        <color rgb="FF7F7F7F"/>
        <rFont val="Arial"/>
        <family val="2"/>
        <scheme val="minor"/>
      </rPr>
      <t>disadvantageous</t>
    </r>
    <r>
      <rPr>
        <i/>
        <sz val="11"/>
        <color rgb="FF7F7F7F"/>
        <rFont val="Arial"/>
        <family val="2"/>
        <scheme val="minor"/>
      </rPr>
      <t xml:space="preserve"> parameter values.</t>
    </r>
  </si>
  <si>
    <r>
      <t xml:space="preserve">nucOptimistic - Samples `nucLow` and `nucHigh`, always using the </t>
    </r>
    <r>
      <rPr>
        <b/>
        <i/>
        <sz val="11"/>
        <color rgb="FF7F7F7F"/>
        <rFont val="Arial"/>
        <family val="2"/>
        <scheme val="minor"/>
      </rPr>
      <t>advantageous</t>
    </r>
    <r>
      <rPr>
        <i/>
        <sz val="11"/>
        <color rgb="FF7F7F7F"/>
        <rFont val="Arial"/>
        <family val="2"/>
        <scheme val="minor"/>
      </rPr>
      <t xml:space="preserve"> parameter values.</t>
    </r>
  </si>
  <si>
    <r>
      <t xml:space="preserve">nucIdeal - Samples `nucMin` and `nucMax`, always using the </t>
    </r>
    <r>
      <rPr>
        <b/>
        <i/>
        <sz val="11"/>
        <color rgb="FF7F7F7F"/>
        <rFont val="Arial"/>
        <family val="2"/>
        <scheme val="minor"/>
      </rPr>
      <t>advantageous</t>
    </r>
    <r>
      <rPr>
        <i/>
        <sz val="11"/>
        <color rgb="FF7F7F7F"/>
        <rFont val="Arial"/>
        <family val="2"/>
        <scheme val="minor"/>
      </rPr>
      <t xml:space="preserve"> parameter values.</t>
    </r>
  </si>
  <si>
    <t>A mix of `nucMin` and `nucMax` always sampling the disadvantageous parameter values.</t>
  </si>
  <si>
    <t>A mix of `nucLow` and `nucHigh` always sampling the disadvantageous parameter values.</t>
  </si>
  <si>
    <t>The raw data is organized into 5 scenarios sampling data differently across the sources. Note that in e.g. "nucLow", all parameters are low: both technical and economical!</t>
  </si>
  <si>
    <t>Also added four derivative scenarios based on the above data scenarios:</t>
  </si>
  <si>
    <t>Also includes generic power-only, CHP, and DH LWRs aggregated by simply averaging over the different reactor size categories.</t>
  </si>
  <si>
    <t>In any case, the considerable range of uncertainty in the parameters renders this dataset mostly informative.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</si>
</sst>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8" x14ac:knownFonts="1">
    <font>
      <sz val="11"/>
      <color rgb="FF000000"/>
      <name val="Calibri"/>
      <family val="2"/>
      <charset val="1"/>
    </font>
    <font>
      <sz val="10"/>
      <color rgb="FF000000"/>
      <name val="Arial"/>
      <family val="2"/>
      <charset val="1"/>
    </font>
    <font>
      <sz val="10"/>
      <color rgb="FF000000"/>
      <name val="Calibri"/>
      <family val="2"/>
      <charset val="1"/>
    </font>
    <font>
      <sz val="10"/>
      <name val="Arial"/>
      <family val="2"/>
    </font>
    <font>
      <sz val="11"/>
      <color rgb="FF000000"/>
      <name val="Calibri"/>
      <family val="2"/>
      <charset val="1"/>
    </font>
    <font>
      <sz val="11"/>
      <color theme="0" tint="-0.499984740745262"/>
      <name val="Calibri"/>
      <family val="2"/>
      <charset val="1"/>
    </font>
    <font>
      <sz val="11"/>
      <color theme="4" tint="-0.249977111117893"/>
      <name val="Calibri"/>
      <family val="2"/>
      <charset val="1"/>
    </font>
    <font>
      <sz val="11"/>
      <color theme="4" tint="-0.499984740745262"/>
      <name val="Calibri"/>
      <family val="2"/>
      <charset val="1"/>
    </font>
    <font>
      <sz val="11"/>
      <name val="Calibri"/>
      <family val="2"/>
      <charset val="1"/>
    </font>
    <font>
      <sz val="11"/>
      <color rgb="FF000000"/>
      <name val="Calibri"/>
      <family val="2"/>
    </font>
    <font>
      <sz val="11"/>
      <color theme="0" tint="-0.499984740745262"/>
      <name val="Calibri"/>
      <family val="2"/>
    </font>
    <font>
      <b/>
      <sz val="11"/>
      <color theme="3"/>
      <name val="Arial"/>
      <family val="2"/>
      <scheme val="minor"/>
    </font>
    <font>
      <i/>
      <sz val="11"/>
      <color rgb="FF7F7F7F"/>
      <name val="Arial"/>
      <family val="2"/>
      <scheme val="minor"/>
    </font>
    <font>
      <sz val="11"/>
      <color rgb="FF006100"/>
      <name val="Arial"/>
      <family val="2"/>
      <scheme val="minor"/>
    </font>
    <font>
      <sz val="11"/>
      <color rgb="FF9C0006"/>
      <name val="Arial"/>
      <family val="2"/>
      <scheme val="minor"/>
    </font>
    <font>
      <sz val="11"/>
      <color rgb="FF9C5700"/>
      <name val="Arial"/>
      <family val="2"/>
      <scheme val="minor"/>
    </font>
    <font>
      <b/>
      <sz val="11"/>
      <color rgb="FFFA7D00"/>
      <name val="Arial"/>
      <family val="2"/>
      <scheme val="minor"/>
    </font>
    <font>
      <b/>
      <i/>
      <sz val="11"/>
      <color rgb="FF7F7F7F"/>
      <name val="Arial"/>
      <family val="2"/>
      <scheme val="minor"/>
    </font>
  </fonts>
  <fills count="10">
    <fill>
      <patternFill patternType="none"/>
    </fill>
    <fill>
      <patternFill patternType="gray125"/>
    </fill>
    <fill>
      <patternFill patternType="solid">
        <fgColor rgb="FFFFAFAF"/>
        <bgColor rgb="FFFF99CC"/>
      </patternFill>
    </fill>
    <fill>
      <patternFill patternType="solid">
        <fgColor rgb="FF87CB3D"/>
        <bgColor rgb="FFFF99CC"/>
      </patternFill>
    </fill>
    <fill>
      <patternFill patternType="solid">
        <fgColor rgb="FFFDA56F"/>
        <bgColor rgb="FFFF99CC"/>
      </patternFill>
    </fill>
    <fill>
      <patternFill patternType="solid">
        <fgColor rgb="FFFF7171"/>
        <bgColor rgb="FFFF99CC"/>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s>
  <borders count="3">
    <border>
      <left/>
      <right/>
      <top/>
      <bottom/>
      <diagonal/>
    </border>
    <border>
      <left/>
      <right/>
      <top/>
      <bottom style="thin">
        <color auto="1"/>
      </bottom>
      <diagonal/>
    </border>
    <border>
      <left style="thin">
        <color rgb="FF7F7F7F"/>
      </left>
      <right style="thin">
        <color rgb="FF7F7F7F"/>
      </right>
      <top style="thin">
        <color rgb="FF7F7F7F"/>
      </top>
      <bottom style="thin">
        <color rgb="FF7F7F7F"/>
      </bottom>
      <diagonal/>
    </border>
  </borders>
  <cellStyleXfs count="9">
    <xf numFmtId="0" fontId="0" fillId="0" borderId="0"/>
    <xf numFmtId="0" fontId="4" fillId="0" borderId="0"/>
    <xf numFmtId="0" fontId="11" fillId="0" borderId="0" applyNumberFormat="0" applyFill="0" applyBorder="0" applyAlignment="0" applyProtection="0"/>
    <xf numFmtId="0" fontId="12" fillId="0" borderId="0" applyNumberFormat="0" applyFill="0" applyBorder="0" applyAlignment="0" applyProtection="0"/>
    <xf numFmtId="0" fontId="3" fillId="0" borderId="0"/>
    <xf numFmtId="0" fontId="13" fillId="6" borderId="0" applyNumberFormat="0" applyBorder="0" applyAlignment="0" applyProtection="0"/>
    <xf numFmtId="0" fontId="14" fillId="7" borderId="0" applyNumberFormat="0" applyBorder="0" applyAlignment="0" applyProtection="0"/>
    <xf numFmtId="0" fontId="15" fillId="8" borderId="0" applyNumberFormat="0" applyBorder="0" applyAlignment="0" applyProtection="0"/>
    <xf numFmtId="0" fontId="16" fillId="9" borderId="2" applyNumberFormat="0" applyAlignment="0" applyProtection="0"/>
  </cellStyleXfs>
  <cellXfs count="29">
    <xf numFmtId="0" fontId="0" fillId="0" borderId="0" xfId="0"/>
    <xf numFmtId="0" fontId="2" fillId="0" borderId="0" xfId="0" applyFont="1"/>
    <xf numFmtId="0" fontId="5" fillId="0" borderId="0" xfId="0" applyFont="1"/>
    <xf numFmtId="0" fontId="6" fillId="0" borderId="0" xfId="0" applyFont="1"/>
    <xf numFmtId="0" fontId="7" fillId="0" borderId="0" xfId="0" applyFont="1"/>
    <xf numFmtId="0" fontId="8" fillId="0" borderId="0" xfId="0" applyFont="1"/>
    <xf numFmtId="0" fontId="9" fillId="0" borderId="0" xfId="0" applyFont="1"/>
    <xf numFmtId="0" fontId="10" fillId="0" borderId="0" xfId="0" applyFont="1"/>
    <xf numFmtId="0" fontId="0" fillId="0" borderId="0" xfId="0" applyAlignment="1">
      <alignment horizontal="left"/>
    </xf>
    <xf numFmtId="0" fontId="1" fillId="2" borderId="1" xfId="1" applyFont="1" applyFill="1" applyBorder="1" applyAlignment="1">
      <alignment wrapText="1"/>
    </xf>
    <xf numFmtId="0" fontId="1" fillId="2" borderId="0" xfId="1" applyFont="1" applyFill="1" applyAlignment="1">
      <alignment wrapText="1"/>
    </xf>
    <xf numFmtId="0" fontId="1" fillId="3" borderId="1" xfId="1" applyFont="1" applyFill="1" applyBorder="1" applyAlignment="1">
      <alignment wrapText="1"/>
    </xf>
    <xf numFmtId="0" fontId="1" fillId="4" borderId="1" xfId="1" applyFont="1" applyFill="1" applyBorder="1" applyAlignment="1">
      <alignment wrapText="1"/>
    </xf>
    <xf numFmtId="0" fontId="1" fillId="5" borderId="1" xfId="1" applyFont="1" applyFill="1" applyBorder="1" applyAlignment="1">
      <alignment wrapText="1"/>
    </xf>
    <xf numFmtId="49" fontId="11" fillId="0" borderId="0" xfId="2" applyNumberFormat="1"/>
    <xf numFmtId="49" fontId="12" fillId="0" borderId="0" xfId="3" applyNumberFormat="1"/>
    <xf numFmtId="0" fontId="12" fillId="0" borderId="0" xfId="3"/>
    <xf numFmtId="0" fontId="13" fillId="6" borderId="0" xfId="5"/>
    <xf numFmtId="0" fontId="15" fillId="8" borderId="0" xfId="7"/>
    <xf numFmtId="0" fontId="14" fillId="7" borderId="0" xfId="6"/>
    <xf numFmtId="49" fontId="13" fillId="6" borderId="0" xfId="5" applyNumberFormat="1"/>
    <xf numFmtId="49" fontId="15" fillId="8" borderId="0" xfId="7" applyNumberFormat="1"/>
    <xf numFmtId="49" fontId="14" fillId="7" borderId="0" xfId="6" applyNumberFormat="1"/>
    <xf numFmtId="49" fontId="16" fillId="9" borderId="2" xfId="8" applyNumberFormat="1"/>
    <xf numFmtId="0" fontId="16" fillId="9" borderId="2" xfId="8"/>
    <xf numFmtId="0" fontId="13" fillId="6" borderId="0" xfId="5" applyBorder="1"/>
    <xf numFmtId="0" fontId="14" fillId="7" borderId="0" xfId="6" applyBorder="1"/>
    <xf numFmtId="0" fontId="15" fillId="8" borderId="0" xfId="7" applyBorder="1"/>
    <xf numFmtId="164" fontId="0" fillId="0" borderId="0" xfId="0" applyNumberFormat="1"/>
  </cellXfs>
  <cellStyles count="9">
    <cellStyle name="Bad" xfId="6" builtinId="27"/>
    <cellStyle name="Calculation" xfId="8" builtinId="22"/>
    <cellStyle name="Explanatory Text" xfId="3" builtinId="53"/>
    <cellStyle name="Good" xfId="5" builtinId="26"/>
    <cellStyle name="Heading 4" xfId="2" builtinId="19"/>
    <cellStyle name="Neutral" xfId="7" builtinId="28"/>
    <cellStyle name="Normal" xfId="0" builtinId="0"/>
    <cellStyle name="Normal 2" xfId="4" xr:uid="{91DB56C7-13B4-40B7-9643-8E98D5725448}"/>
    <cellStyle name="Standard_Data provided by OT3" xfId="1" xr:uid="{00000000-0005-0000-0000-00000600000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BBE33D"/>
      <rgbColor rgb="FFFFCC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mruColors>
      <color rgb="FFC49100"/>
      <color rgb="FFCC9900"/>
      <color rgb="FFFF7171"/>
      <color rgb="FFFECCB0"/>
      <color rgb="FFFDA56F"/>
      <color rgb="FF87CB3D"/>
      <color rgb="FFFFAFAF"/>
      <color rgb="FFEDFFE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20</xdr:col>
      <xdr:colOff>277965</xdr:colOff>
      <xdr:row>49</xdr:row>
      <xdr:rowOff>134671</xdr:rowOff>
    </xdr:to>
    <xdr:pic>
      <xdr:nvPicPr>
        <xdr:cNvPr id="3" name="Picture 2">
          <a:extLst>
            <a:ext uri="{FF2B5EF4-FFF2-40B4-BE49-F238E27FC236}">
              <a16:creationId xmlns:a16="http://schemas.microsoft.com/office/drawing/2014/main" id="{8DAE7551-65F7-490F-91DD-E827A3124141}"/>
            </a:ext>
          </a:extLst>
        </xdr:cNvPr>
        <xdr:cNvPicPr>
          <a:picLocks noChangeAspect="1"/>
        </xdr:cNvPicPr>
      </xdr:nvPicPr>
      <xdr:blipFill>
        <a:blip xmlns:r="http://schemas.openxmlformats.org/officeDocument/2006/relationships" r:embed="rId1"/>
        <a:stretch>
          <a:fillRect/>
        </a:stretch>
      </xdr:blipFill>
      <xdr:spPr>
        <a:xfrm>
          <a:off x="0" y="0"/>
          <a:ext cx="12469965" cy="9469171"/>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person displayName="Rasku Topi" id="{0FC40365-7D57-4FC2-80F3-DC368BAD6BC2}" userId="S::topi.rasku@vtt.fi::f32b0145-fb49-43de-bfc3-ef6b614a4dd4" providerId="AD"/>
</personList>
</file>

<file path=xl/theme/theme1.xml><?xml version="1.0" encoding="utf-8"?>
<a:theme xmlns:a="http://schemas.openxmlformats.org/drawingml/2006/main" name="Office Theme">
  <a:themeElements>
    <a:clrScheme name="LibreOffice">
      <a:dk1>
        <a:srgbClr val="000000"/>
      </a:dk1>
      <a:lt1>
        <a:srgbClr val="FFFFFF"/>
      </a:lt1>
      <a:dk2>
        <a:srgbClr val="000000"/>
      </a:dk2>
      <a:lt2>
        <a:srgbClr val="FFFFFF"/>
      </a:lt2>
      <a:accent1>
        <a:srgbClr val="18A303"/>
      </a:accent1>
      <a:accent2>
        <a:srgbClr val="0369A3"/>
      </a:accent2>
      <a:accent3>
        <a:srgbClr val="A33E03"/>
      </a:accent3>
      <a:accent4>
        <a:srgbClr val="8E03A3"/>
      </a:accent4>
      <a:accent5>
        <a:srgbClr val="C99C00"/>
      </a:accent5>
      <a:accent6>
        <a:srgbClr val="C9211E"/>
      </a:accent6>
      <a:hlink>
        <a:srgbClr val="0000EE"/>
      </a:hlink>
      <a:folHlink>
        <a:srgbClr val="551A8B"/>
      </a:folHlink>
    </a:clrScheme>
    <a:fontScheme name="Office">
      <a:majorFont>
        <a:latin typeface="Arial"/>
        <a:ea typeface="DejaVu Sans"/>
        <a:cs typeface="DejaVu Sans"/>
      </a:majorFont>
      <a:minorFont>
        <a:latin typeface="Arial"/>
        <a:ea typeface="DejaVu Sans"/>
        <a:cs typeface="DejaVu Sans"/>
      </a:minorFont>
    </a:fontScheme>
    <a:fmtScheme>
      <a:fillStyleLst>
        <a:solidFill>
          <a:schemeClr val="phClr"/>
        </a:solidFill>
        <a:solidFill>
          <a:schemeClr val="phClr"/>
        </a:solidFill>
        <a:solidFill>
          <a:schemeClr val="phClr"/>
        </a:solidFill>
      </a:fillStyleLst>
      <a:lnStyleLst>
        <a:ln w="6350" cap="flat" cmpd="sng" algn="ctr">
          <a:prstDash val="solid"/>
          <a:miter/>
        </a:ln>
        <a:ln w="6350" cap="flat" cmpd="sng" algn="ctr">
          <a:prstDash val="solid"/>
          <a:miter/>
        </a:ln>
        <a:ln w="6350" cap="flat" cmpd="sng" algn="ctr">
          <a:prstDash val="solid"/>
          <a:miter/>
        </a:ln>
      </a:lnStyleLst>
      <a:effectStyleLst>
        <a:effectStyle>
          <a:effectLst/>
        </a:effectStyle>
        <a:effectStyle>
          <a:effectLst/>
        </a:effectStyle>
        <a:effectStyle>
          <a:effectLst/>
        </a:effectStyle>
      </a:effectStyleLst>
      <a:bgFillStyleLst>
        <a:solidFill>
          <a:schemeClr val="phClr"/>
        </a:solidFill>
        <a:solidFill>
          <a:schemeClr val="phClr"/>
        </a:solidFill>
        <a:solidFill>
          <a:schemeClr val="phClr"/>
        </a:soli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L1" dT="2025-08-25T06:34:11.54" personId="{0FC40365-7D57-4FC2-80F3-DC368BAD6BC2}" id="{3F2FF353-1B69-443A-9B68-D61CA3E499A6}">
    <text>Roughly guesstimated based on DEA technology data for biomass fired CHP plants, since they seem to operate roughly in similar steam temperature ranges as LWRs.</text>
  </threadedComment>
  <threadedComment ref="N1" dT="2025-08-25T10:07:53.45" personId="{0FC40365-7D57-4FC2-80F3-DC368BAD6BC2}" id="{45DC4EFF-DACF-4B4F-9DB8-B7D320BE3D2F}">
    <text>Note that the variable O&amp;M costs mostly DON’T include the cost of spent nuclear fuel! Although some of the `nucMax` values might.</text>
  </threadedComment>
  <threadedComment ref="O1" dT="2025-08-25T05:07:38.37" personId="{0FC40365-7D57-4FC2-80F3-DC368BAD6BC2}" id="{3CF4BBB1-E5E0-4975-9077-CF983B040EA9}">
    <text>`minOperationHours` and `minShutDownHours` mostly based on EUR Document 2.2-2.1.2-C. SMRs are given the benefit of the doubt.</text>
  </threadedComment>
  <threadedComment ref="Q1" dT="2025-08-25T05:09:50.60" personId="{0FC40365-7D57-4FC2-80F3-DC368BAD6BC2}" id="{E316524C-40C6-4ADF-893E-A55434F5AB2E}">
    <text>Warm and Hot startup parameters guesstimated based on the Cold ones by scaling with the relative `minShutDownHours` difference.</text>
  </threadedComment>
  <threadedComment ref="S1" dT="2025-08-25T05:10:11.63" personId="{0FC40365-7D57-4FC2-80F3-DC368BAD6BC2}" id="{5660B841-ED65-4C4E-9F2B-091EB96AA3F6}">
    <text>Legacy data? Original source unknown, maybe derived from ERAA24?</text>
  </threadedComment>
  <threadedComment ref="T1" dT="2025-08-25T05:10:42.67" personId="{0FC40365-7D57-4FC2-80F3-DC368BAD6BC2}" id="{5EA40E23-E27B-4554-8092-4EB5A9505F76}">
    <text>Only two startup cost values found in literature, rest are guesstimated based on legacy data.</text>
  </threadedComment>
  <threadedComment ref="W1" dT="2025-08-25T05:16:01.16" personId="{0FC40365-7D57-4FC2-80F3-DC368BAD6BC2}" id="{E823D856-8B7B-4776-A1F3-660A988FE98C}">
    <text>`startWarmAfterXHours´ mostly based on EUR Document 2.2-2.1.2-C</text>
  </threadedComment>
  <threadedComment ref="X1" dT="2025-08-25T12:58:22.49" personId="{0FC40365-7D57-4FC2-80F3-DC368BAD6BC2}" id="{96E39AB5-377B-4A25-A9ED-F0280F75511F}">
    <text>4x times warm like in ERAA24</text>
  </threadedComment>
  <threadedComment ref="AA1" dT="2025-08-25T09:31:04.15" personId="{0FC40365-7D57-4FC2-80F3-DC368BAD6BC2}" id="{FEFEC0DB-B5CA-4B5F-A8A1-41078050B78C}">
    <text>The max and min unit sizes in each category are well defined, but the typical reactor sizes within them is somewhat assumed.</text>
  </threadedComment>
</ThreadedComment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663F0-AB1A-46E8-8388-53B6D5FF1219}">
  <dimension ref="A1:D87"/>
  <sheetViews>
    <sheetView tabSelected="1" topLeftCell="A20" workbookViewId="0">
      <selection activeCell="C38" sqref="C38"/>
    </sheetView>
  </sheetViews>
  <sheetFormatPr defaultRowHeight="15" x14ac:dyDescent="0.25"/>
  <cols>
    <col min="1" max="1" width="14.28515625" style="14" bestFit="1" customWidth="1"/>
    <col min="2" max="16384" width="9.140625" style="15"/>
  </cols>
  <sheetData>
    <row r="1" spans="1:3" x14ac:dyDescent="0.25">
      <c r="A1" s="14" t="s">
        <v>35</v>
      </c>
      <c r="B1" s="15" t="s">
        <v>36</v>
      </c>
    </row>
    <row r="2" spans="1:3" x14ac:dyDescent="0.25">
      <c r="A2" s="14" t="s">
        <v>37</v>
      </c>
      <c r="B2" s="15" t="s">
        <v>221</v>
      </c>
    </row>
    <row r="3" spans="1:3" x14ac:dyDescent="0.25">
      <c r="A3" s="14" t="s">
        <v>38</v>
      </c>
      <c r="B3" s="15" t="s">
        <v>39</v>
      </c>
    </row>
    <row r="4" spans="1:3" x14ac:dyDescent="0.25">
      <c r="A4" s="14" t="s">
        <v>40</v>
      </c>
      <c r="B4" s="15" t="s">
        <v>248</v>
      </c>
    </row>
    <row r="6" spans="1:3" x14ac:dyDescent="0.25">
      <c r="A6" s="14" t="s">
        <v>41</v>
      </c>
      <c r="B6" s="15" t="s">
        <v>182</v>
      </c>
    </row>
    <row r="7" spans="1:3" x14ac:dyDescent="0.25">
      <c r="B7" s="15" t="s">
        <v>45</v>
      </c>
    </row>
    <row r="8" spans="1:3" x14ac:dyDescent="0.25">
      <c r="B8" s="15" t="s">
        <v>226</v>
      </c>
    </row>
    <row r="9" spans="1:3" x14ac:dyDescent="0.25">
      <c r="B9" s="15" t="s">
        <v>47</v>
      </c>
    </row>
    <row r="11" spans="1:3" x14ac:dyDescent="0.25">
      <c r="B11" s="15" t="s">
        <v>255</v>
      </c>
    </row>
    <row r="12" spans="1:3" x14ac:dyDescent="0.25">
      <c r="C12" s="15" t="s">
        <v>178</v>
      </c>
    </row>
    <row r="13" spans="1:3" x14ac:dyDescent="0.25">
      <c r="C13" s="15" t="s">
        <v>128</v>
      </c>
    </row>
    <row r="14" spans="1:3" x14ac:dyDescent="0.25">
      <c r="C14" s="15" t="s">
        <v>222</v>
      </c>
    </row>
    <row r="15" spans="1:3" x14ac:dyDescent="0.25">
      <c r="C15" s="15" t="s">
        <v>131</v>
      </c>
    </row>
    <row r="16" spans="1:3" x14ac:dyDescent="0.25">
      <c r="C16" s="15" t="s">
        <v>179</v>
      </c>
    </row>
    <row r="17" spans="2:3" x14ac:dyDescent="0.25">
      <c r="B17" s="15" t="s">
        <v>256</v>
      </c>
    </row>
    <row r="18" spans="2:3" x14ac:dyDescent="0.25">
      <c r="C18" s="15" t="s">
        <v>249</v>
      </c>
    </row>
    <row r="19" spans="2:3" x14ac:dyDescent="0.25">
      <c r="C19" s="15" t="s">
        <v>250</v>
      </c>
    </row>
    <row r="20" spans="2:3" x14ac:dyDescent="0.25">
      <c r="C20" s="15" t="s">
        <v>251</v>
      </c>
    </row>
    <row r="21" spans="2:3" x14ac:dyDescent="0.25">
      <c r="C21" s="15" t="s">
        <v>252</v>
      </c>
    </row>
    <row r="23" spans="2:3" x14ac:dyDescent="0.25">
      <c r="B23" s="15" t="s">
        <v>145</v>
      </c>
    </row>
    <row r="24" spans="2:3" x14ac:dyDescent="0.25">
      <c r="C24" s="15" t="s">
        <v>141</v>
      </c>
    </row>
    <row r="25" spans="2:3" x14ac:dyDescent="0.25">
      <c r="C25" s="15" t="s">
        <v>171</v>
      </c>
    </row>
    <row r="26" spans="2:3" x14ac:dyDescent="0.25">
      <c r="C26" s="15" t="s">
        <v>225</v>
      </c>
    </row>
    <row r="27" spans="2:3" x14ac:dyDescent="0.25">
      <c r="B27" s="15" t="s">
        <v>257</v>
      </c>
    </row>
    <row r="29" spans="2:3" x14ac:dyDescent="0.25">
      <c r="B29" s="15" t="s">
        <v>146</v>
      </c>
    </row>
    <row r="30" spans="2:3" x14ac:dyDescent="0.25">
      <c r="B30" s="15" t="s">
        <v>147</v>
      </c>
    </row>
    <row r="31" spans="2:3" x14ac:dyDescent="0.25">
      <c r="B31" s="15" t="s">
        <v>148</v>
      </c>
    </row>
    <row r="32" spans="2:3" x14ac:dyDescent="0.25">
      <c r="B32" s="15" t="s">
        <v>258</v>
      </c>
    </row>
    <row r="34" spans="1:3" x14ac:dyDescent="0.25">
      <c r="B34" s="15" t="s">
        <v>223</v>
      </c>
    </row>
    <row r="35" spans="1:3" x14ac:dyDescent="0.25">
      <c r="B35" s="20" t="s">
        <v>184</v>
      </c>
      <c r="C35" s="15" t="s">
        <v>183</v>
      </c>
    </row>
    <row r="36" spans="1:3" x14ac:dyDescent="0.25">
      <c r="B36" s="21" t="s">
        <v>185</v>
      </c>
      <c r="C36" s="15" t="s">
        <v>190</v>
      </c>
    </row>
    <row r="37" spans="1:3" x14ac:dyDescent="0.25">
      <c r="B37" s="22" t="s">
        <v>186</v>
      </c>
      <c r="C37" s="15" t="s">
        <v>196</v>
      </c>
    </row>
    <row r="38" spans="1:3" x14ac:dyDescent="0.25">
      <c r="B38" s="23" t="s">
        <v>187</v>
      </c>
      <c r="C38" s="15" t="s">
        <v>188</v>
      </c>
    </row>
    <row r="40" spans="1:3" x14ac:dyDescent="0.25">
      <c r="A40" s="14" t="s">
        <v>42</v>
      </c>
    </row>
    <row r="41" spans="1:3" x14ac:dyDescent="0.25">
      <c r="A41" s="14" t="s">
        <v>224</v>
      </c>
      <c r="B41" s="15" t="s">
        <v>164</v>
      </c>
    </row>
    <row r="42" spans="1:3" x14ac:dyDescent="0.25">
      <c r="A42" s="14" t="s">
        <v>43</v>
      </c>
      <c r="B42" s="15" t="s">
        <v>44</v>
      </c>
    </row>
    <row r="44" spans="1:3" x14ac:dyDescent="0.25">
      <c r="A44" s="14" t="s">
        <v>46</v>
      </c>
      <c r="B44" s="15" t="s">
        <v>140</v>
      </c>
    </row>
    <row r="45" spans="1:3" x14ac:dyDescent="0.25">
      <c r="B45" s="15" t="s">
        <v>227</v>
      </c>
    </row>
    <row r="46" spans="1:3" x14ac:dyDescent="0.25">
      <c r="B46" s="15" t="s">
        <v>176</v>
      </c>
    </row>
    <row r="47" spans="1:3" x14ac:dyDescent="0.25">
      <c r="C47" s="15" t="s">
        <v>142</v>
      </c>
    </row>
    <row r="48" spans="1:3" x14ac:dyDescent="0.25">
      <c r="C48" s="15" t="s">
        <v>143</v>
      </c>
    </row>
    <row r="49" spans="2:4" x14ac:dyDescent="0.25">
      <c r="C49" s="15" t="s">
        <v>144</v>
      </c>
    </row>
    <row r="50" spans="2:4" x14ac:dyDescent="0.25">
      <c r="C50" s="15" t="s">
        <v>177</v>
      </c>
    </row>
    <row r="51" spans="2:4" x14ac:dyDescent="0.25">
      <c r="B51" s="15" t="s">
        <v>48</v>
      </c>
    </row>
    <row r="52" spans="2:4" x14ac:dyDescent="0.25">
      <c r="B52" s="15" t="s">
        <v>228</v>
      </c>
    </row>
    <row r="53" spans="2:4" x14ac:dyDescent="0.25">
      <c r="B53" s="15" t="s">
        <v>52</v>
      </c>
    </row>
    <row r="55" spans="2:4" x14ac:dyDescent="0.25">
      <c r="B55" s="15" t="s">
        <v>231</v>
      </c>
    </row>
    <row r="56" spans="2:4" x14ac:dyDescent="0.25">
      <c r="B56" s="15" t="s">
        <v>229</v>
      </c>
    </row>
    <row r="57" spans="2:4" x14ac:dyDescent="0.25">
      <c r="C57" s="15" t="s">
        <v>49</v>
      </c>
    </row>
    <row r="58" spans="2:4" x14ac:dyDescent="0.25">
      <c r="D58" s="15" t="s">
        <v>50</v>
      </c>
    </row>
    <row r="59" spans="2:4" x14ac:dyDescent="0.25">
      <c r="D59" s="15" t="s">
        <v>230</v>
      </c>
    </row>
    <row r="60" spans="2:4" x14ac:dyDescent="0.25">
      <c r="D60" s="15" t="s">
        <v>132</v>
      </c>
    </row>
    <row r="61" spans="2:4" x14ac:dyDescent="0.25">
      <c r="C61" s="15" t="s">
        <v>54</v>
      </c>
    </row>
    <row r="62" spans="2:4" x14ac:dyDescent="0.25">
      <c r="D62" s="15" t="s">
        <v>51</v>
      </c>
    </row>
    <row r="63" spans="2:4" x14ac:dyDescent="0.25">
      <c r="D63" s="15" t="s">
        <v>53</v>
      </c>
    </row>
    <row r="65" spans="2:4" x14ac:dyDescent="0.25">
      <c r="B65" s="15" t="s">
        <v>55</v>
      </c>
    </row>
    <row r="66" spans="2:4" x14ac:dyDescent="0.25">
      <c r="B66" s="15" t="s">
        <v>126</v>
      </c>
    </row>
    <row r="67" spans="2:4" x14ac:dyDescent="0.25">
      <c r="B67" s="15" t="s">
        <v>127</v>
      </c>
    </row>
    <row r="68" spans="2:4" x14ac:dyDescent="0.25">
      <c r="B68" s="15" t="s">
        <v>64</v>
      </c>
    </row>
    <row r="69" spans="2:4" x14ac:dyDescent="0.25">
      <c r="B69" s="15" t="s">
        <v>65</v>
      </c>
    </row>
    <row r="70" spans="2:4" x14ac:dyDescent="0.25">
      <c r="B70" s="15" t="s">
        <v>133</v>
      </c>
    </row>
    <row r="71" spans="2:4" x14ac:dyDescent="0.25">
      <c r="C71" s="15" t="s">
        <v>59</v>
      </c>
    </row>
    <row r="72" spans="2:4" x14ac:dyDescent="0.25">
      <c r="D72" s="15" t="s">
        <v>57</v>
      </c>
    </row>
    <row r="73" spans="2:4" x14ac:dyDescent="0.25">
      <c r="D73" s="15" t="s">
        <v>136</v>
      </c>
    </row>
    <row r="74" spans="2:4" x14ac:dyDescent="0.25">
      <c r="D74" s="15" t="s">
        <v>56</v>
      </c>
    </row>
    <row r="75" spans="2:4" x14ac:dyDescent="0.25">
      <c r="D75" s="15" t="s">
        <v>138</v>
      </c>
    </row>
    <row r="76" spans="2:4" x14ac:dyDescent="0.25">
      <c r="C76" s="15" t="s">
        <v>129</v>
      </c>
    </row>
    <row r="77" spans="2:4" x14ac:dyDescent="0.25">
      <c r="D77" s="15" t="s">
        <v>135</v>
      </c>
    </row>
    <row r="78" spans="2:4" x14ac:dyDescent="0.25">
      <c r="D78" s="15" t="s">
        <v>134</v>
      </c>
    </row>
    <row r="79" spans="2:4" x14ac:dyDescent="0.25">
      <c r="D79" s="15" t="s">
        <v>130</v>
      </c>
    </row>
    <row r="80" spans="2:4" x14ac:dyDescent="0.25">
      <c r="D80" s="15" t="s">
        <v>232</v>
      </c>
    </row>
    <row r="81" spans="3:4" x14ac:dyDescent="0.25">
      <c r="D81" s="15" t="s">
        <v>58</v>
      </c>
    </row>
    <row r="82" spans="3:4" x14ac:dyDescent="0.25">
      <c r="C82" s="15" t="s">
        <v>60</v>
      </c>
    </row>
    <row r="83" spans="3:4" x14ac:dyDescent="0.25">
      <c r="D83" s="15" t="s">
        <v>62</v>
      </c>
    </row>
    <row r="84" spans="3:4" x14ac:dyDescent="0.25">
      <c r="D84" s="15" t="s">
        <v>137</v>
      </c>
    </row>
    <row r="85" spans="3:4" x14ac:dyDescent="0.25">
      <c r="D85" s="15" t="s">
        <v>61</v>
      </c>
    </row>
    <row r="86" spans="3:4" x14ac:dyDescent="0.25">
      <c r="D86" s="15" t="s">
        <v>139</v>
      </c>
    </row>
    <row r="87" spans="3:4" x14ac:dyDescent="0.25">
      <c r="D87" s="15" t="s">
        <v>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666E7C-55B1-4C4C-A9E3-DDF36BAAB86E}">
  <dimension ref="A51:B143"/>
  <sheetViews>
    <sheetView workbookViewId="0">
      <selection activeCell="A56" sqref="A56"/>
    </sheetView>
  </sheetViews>
  <sheetFormatPr defaultRowHeight="15" x14ac:dyDescent="0.25"/>
  <cols>
    <col min="1" max="1" width="9.140625" style="16"/>
  </cols>
  <sheetData>
    <row r="51" spans="1:2" x14ac:dyDescent="0.25">
      <c r="A51" s="16" t="s">
        <v>161</v>
      </c>
    </row>
    <row r="52" spans="1:2" x14ac:dyDescent="0.25">
      <c r="A52" s="16" t="s">
        <v>162</v>
      </c>
    </row>
    <row r="54" spans="1:2" x14ac:dyDescent="0.25">
      <c r="A54" s="16" t="s">
        <v>163</v>
      </c>
    </row>
    <row r="55" spans="1:2" x14ac:dyDescent="0.25">
      <c r="A55" s="16" t="s">
        <v>218</v>
      </c>
    </row>
    <row r="57" spans="1:2" x14ac:dyDescent="0.25">
      <c r="A57" s="16" t="s">
        <v>217</v>
      </c>
      <c r="B57" s="16" t="s">
        <v>75</v>
      </c>
    </row>
    <row r="58" spans="1:2" x14ac:dyDescent="0.25">
      <c r="B58" s="16" t="s">
        <v>76</v>
      </c>
    </row>
    <row r="59" spans="1:2" x14ac:dyDescent="0.25">
      <c r="B59" s="16" t="s">
        <v>77</v>
      </c>
    </row>
    <row r="60" spans="1:2" x14ac:dyDescent="0.25">
      <c r="B60" s="16" t="s">
        <v>78</v>
      </c>
    </row>
    <row r="61" spans="1:2" x14ac:dyDescent="0.25">
      <c r="B61" s="16" t="s">
        <v>79</v>
      </c>
    </row>
    <row r="62" spans="1:2" x14ac:dyDescent="0.25">
      <c r="B62" s="16" t="s">
        <v>80</v>
      </c>
    </row>
    <row r="63" spans="1:2" x14ac:dyDescent="0.25">
      <c r="B63" s="16" t="s">
        <v>81</v>
      </c>
    </row>
    <row r="64" spans="1:2" x14ac:dyDescent="0.25">
      <c r="B64" s="16" t="s">
        <v>82</v>
      </c>
    </row>
    <row r="65" spans="1:2" x14ac:dyDescent="0.25">
      <c r="A65" s="16" t="s">
        <v>217</v>
      </c>
      <c r="B65" s="16" t="s">
        <v>83</v>
      </c>
    </row>
    <row r="66" spans="1:2" x14ac:dyDescent="0.25">
      <c r="B66" s="16" t="s">
        <v>84</v>
      </c>
    </row>
    <row r="67" spans="1:2" x14ac:dyDescent="0.25">
      <c r="B67" s="16" t="s">
        <v>85</v>
      </c>
    </row>
    <row r="68" spans="1:2" x14ac:dyDescent="0.25">
      <c r="B68" s="16" t="s">
        <v>86</v>
      </c>
    </row>
    <row r="69" spans="1:2" x14ac:dyDescent="0.25">
      <c r="B69" s="16" t="s">
        <v>87</v>
      </c>
    </row>
    <row r="70" spans="1:2" x14ac:dyDescent="0.25">
      <c r="B70" s="16" t="s">
        <v>88</v>
      </c>
    </row>
    <row r="71" spans="1:2" x14ac:dyDescent="0.25">
      <c r="B71" s="16" t="s">
        <v>89</v>
      </c>
    </row>
    <row r="72" spans="1:2" x14ac:dyDescent="0.25">
      <c r="A72" s="16" t="s">
        <v>217</v>
      </c>
      <c r="B72" s="16" t="s">
        <v>90</v>
      </c>
    </row>
    <row r="73" spans="1:2" x14ac:dyDescent="0.25">
      <c r="B73" s="16" t="s">
        <v>91</v>
      </c>
    </row>
    <row r="74" spans="1:2" x14ac:dyDescent="0.25">
      <c r="B74" s="16" t="s">
        <v>92</v>
      </c>
    </row>
    <row r="75" spans="1:2" x14ac:dyDescent="0.25">
      <c r="B75" s="16" t="s">
        <v>93</v>
      </c>
    </row>
    <row r="76" spans="1:2" x14ac:dyDescent="0.25">
      <c r="B76" s="16" t="s">
        <v>94</v>
      </c>
    </row>
    <row r="77" spans="1:2" x14ac:dyDescent="0.25">
      <c r="B77" s="16" t="s">
        <v>95</v>
      </c>
    </row>
    <row r="78" spans="1:2" x14ac:dyDescent="0.25">
      <c r="B78" s="16" t="s">
        <v>96</v>
      </c>
    </row>
    <row r="79" spans="1:2" x14ac:dyDescent="0.25">
      <c r="B79" s="16" t="s">
        <v>97</v>
      </c>
    </row>
    <row r="80" spans="1:2" x14ac:dyDescent="0.25">
      <c r="B80" s="16" t="s">
        <v>98</v>
      </c>
    </row>
    <row r="81" spans="1:2" x14ac:dyDescent="0.25">
      <c r="A81" s="16" t="s">
        <v>217</v>
      </c>
      <c r="B81" s="16" t="s">
        <v>149</v>
      </c>
    </row>
    <row r="82" spans="1:2" x14ac:dyDescent="0.25">
      <c r="B82" s="16" t="s">
        <v>150</v>
      </c>
    </row>
    <row r="83" spans="1:2" x14ac:dyDescent="0.25">
      <c r="B83" s="16" t="s">
        <v>151</v>
      </c>
    </row>
    <row r="84" spans="1:2" x14ac:dyDescent="0.25">
      <c r="B84" s="16" t="s">
        <v>152</v>
      </c>
    </row>
    <row r="85" spans="1:2" x14ac:dyDescent="0.25">
      <c r="B85" s="16" t="s">
        <v>99</v>
      </c>
    </row>
    <row r="86" spans="1:2" x14ac:dyDescent="0.25">
      <c r="B86" s="16" t="s">
        <v>153</v>
      </c>
    </row>
    <row r="87" spans="1:2" x14ac:dyDescent="0.25">
      <c r="B87" s="16" t="s">
        <v>100</v>
      </c>
    </row>
    <row r="88" spans="1:2" x14ac:dyDescent="0.25">
      <c r="B88" s="16" t="s">
        <v>101</v>
      </c>
    </row>
    <row r="89" spans="1:2" x14ac:dyDescent="0.25">
      <c r="B89" s="16" t="s">
        <v>154</v>
      </c>
    </row>
    <row r="90" spans="1:2" x14ac:dyDescent="0.25">
      <c r="B90" s="16" t="s">
        <v>102</v>
      </c>
    </row>
    <row r="91" spans="1:2" x14ac:dyDescent="0.25">
      <c r="B91" s="16" t="s">
        <v>103</v>
      </c>
    </row>
    <row r="92" spans="1:2" x14ac:dyDescent="0.25">
      <c r="B92" s="16" t="s">
        <v>155</v>
      </c>
    </row>
    <row r="93" spans="1:2" x14ac:dyDescent="0.25">
      <c r="B93" s="16" t="s">
        <v>104</v>
      </c>
    </row>
    <row r="94" spans="1:2" x14ac:dyDescent="0.25">
      <c r="B94" s="16" t="s">
        <v>156</v>
      </c>
    </row>
    <row r="95" spans="1:2" x14ac:dyDescent="0.25">
      <c r="B95" s="16" t="s">
        <v>105</v>
      </c>
    </row>
    <row r="96" spans="1:2" x14ac:dyDescent="0.25">
      <c r="B96" s="16" t="s">
        <v>157</v>
      </c>
    </row>
    <row r="97" spans="2:2" x14ac:dyDescent="0.25">
      <c r="B97" s="16" t="s">
        <v>106</v>
      </c>
    </row>
    <row r="98" spans="2:2" x14ac:dyDescent="0.25">
      <c r="B98" s="16">
        <v>2022</v>
      </c>
    </row>
    <row r="99" spans="2:2" x14ac:dyDescent="0.25">
      <c r="B99" s="16" t="s">
        <v>158</v>
      </c>
    </row>
    <row r="100" spans="2:2" x14ac:dyDescent="0.25">
      <c r="B100" s="16" t="s">
        <v>107</v>
      </c>
    </row>
    <row r="101" spans="2:2" x14ac:dyDescent="0.25">
      <c r="B101" s="16" t="s">
        <v>108</v>
      </c>
    </row>
    <row r="102" spans="2:2" x14ac:dyDescent="0.25">
      <c r="B102" s="16" t="s">
        <v>197</v>
      </c>
    </row>
    <row r="103" spans="2:2" x14ac:dyDescent="0.25">
      <c r="B103" s="16" t="s">
        <v>198</v>
      </c>
    </row>
    <row r="104" spans="2:2" x14ac:dyDescent="0.25">
      <c r="B104" s="16" t="s">
        <v>199</v>
      </c>
    </row>
    <row r="105" spans="2:2" x14ac:dyDescent="0.25">
      <c r="B105" s="16" t="s">
        <v>200</v>
      </c>
    </row>
    <row r="106" spans="2:2" x14ac:dyDescent="0.25">
      <c r="B106" s="16" t="s">
        <v>201</v>
      </c>
    </row>
    <row r="107" spans="2:2" x14ac:dyDescent="0.25">
      <c r="B107" s="16" t="s">
        <v>109</v>
      </c>
    </row>
    <row r="108" spans="2:2" x14ac:dyDescent="0.25">
      <c r="B108" s="16" t="s">
        <v>202</v>
      </c>
    </row>
    <row r="109" spans="2:2" x14ac:dyDescent="0.25">
      <c r="B109" s="16" t="s">
        <v>203</v>
      </c>
    </row>
    <row r="110" spans="2:2" x14ac:dyDescent="0.25">
      <c r="B110" s="16" t="s">
        <v>204</v>
      </c>
    </row>
    <row r="111" spans="2:2" x14ac:dyDescent="0.25">
      <c r="B111" s="16" t="s">
        <v>110</v>
      </c>
    </row>
    <row r="112" spans="2:2" x14ac:dyDescent="0.25">
      <c r="B112" s="16" t="s">
        <v>205</v>
      </c>
    </row>
    <row r="113" spans="1:2" x14ac:dyDescent="0.25">
      <c r="B113" s="16" t="s">
        <v>111</v>
      </c>
    </row>
    <row r="114" spans="1:2" x14ac:dyDescent="0.25">
      <c r="B114" s="16" t="s">
        <v>112</v>
      </c>
    </row>
    <row r="115" spans="1:2" x14ac:dyDescent="0.25">
      <c r="A115" s="16" t="s">
        <v>217</v>
      </c>
      <c r="B115" s="16" t="s">
        <v>206</v>
      </c>
    </row>
    <row r="116" spans="1:2" x14ac:dyDescent="0.25">
      <c r="B116" s="16" t="s">
        <v>113</v>
      </c>
    </row>
    <row r="117" spans="1:2" x14ac:dyDescent="0.25">
      <c r="B117" s="16" t="s">
        <v>114</v>
      </c>
    </row>
    <row r="118" spans="1:2" x14ac:dyDescent="0.25">
      <c r="B118" s="16" t="s">
        <v>207</v>
      </c>
    </row>
    <row r="119" spans="1:2" x14ac:dyDescent="0.25">
      <c r="B119" s="16" t="s">
        <v>115</v>
      </c>
    </row>
    <row r="120" spans="1:2" x14ac:dyDescent="0.25">
      <c r="B120" s="16" t="s">
        <v>116</v>
      </c>
    </row>
    <row r="121" spans="1:2" x14ac:dyDescent="0.25">
      <c r="A121" s="16" t="s">
        <v>217</v>
      </c>
      <c r="B121" s="16" t="s">
        <v>208</v>
      </c>
    </row>
    <row r="122" spans="1:2" x14ac:dyDescent="0.25">
      <c r="B122" s="16" t="s">
        <v>117</v>
      </c>
    </row>
    <row r="123" spans="1:2" x14ac:dyDescent="0.25">
      <c r="B123" s="16" t="s">
        <v>118</v>
      </c>
    </row>
    <row r="124" spans="1:2" x14ac:dyDescent="0.25">
      <c r="B124" s="16" t="s">
        <v>119</v>
      </c>
    </row>
    <row r="125" spans="1:2" x14ac:dyDescent="0.25">
      <c r="A125" s="16" t="s">
        <v>217</v>
      </c>
      <c r="B125" s="16" t="s">
        <v>209</v>
      </c>
    </row>
    <row r="126" spans="1:2" x14ac:dyDescent="0.25">
      <c r="B126" s="16">
        <v>2024</v>
      </c>
    </row>
    <row r="127" spans="1:2" x14ac:dyDescent="0.25">
      <c r="A127" s="16" t="s">
        <v>217</v>
      </c>
      <c r="B127" s="16" t="s">
        <v>210</v>
      </c>
    </row>
    <row r="128" spans="1:2" x14ac:dyDescent="0.25">
      <c r="B128" s="16" t="s">
        <v>211</v>
      </c>
    </row>
    <row r="129" spans="1:2" x14ac:dyDescent="0.25">
      <c r="B129" s="16" t="s">
        <v>120</v>
      </c>
    </row>
    <row r="130" spans="1:2" x14ac:dyDescent="0.25">
      <c r="B130" s="16" t="s">
        <v>121</v>
      </c>
    </row>
    <row r="131" spans="1:2" x14ac:dyDescent="0.25">
      <c r="B131" s="16" t="s">
        <v>212</v>
      </c>
    </row>
    <row r="132" spans="1:2" x14ac:dyDescent="0.25">
      <c r="B132" s="16" t="s">
        <v>122</v>
      </c>
    </row>
    <row r="133" spans="1:2" x14ac:dyDescent="0.25">
      <c r="B133" s="16" t="s">
        <v>123</v>
      </c>
    </row>
    <row r="134" spans="1:2" x14ac:dyDescent="0.25">
      <c r="B134" s="16" t="s">
        <v>213</v>
      </c>
    </row>
    <row r="135" spans="1:2" x14ac:dyDescent="0.25">
      <c r="B135" s="16" t="s">
        <v>124</v>
      </c>
    </row>
    <row r="136" spans="1:2" x14ac:dyDescent="0.25">
      <c r="B136" s="16" t="s">
        <v>112</v>
      </c>
    </row>
    <row r="137" spans="1:2" x14ac:dyDescent="0.25">
      <c r="B137" s="16" t="s">
        <v>214</v>
      </c>
    </row>
    <row r="138" spans="1:2" x14ac:dyDescent="0.25">
      <c r="B138" s="16" t="s">
        <v>125</v>
      </c>
    </row>
    <row r="139" spans="1:2" x14ac:dyDescent="0.25">
      <c r="B139" s="16">
        <v>2025</v>
      </c>
    </row>
    <row r="140" spans="1:2" x14ac:dyDescent="0.25">
      <c r="B140" s="16" t="s">
        <v>215</v>
      </c>
    </row>
    <row r="141" spans="1:2" x14ac:dyDescent="0.25">
      <c r="A141" s="16" t="s">
        <v>217</v>
      </c>
      <c r="B141" s="16" t="s">
        <v>216</v>
      </c>
    </row>
    <row r="142" spans="1:2" x14ac:dyDescent="0.25">
      <c r="B142" s="16" t="s">
        <v>159</v>
      </c>
    </row>
    <row r="143" spans="1:2" x14ac:dyDescent="0.25">
      <c r="B143" s="16" t="s">
        <v>160</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L133"/>
  <sheetViews>
    <sheetView zoomScaleNormal="100" workbookViewId="0">
      <pane xSplit="4" ySplit="1" topLeftCell="E67" activePane="bottomRight" state="frozen"/>
      <selection pane="topRight" activeCell="E1" sqref="E1"/>
      <selection pane="bottomLeft" activeCell="A2" sqref="A2"/>
      <selection pane="bottomRight" activeCell="H86" sqref="H86"/>
    </sheetView>
  </sheetViews>
  <sheetFormatPr defaultColWidth="8.42578125" defaultRowHeight="15" x14ac:dyDescent="0.25"/>
  <cols>
    <col min="1" max="1" width="13.42578125" bestFit="1" customWidth="1"/>
    <col min="2" max="2" width="7.7109375" customWidth="1"/>
    <col min="3" max="3" width="37" bestFit="1" customWidth="1"/>
    <col min="4" max="4" width="23.85546875" bestFit="1" customWidth="1"/>
    <col min="5" max="5" width="16.5703125" customWidth="1"/>
    <col min="6" max="6" width="18.42578125" customWidth="1"/>
    <col min="7" max="7" width="14.42578125" bestFit="1" customWidth="1"/>
    <col min="8" max="9" width="12.7109375" customWidth="1"/>
    <col min="10" max="13" width="10.140625" customWidth="1"/>
    <col min="14" max="14" width="12.7109375" customWidth="1"/>
    <col min="15" max="15" width="20.140625" customWidth="1"/>
    <col min="16" max="16" width="17.7109375" customWidth="1"/>
    <col min="17" max="17" width="17.140625" customWidth="1"/>
    <col min="18" max="18" width="17.5703125" customWidth="1"/>
    <col min="19" max="19" width="15.7109375" customWidth="1"/>
    <col min="20" max="20" width="14" customWidth="1"/>
    <col min="21" max="21" width="14.7109375" customWidth="1"/>
    <col min="22" max="22" width="14.5703125" customWidth="1"/>
    <col min="23" max="27" width="8.42578125" customWidth="1"/>
    <col min="28" max="28" width="14" customWidth="1"/>
    <col min="29" max="35" width="10.140625" customWidth="1"/>
    <col min="1032" max="1032" width="9.140625" customWidth="1"/>
  </cols>
  <sheetData>
    <row r="1" spans="1:36" ht="48" customHeight="1" x14ac:dyDescent="0.25">
      <c r="A1" s="11" t="s">
        <v>19</v>
      </c>
      <c r="B1" s="11" t="s">
        <v>20</v>
      </c>
      <c r="C1" s="12" t="s">
        <v>0</v>
      </c>
      <c r="D1" s="12" t="s">
        <v>25</v>
      </c>
      <c r="E1" s="13" t="s">
        <v>23</v>
      </c>
      <c r="F1" s="13" t="s">
        <v>21</v>
      </c>
      <c r="G1" s="13" t="s">
        <v>22</v>
      </c>
      <c r="H1" s="9" t="s">
        <v>26</v>
      </c>
      <c r="I1" s="9" t="s">
        <v>27</v>
      </c>
      <c r="J1" s="10" t="s">
        <v>28</v>
      </c>
      <c r="K1" s="10" t="s">
        <v>29</v>
      </c>
      <c r="L1" s="10" t="s">
        <v>15</v>
      </c>
      <c r="M1" s="10" t="s">
        <v>18</v>
      </c>
      <c r="N1" s="9" t="s">
        <v>1</v>
      </c>
      <c r="O1" s="9" t="s">
        <v>2</v>
      </c>
      <c r="P1" s="9" t="s">
        <v>3</v>
      </c>
      <c r="Q1" s="9" t="s">
        <v>4</v>
      </c>
      <c r="R1" s="10" t="s">
        <v>5</v>
      </c>
      <c r="S1" s="9" t="s">
        <v>6</v>
      </c>
      <c r="T1" s="9" t="s">
        <v>7</v>
      </c>
      <c r="U1" s="9" t="s">
        <v>8</v>
      </c>
      <c r="V1" s="9" t="s">
        <v>9</v>
      </c>
      <c r="W1" s="9" t="s">
        <v>10</v>
      </c>
      <c r="X1" s="9" t="s">
        <v>11</v>
      </c>
      <c r="Y1" s="10" t="s">
        <v>12</v>
      </c>
      <c r="Z1" s="10" t="s">
        <v>13</v>
      </c>
      <c r="AA1" s="10" t="s">
        <v>14</v>
      </c>
      <c r="AB1" s="9" t="s">
        <v>30</v>
      </c>
      <c r="AC1" s="10" t="s">
        <v>34</v>
      </c>
      <c r="AD1" s="10" t="s">
        <v>32</v>
      </c>
      <c r="AE1" s="10" t="s">
        <v>33</v>
      </c>
      <c r="AF1" s="10" t="s">
        <v>220</v>
      </c>
      <c r="AG1" s="10" t="s">
        <v>219</v>
      </c>
      <c r="AH1" s="10" t="s">
        <v>191</v>
      </c>
      <c r="AI1" s="10" t="s">
        <v>193</v>
      </c>
      <c r="AJ1" s="10" t="s">
        <v>31</v>
      </c>
    </row>
    <row r="2" spans="1:36" x14ac:dyDescent="0.25">
      <c r="A2" t="s">
        <v>181</v>
      </c>
      <c r="B2">
        <v>1</v>
      </c>
      <c r="C2" t="s">
        <v>166</v>
      </c>
      <c r="D2" t="s">
        <v>69</v>
      </c>
      <c r="E2" t="s">
        <v>16</v>
      </c>
      <c r="F2" t="s">
        <v>17</v>
      </c>
      <c r="H2" s="17">
        <v>0.31</v>
      </c>
      <c r="I2" s="17">
        <v>0.31</v>
      </c>
      <c r="J2" s="17">
        <v>0.2</v>
      </c>
      <c r="K2" s="17">
        <v>1</v>
      </c>
      <c r="N2" s="18">
        <v>1.2</v>
      </c>
      <c r="O2" s="18">
        <v>2</v>
      </c>
      <c r="P2" s="18">
        <v>2</v>
      </c>
      <c r="Q2" s="24">
        <f t="shared" ref="Q2:Q69" si="0">ROUND(S2/2,2)</f>
        <v>1.95</v>
      </c>
      <c r="R2" s="26">
        <v>5</v>
      </c>
      <c r="S2" s="19">
        <v>3.89</v>
      </c>
      <c r="T2" s="19">
        <v>300</v>
      </c>
      <c r="U2" s="24">
        <f>ROUND(Q2/2,2)</f>
        <v>0.98</v>
      </c>
      <c r="V2" s="24">
        <f>ROUND(R2/2,2)</f>
        <v>2.5</v>
      </c>
      <c r="W2" s="18">
        <v>36</v>
      </c>
      <c r="X2" s="24">
        <f>W2*4</f>
        <v>144</v>
      </c>
      <c r="Y2" s="17">
        <v>5.0000000000000001E-3</v>
      </c>
      <c r="Z2" s="17">
        <v>5.0000000000000001E-3</v>
      </c>
      <c r="AA2" s="17">
        <v>300</v>
      </c>
      <c r="AB2" s="24">
        <f t="shared" ref="AB2:AB15" si="1">T2</f>
        <v>300</v>
      </c>
      <c r="AC2" s="17">
        <f>100000*AI2</f>
        <v>90000</v>
      </c>
      <c r="AD2" s="17">
        <f>1700000*AI2</f>
        <v>1530000</v>
      </c>
      <c r="AE2" s="28">
        <f>-PMT(AG2,AF2,1)</f>
        <v>7.5009138873610326E-2</v>
      </c>
      <c r="AF2" s="17">
        <v>40</v>
      </c>
      <c r="AG2">
        <v>7.0000000000000007E-2</v>
      </c>
      <c r="AI2">
        <v>0.9</v>
      </c>
    </row>
    <row r="3" spans="1:36" x14ac:dyDescent="0.25">
      <c r="A3" t="s">
        <v>66</v>
      </c>
      <c r="B3">
        <v>1</v>
      </c>
      <c r="C3" t="s">
        <v>166</v>
      </c>
      <c r="D3" t="s">
        <v>69</v>
      </c>
      <c r="E3" t="s">
        <v>16</v>
      </c>
      <c r="F3" t="s">
        <v>17</v>
      </c>
      <c r="H3" s="17">
        <v>0.32</v>
      </c>
      <c r="I3" s="17">
        <v>0.32</v>
      </c>
      <c r="J3" s="17">
        <v>0.4</v>
      </c>
      <c r="K3" s="17">
        <v>1</v>
      </c>
      <c r="N3" s="17">
        <v>1.9</v>
      </c>
      <c r="O3" s="18">
        <v>6</v>
      </c>
      <c r="P3" s="18">
        <v>10</v>
      </c>
      <c r="Q3" s="24">
        <f t="shared" si="0"/>
        <v>1.95</v>
      </c>
      <c r="R3" s="26">
        <v>11</v>
      </c>
      <c r="S3" s="19">
        <v>3.89</v>
      </c>
      <c r="T3" s="19">
        <v>400</v>
      </c>
      <c r="U3" s="24">
        <f t="shared" ref="U3:U11" si="2">ROUND(Q3/2,2)</f>
        <v>0.98</v>
      </c>
      <c r="V3" s="24">
        <f t="shared" ref="V3:V11" si="3">ROUND(R3/2,2)</f>
        <v>5.5</v>
      </c>
      <c r="W3" s="18">
        <v>36</v>
      </c>
      <c r="X3" s="24">
        <f t="shared" ref="X3:X69" si="4">W3*4</f>
        <v>144</v>
      </c>
      <c r="Y3" s="17">
        <v>0.01</v>
      </c>
      <c r="Z3" s="17">
        <v>0.01</v>
      </c>
      <c r="AA3" s="18">
        <v>600</v>
      </c>
      <c r="AB3" s="24">
        <f t="shared" si="1"/>
        <v>400</v>
      </c>
      <c r="AC3" s="17">
        <f>126000*AI3</f>
        <v>113400</v>
      </c>
      <c r="AD3" s="17">
        <f>2250000*AI3</f>
        <v>2025000</v>
      </c>
      <c r="AE3" s="28">
        <f t="shared" ref="AE3:AE78" si="5">-PMT(AG3,AF3,1)</f>
        <v>7.2459849539607671E-2</v>
      </c>
      <c r="AF3" s="17">
        <v>50</v>
      </c>
      <c r="AG3">
        <v>7.0000000000000007E-2</v>
      </c>
      <c r="AI3">
        <v>0.9</v>
      </c>
    </row>
    <row r="4" spans="1:36" x14ac:dyDescent="0.25">
      <c r="A4" t="s">
        <v>67</v>
      </c>
      <c r="B4">
        <v>1</v>
      </c>
      <c r="C4" t="s">
        <v>166</v>
      </c>
      <c r="D4" t="s">
        <v>69</v>
      </c>
      <c r="E4" t="s">
        <v>16</v>
      </c>
      <c r="F4" t="s">
        <v>17</v>
      </c>
      <c r="H4" s="17">
        <v>0.33</v>
      </c>
      <c r="I4" s="17">
        <v>0.33</v>
      </c>
      <c r="J4" s="17">
        <v>0.5</v>
      </c>
      <c r="K4" s="17">
        <v>1</v>
      </c>
      <c r="N4" s="17">
        <v>2.8</v>
      </c>
      <c r="O4" s="18">
        <v>8</v>
      </c>
      <c r="P4" s="18">
        <v>24</v>
      </c>
      <c r="Q4" s="24">
        <f t="shared" si="0"/>
        <v>1.95</v>
      </c>
      <c r="R4" s="27">
        <v>21</v>
      </c>
      <c r="S4" s="19">
        <v>3.89</v>
      </c>
      <c r="T4" s="18">
        <v>500</v>
      </c>
      <c r="U4" s="24">
        <f t="shared" si="2"/>
        <v>0.98</v>
      </c>
      <c r="V4" s="24">
        <f t="shared" si="3"/>
        <v>10.5</v>
      </c>
      <c r="W4" s="18">
        <v>36</v>
      </c>
      <c r="X4" s="24">
        <f t="shared" si="4"/>
        <v>144</v>
      </c>
      <c r="Y4" s="17">
        <v>0.03</v>
      </c>
      <c r="Z4" s="17">
        <v>0.03</v>
      </c>
      <c r="AA4" s="18">
        <v>1000</v>
      </c>
      <c r="AB4" s="24">
        <f t="shared" si="1"/>
        <v>500</v>
      </c>
      <c r="AC4" s="17">
        <f>175000*AI4</f>
        <v>157500</v>
      </c>
      <c r="AD4" s="17">
        <f>4750000*AI4</f>
        <v>4275000</v>
      </c>
      <c r="AE4" s="28">
        <f t="shared" si="5"/>
        <v>7.122922550001945E-2</v>
      </c>
      <c r="AF4" s="17">
        <v>60</v>
      </c>
      <c r="AG4">
        <v>7.0000000000000007E-2</v>
      </c>
      <c r="AI4">
        <v>0.9</v>
      </c>
      <c r="AJ4" t="s">
        <v>189</v>
      </c>
    </row>
    <row r="5" spans="1:36" x14ac:dyDescent="0.25">
      <c r="A5" t="s">
        <v>68</v>
      </c>
      <c r="B5">
        <v>1</v>
      </c>
      <c r="C5" t="s">
        <v>166</v>
      </c>
      <c r="D5" t="s">
        <v>69</v>
      </c>
      <c r="E5" t="s">
        <v>16</v>
      </c>
      <c r="F5" t="s">
        <v>17</v>
      </c>
      <c r="H5" s="17">
        <v>0.34</v>
      </c>
      <c r="I5" s="17">
        <v>0.34</v>
      </c>
      <c r="J5" s="17">
        <v>0.8</v>
      </c>
      <c r="K5" s="17">
        <v>1</v>
      </c>
      <c r="N5" s="17">
        <v>3.4</v>
      </c>
      <c r="O5" s="18">
        <v>12</v>
      </c>
      <c r="P5" s="18">
        <v>40</v>
      </c>
      <c r="Q5" s="24">
        <f t="shared" si="0"/>
        <v>1.95</v>
      </c>
      <c r="R5" s="26">
        <v>31</v>
      </c>
      <c r="S5" s="19">
        <v>3.89</v>
      </c>
      <c r="T5" s="19">
        <v>600</v>
      </c>
      <c r="U5" s="24">
        <f t="shared" si="2"/>
        <v>0.98</v>
      </c>
      <c r="V5" s="24">
        <f t="shared" si="3"/>
        <v>15.5</v>
      </c>
      <c r="W5" s="18">
        <v>36</v>
      </c>
      <c r="X5" s="24">
        <f t="shared" si="4"/>
        <v>144</v>
      </c>
      <c r="Y5" s="17">
        <v>0.05</v>
      </c>
      <c r="Z5" s="17">
        <v>0.05</v>
      </c>
      <c r="AA5" s="18">
        <v>1300</v>
      </c>
      <c r="AB5" s="24">
        <f t="shared" si="1"/>
        <v>600</v>
      </c>
      <c r="AC5" s="17">
        <f>204000*AI5</f>
        <v>183600</v>
      </c>
      <c r="AD5" s="17">
        <f>7750000*AI5</f>
        <v>6975000</v>
      </c>
      <c r="AE5" s="28">
        <f t="shared" si="5"/>
        <v>7.0619527184264883E-2</v>
      </c>
      <c r="AF5" s="18">
        <v>70</v>
      </c>
      <c r="AG5">
        <v>7.0000000000000007E-2</v>
      </c>
      <c r="AI5">
        <v>0.9</v>
      </c>
    </row>
    <row r="6" spans="1:36" x14ac:dyDescent="0.25">
      <c r="A6" t="s">
        <v>180</v>
      </c>
      <c r="B6">
        <v>1</v>
      </c>
      <c r="C6" t="s">
        <v>166</v>
      </c>
      <c r="D6" t="s">
        <v>69</v>
      </c>
      <c r="E6" t="s">
        <v>16</v>
      </c>
      <c r="F6" t="s">
        <v>17</v>
      </c>
      <c r="H6" s="17">
        <v>0.36</v>
      </c>
      <c r="I6" s="17">
        <v>0.36</v>
      </c>
      <c r="J6" s="17">
        <v>0.95</v>
      </c>
      <c r="K6" s="17">
        <v>1</v>
      </c>
      <c r="N6" s="18">
        <v>16.399999999999999</v>
      </c>
      <c r="O6" s="18">
        <v>96</v>
      </c>
      <c r="P6" s="18">
        <v>96</v>
      </c>
      <c r="Q6" s="24">
        <f t="shared" si="0"/>
        <v>1.95</v>
      </c>
      <c r="R6" s="26">
        <v>100</v>
      </c>
      <c r="S6" s="19">
        <v>3.89</v>
      </c>
      <c r="T6" s="19">
        <v>2000</v>
      </c>
      <c r="U6" s="24">
        <f t="shared" si="2"/>
        <v>0.98</v>
      </c>
      <c r="V6" s="24">
        <f t="shared" si="3"/>
        <v>50</v>
      </c>
      <c r="W6" s="18">
        <v>36</v>
      </c>
      <c r="X6" s="24">
        <f t="shared" si="4"/>
        <v>144</v>
      </c>
      <c r="Y6" s="17">
        <v>0.1</v>
      </c>
      <c r="Z6" s="17">
        <v>0.2</v>
      </c>
      <c r="AA6" s="17">
        <v>1750</v>
      </c>
      <c r="AB6" s="24">
        <f t="shared" si="1"/>
        <v>2000</v>
      </c>
      <c r="AC6" s="19">
        <f>230000*AI6</f>
        <v>207000</v>
      </c>
      <c r="AD6" s="17">
        <f>16000000*AI6</f>
        <v>14400000</v>
      </c>
      <c r="AE6" s="28">
        <f t="shared" si="5"/>
        <v>7.0313571760871663E-2</v>
      </c>
      <c r="AF6" s="18">
        <v>80</v>
      </c>
      <c r="AG6">
        <v>7.0000000000000007E-2</v>
      </c>
      <c r="AI6">
        <v>0.9</v>
      </c>
    </row>
    <row r="7" spans="1:36" x14ac:dyDescent="0.25">
      <c r="A7" t="s">
        <v>246</v>
      </c>
      <c r="B7">
        <v>1</v>
      </c>
      <c r="C7" t="s">
        <v>166</v>
      </c>
      <c r="D7" t="s">
        <v>69</v>
      </c>
      <c r="E7" t="s">
        <v>16</v>
      </c>
      <c r="F7" t="s">
        <v>17</v>
      </c>
      <c r="H7" s="24">
        <f>H2</f>
        <v>0.31</v>
      </c>
      <c r="I7" s="24">
        <f>I2</f>
        <v>0.31</v>
      </c>
      <c r="J7" s="24">
        <f>J6</f>
        <v>0.95</v>
      </c>
      <c r="K7" s="24">
        <f>K6</f>
        <v>1</v>
      </c>
      <c r="N7" s="24">
        <f>N6</f>
        <v>16.399999999999999</v>
      </c>
      <c r="O7" s="24">
        <f>O6</f>
        <v>96</v>
      </c>
      <c r="P7" s="24">
        <f>P6</f>
        <v>96</v>
      </c>
      <c r="Q7" s="24">
        <f>Q6</f>
        <v>1.95</v>
      </c>
      <c r="R7" s="24">
        <f>R6</f>
        <v>100</v>
      </c>
      <c r="S7" s="24">
        <f>S6</f>
        <v>3.89</v>
      </c>
      <c r="T7" s="24">
        <f>T6</f>
        <v>2000</v>
      </c>
      <c r="U7" s="24">
        <f>U6</f>
        <v>0.98</v>
      </c>
      <c r="V7" s="24">
        <f>V6</f>
        <v>50</v>
      </c>
      <c r="W7" s="24">
        <f>W6</f>
        <v>36</v>
      </c>
      <c r="X7" s="24">
        <f>X6</f>
        <v>144</v>
      </c>
      <c r="Y7" s="24">
        <f>Y2</f>
        <v>5.0000000000000001E-3</v>
      </c>
      <c r="Z7" s="24">
        <f>Z2</f>
        <v>5.0000000000000001E-3</v>
      </c>
      <c r="AA7" s="24">
        <f>AA6</f>
        <v>1750</v>
      </c>
      <c r="AB7" s="24">
        <f>AB6</f>
        <v>2000</v>
      </c>
      <c r="AC7" s="24">
        <f>AC6</f>
        <v>207000</v>
      </c>
      <c r="AD7" s="24">
        <f>AD6</f>
        <v>14400000</v>
      </c>
      <c r="AE7" s="28">
        <f t="shared" si="5"/>
        <v>7.5009138873610326E-2</v>
      </c>
      <c r="AF7" s="24">
        <f>AF2</f>
        <v>40</v>
      </c>
      <c r="AG7">
        <v>7.0000000000000007E-2</v>
      </c>
      <c r="AJ7" t="s">
        <v>253</v>
      </c>
    </row>
    <row r="8" spans="1:36" x14ac:dyDescent="0.25">
      <c r="A8" t="s">
        <v>247</v>
      </c>
      <c r="B8">
        <v>1</v>
      </c>
      <c r="C8" t="s">
        <v>166</v>
      </c>
      <c r="D8" t="s">
        <v>69</v>
      </c>
      <c r="E8" t="s">
        <v>16</v>
      </c>
      <c r="F8" t="s">
        <v>17</v>
      </c>
      <c r="H8" s="24">
        <f>H3</f>
        <v>0.32</v>
      </c>
      <c r="I8" s="24">
        <f>I3</f>
        <v>0.32</v>
      </c>
      <c r="J8" s="24">
        <f>J5</f>
        <v>0.8</v>
      </c>
      <c r="K8" s="24">
        <f>K5</f>
        <v>1</v>
      </c>
      <c r="N8" s="24">
        <f>N5</f>
        <v>3.4</v>
      </c>
      <c r="O8" s="24">
        <f>O5</f>
        <v>12</v>
      </c>
      <c r="P8" s="24">
        <f>P5</f>
        <v>40</v>
      </c>
      <c r="Q8" s="24">
        <f>Q5</f>
        <v>1.95</v>
      </c>
      <c r="R8" s="24">
        <f>R5</f>
        <v>31</v>
      </c>
      <c r="S8" s="24">
        <f>S5</f>
        <v>3.89</v>
      </c>
      <c r="T8" s="24">
        <f>T5</f>
        <v>600</v>
      </c>
      <c r="U8" s="24">
        <f>U5</f>
        <v>0.98</v>
      </c>
      <c r="V8" s="24">
        <f>V5</f>
        <v>15.5</v>
      </c>
      <c r="W8" s="24">
        <f>W5</f>
        <v>36</v>
      </c>
      <c r="X8" s="24">
        <f>X5</f>
        <v>144</v>
      </c>
      <c r="Y8" s="24">
        <f>Y3</f>
        <v>0.01</v>
      </c>
      <c r="Z8" s="24">
        <f>Z3</f>
        <v>0.01</v>
      </c>
      <c r="AA8" s="24">
        <f>AA5</f>
        <v>1300</v>
      </c>
      <c r="AB8" s="24">
        <f>AB5</f>
        <v>600</v>
      </c>
      <c r="AC8" s="24">
        <f>AC5</f>
        <v>183600</v>
      </c>
      <c r="AD8" s="24">
        <f>AD5</f>
        <v>6975000</v>
      </c>
      <c r="AE8" s="28">
        <f t="shared" si="5"/>
        <v>7.2459849539607671E-2</v>
      </c>
      <c r="AF8" s="24">
        <f>AF3</f>
        <v>50</v>
      </c>
      <c r="AG8">
        <v>7.0000000000000007E-2</v>
      </c>
      <c r="AJ8" t="s">
        <v>254</v>
      </c>
    </row>
    <row r="9" spans="1:36" x14ac:dyDescent="0.25">
      <c r="A9" t="s">
        <v>243</v>
      </c>
      <c r="B9">
        <v>1</v>
      </c>
      <c r="C9" t="s">
        <v>166</v>
      </c>
      <c r="D9" t="s">
        <v>69</v>
      </c>
      <c r="E9" t="s">
        <v>16</v>
      </c>
      <c r="F9" t="s">
        <v>17</v>
      </c>
      <c r="H9" s="24">
        <f>H5</f>
        <v>0.34</v>
      </c>
      <c r="I9" s="24">
        <f>I5</f>
        <v>0.34</v>
      </c>
      <c r="J9" s="24">
        <f>J3</f>
        <v>0.4</v>
      </c>
      <c r="K9" s="24">
        <f>K5</f>
        <v>1</v>
      </c>
      <c r="N9" s="24">
        <f>N3</f>
        <v>1.9</v>
      </c>
      <c r="O9" s="24">
        <f t="shared" ref="O9:P9" si="6">O3</f>
        <v>6</v>
      </c>
      <c r="P9" s="24">
        <f t="shared" si="6"/>
        <v>10</v>
      </c>
      <c r="Q9" s="24">
        <f>Q3</f>
        <v>1.95</v>
      </c>
      <c r="R9" s="24">
        <f>R3</f>
        <v>11</v>
      </c>
      <c r="S9" s="24">
        <f t="shared" ref="S9:X9" si="7">S3</f>
        <v>3.89</v>
      </c>
      <c r="T9" s="24">
        <f t="shared" si="7"/>
        <v>400</v>
      </c>
      <c r="U9" s="24">
        <f t="shared" si="7"/>
        <v>0.98</v>
      </c>
      <c r="V9" s="24">
        <f t="shared" si="7"/>
        <v>5.5</v>
      </c>
      <c r="W9" s="24">
        <f t="shared" si="7"/>
        <v>36</v>
      </c>
      <c r="X9" s="24">
        <f t="shared" si="7"/>
        <v>144</v>
      </c>
      <c r="Y9" s="24">
        <f>Y5</f>
        <v>0.05</v>
      </c>
      <c r="Z9" s="24">
        <f>Z5</f>
        <v>0.05</v>
      </c>
      <c r="AA9" s="24">
        <f>AA3</f>
        <v>600</v>
      </c>
      <c r="AB9" s="24">
        <f>AB3</f>
        <v>400</v>
      </c>
      <c r="AC9" s="24">
        <f>AC3</f>
        <v>113400</v>
      </c>
      <c r="AD9" s="24">
        <f>AD3</f>
        <v>2025000</v>
      </c>
      <c r="AE9" s="28">
        <f t="shared" si="5"/>
        <v>7.0619527184264883E-2</v>
      </c>
      <c r="AF9" s="24">
        <f>AF5</f>
        <v>70</v>
      </c>
      <c r="AG9">
        <v>7.0000000000000007E-2</v>
      </c>
      <c r="AJ9" t="s">
        <v>244</v>
      </c>
    </row>
    <row r="10" spans="1:36" x14ac:dyDescent="0.25">
      <c r="A10" t="s">
        <v>242</v>
      </c>
      <c r="B10">
        <v>1</v>
      </c>
      <c r="C10" t="s">
        <v>166</v>
      </c>
      <c r="D10" t="s">
        <v>69</v>
      </c>
      <c r="E10" t="s">
        <v>16</v>
      </c>
      <c r="F10" t="s">
        <v>17</v>
      </c>
      <c r="H10" s="24">
        <f>H6</f>
        <v>0.36</v>
      </c>
      <c r="I10" s="24">
        <f>I6</f>
        <v>0.36</v>
      </c>
      <c r="J10" s="24">
        <f>J2</f>
        <v>0.2</v>
      </c>
      <c r="K10" s="24">
        <f>K6</f>
        <v>1</v>
      </c>
      <c r="N10" s="24">
        <f>N2</f>
        <v>1.2</v>
      </c>
      <c r="O10" s="24">
        <f t="shared" ref="O10:P10" si="8">O2</f>
        <v>2</v>
      </c>
      <c r="P10" s="24">
        <f t="shared" si="8"/>
        <v>2</v>
      </c>
      <c r="Q10" s="24">
        <f t="shared" ref="Q10:X10" si="9">Q2</f>
        <v>1.95</v>
      </c>
      <c r="R10" s="24">
        <f t="shared" si="9"/>
        <v>5</v>
      </c>
      <c r="S10" s="24">
        <f t="shared" si="9"/>
        <v>3.89</v>
      </c>
      <c r="T10" s="24">
        <f t="shared" si="9"/>
        <v>300</v>
      </c>
      <c r="U10" s="24">
        <f t="shared" si="9"/>
        <v>0.98</v>
      </c>
      <c r="V10" s="24">
        <f t="shared" si="9"/>
        <v>2.5</v>
      </c>
      <c r="W10" s="24">
        <f t="shared" si="9"/>
        <v>36</v>
      </c>
      <c r="X10" s="24">
        <f t="shared" si="9"/>
        <v>144</v>
      </c>
      <c r="Y10" s="24">
        <f>Y6</f>
        <v>0.1</v>
      </c>
      <c r="Z10" s="24">
        <f>Z6</f>
        <v>0.2</v>
      </c>
      <c r="AA10" s="24">
        <f>AA2</f>
        <v>300</v>
      </c>
      <c r="AB10" s="24">
        <f>AB2</f>
        <v>300</v>
      </c>
      <c r="AC10" s="24">
        <f>AC2</f>
        <v>90000</v>
      </c>
      <c r="AD10" s="24">
        <f>AD2</f>
        <v>1530000</v>
      </c>
      <c r="AE10" s="28">
        <f t="shared" si="5"/>
        <v>7.0313571760871663E-2</v>
      </c>
      <c r="AF10" s="24">
        <f>AF6</f>
        <v>80</v>
      </c>
      <c r="AG10">
        <v>7.0000000000000007E-2</v>
      </c>
      <c r="AJ10" t="s">
        <v>245</v>
      </c>
    </row>
    <row r="11" spans="1:36" x14ac:dyDescent="0.25">
      <c r="A11" t="s">
        <v>181</v>
      </c>
      <c r="B11">
        <v>1</v>
      </c>
      <c r="C11" t="s">
        <v>165</v>
      </c>
      <c r="D11" t="s">
        <v>70</v>
      </c>
      <c r="E11" t="s">
        <v>16</v>
      </c>
      <c r="F11" t="s">
        <v>17</v>
      </c>
      <c r="G11" t="s">
        <v>24</v>
      </c>
      <c r="H11" s="18">
        <v>0.61</v>
      </c>
      <c r="I11" s="18">
        <v>0.61</v>
      </c>
      <c r="J11" s="17">
        <v>0.2</v>
      </c>
      <c r="K11" s="17">
        <v>1</v>
      </c>
      <c r="L11" s="26">
        <v>0.2</v>
      </c>
      <c r="M11" s="19">
        <v>-0.17</v>
      </c>
      <c r="N11" s="24">
        <f>ROUND(N2*AH11,2)</f>
        <v>1.2</v>
      </c>
      <c r="O11" s="18">
        <v>2</v>
      </c>
      <c r="P11" s="18">
        <v>2</v>
      </c>
      <c r="Q11" s="24">
        <f t="shared" si="0"/>
        <v>1.95</v>
      </c>
      <c r="R11" s="24">
        <f>R2*AH11</f>
        <v>5</v>
      </c>
      <c r="S11" s="19">
        <v>3.89</v>
      </c>
      <c r="T11" s="24">
        <f>T2*AH11</f>
        <v>300</v>
      </c>
      <c r="U11" s="24">
        <f t="shared" si="2"/>
        <v>0.98</v>
      </c>
      <c r="V11" s="24">
        <f t="shared" si="3"/>
        <v>2.5</v>
      </c>
      <c r="W11" s="18">
        <v>36</v>
      </c>
      <c r="X11" s="24">
        <f t="shared" si="4"/>
        <v>144</v>
      </c>
      <c r="Y11" s="17">
        <v>5.0000000000000001E-3</v>
      </c>
      <c r="Z11" s="17">
        <v>5.0000000000000001E-3</v>
      </c>
      <c r="AA11" s="17">
        <v>300</v>
      </c>
      <c r="AB11" s="24">
        <f t="shared" si="1"/>
        <v>300</v>
      </c>
      <c r="AC11" s="24">
        <f>AC2*AH11</f>
        <v>90000</v>
      </c>
      <c r="AD11" s="24">
        <f>AD2*AH11</f>
        <v>1530000</v>
      </c>
      <c r="AE11" s="28">
        <f t="shared" si="5"/>
        <v>7.5009138873610326E-2</v>
      </c>
      <c r="AF11" s="17">
        <v>40</v>
      </c>
      <c r="AG11">
        <v>7.0000000000000007E-2</v>
      </c>
      <c r="AH11">
        <v>1</v>
      </c>
    </row>
    <row r="12" spans="1:36" x14ac:dyDescent="0.25">
      <c r="A12" t="s">
        <v>66</v>
      </c>
      <c r="B12">
        <v>1</v>
      </c>
      <c r="C12" t="s">
        <v>165</v>
      </c>
      <c r="D12" t="s">
        <v>70</v>
      </c>
      <c r="E12" t="s">
        <v>16</v>
      </c>
      <c r="F12" t="s">
        <v>17</v>
      </c>
      <c r="G12" t="s">
        <v>24</v>
      </c>
      <c r="H12" s="17">
        <v>0.81</v>
      </c>
      <c r="I12" s="17">
        <v>0.81</v>
      </c>
      <c r="J12" s="17">
        <v>0.4</v>
      </c>
      <c r="K12" s="17">
        <v>1</v>
      </c>
      <c r="L12" s="26">
        <v>0.3</v>
      </c>
      <c r="M12" s="26">
        <v>-0.16</v>
      </c>
      <c r="N12" s="24">
        <f>ROUND(N3*AH12,2)</f>
        <v>2.0099999999999998</v>
      </c>
      <c r="O12" s="18">
        <v>6</v>
      </c>
      <c r="P12" s="18">
        <v>10</v>
      </c>
      <c r="Q12" s="24">
        <f t="shared" si="0"/>
        <v>1.95</v>
      </c>
      <c r="R12" s="24">
        <f>R3*AH12</f>
        <v>11.66</v>
      </c>
      <c r="S12" s="19">
        <v>3.89</v>
      </c>
      <c r="T12" s="24">
        <f>T3*AH12</f>
        <v>424</v>
      </c>
      <c r="U12" s="24">
        <f t="shared" ref="U12:U69" si="10">ROUND(Q12/2,2)</f>
        <v>0.98</v>
      </c>
      <c r="V12" s="24">
        <f t="shared" ref="V12:V69" si="11">ROUND(R12/2,2)</f>
        <v>5.83</v>
      </c>
      <c r="W12" s="18">
        <v>36</v>
      </c>
      <c r="X12" s="24">
        <f t="shared" si="4"/>
        <v>144</v>
      </c>
      <c r="Y12" s="17">
        <v>0.01</v>
      </c>
      <c r="Z12" s="17">
        <v>0.01</v>
      </c>
      <c r="AA12" s="18">
        <v>600</v>
      </c>
      <c r="AB12" s="24">
        <f t="shared" si="1"/>
        <v>424</v>
      </c>
      <c r="AC12" s="24">
        <f>AC3*AH12</f>
        <v>120204</v>
      </c>
      <c r="AD12" s="24">
        <f>AD3*AH12</f>
        <v>2146500</v>
      </c>
      <c r="AE12" s="28">
        <f t="shared" si="5"/>
        <v>7.2459849539607671E-2</v>
      </c>
      <c r="AF12" s="17">
        <v>50</v>
      </c>
      <c r="AG12">
        <v>7.0000000000000007E-2</v>
      </c>
      <c r="AH12">
        <v>1.06</v>
      </c>
    </row>
    <row r="13" spans="1:36" x14ac:dyDescent="0.25">
      <c r="A13" t="s">
        <v>67</v>
      </c>
      <c r="B13">
        <v>1</v>
      </c>
      <c r="C13" t="s">
        <v>165</v>
      </c>
      <c r="D13" t="s">
        <v>70</v>
      </c>
      <c r="E13" t="s">
        <v>16</v>
      </c>
      <c r="F13" t="s">
        <v>17</v>
      </c>
      <c r="G13" t="s">
        <v>24</v>
      </c>
      <c r="H13" s="17">
        <v>0.875</v>
      </c>
      <c r="I13" s="17">
        <v>0.875</v>
      </c>
      <c r="J13" s="17">
        <v>0.5</v>
      </c>
      <c r="K13" s="17">
        <v>1</v>
      </c>
      <c r="L13" s="26">
        <v>0.4</v>
      </c>
      <c r="M13" s="26">
        <v>-0.15</v>
      </c>
      <c r="N13" s="24">
        <f>ROUND(N4*AH13,2)</f>
        <v>3.11</v>
      </c>
      <c r="O13" s="18">
        <v>8</v>
      </c>
      <c r="P13" s="18">
        <v>24</v>
      </c>
      <c r="Q13" s="24">
        <f t="shared" si="0"/>
        <v>1.95</v>
      </c>
      <c r="R13" s="24">
        <f>R4*AH13</f>
        <v>23.310000000000002</v>
      </c>
      <c r="S13" s="19">
        <v>3.89</v>
      </c>
      <c r="T13" s="24">
        <f>T4*AH13</f>
        <v>555</v>
      </c>
      <c r="U13" s="24">
        <f t="shared" si="10"/>
        <v>0.98</v>
      </c>
      <c r="V13" s="24">
        <f t="shared" si="11"/>
        <v>11.66</v>
      </c>
      <c r="W13" s="18">
        <v>36</v>
      </c>
      <c r="X13" s="24">
        <f t="shared" si="4"/>
        <v>144</v>
      </c>
      <c r="Y13" s="17">
        <v>0.03</v>
      </c>
      <c r="Z13" s="17">
        <v>0.03</v>
      </c>
      <c r="AA13" s="18">
        <v>1000</v>
      </c>
      <c r="AB13" s="24">
        <f t="shared" si="1"/>
        <v>555</v>
      </c>
      <c r="AC13" s="24">
        <f>AC4*AH13</f>
        <v>174825.00000000003</v>
      </c>
      <c r="AD13" s="24">
        <f>AD4*AH13</f>
        <v>4745250</v>
      </c>
      <c r="AE13" s="28">
        <f t="shared" si="5"/>
        <v>7.122922550001945E-2</v>
      </c>
      <c r="AF13" s="17">
        <v>60</v>
      </c>
      <c r="AG13">
        <v>7.0000000000000007E-2</v>
      </c>
      <c r="AH13">
        <v>1.1100000000000001</v>
      </c>
      <c r="AJ13" t="s">
        <v>192</v>
      </c>
    </row>
    <row r="14" spans="1:36" x14ac:dyDescent="0.25">
      <c r="A14" t="s">
        <v>68</v>
      </c>
      <c r="B14">
        <v>1</v>
      </c>
      <c r="C14" t="s">
        <v>165</v>
      </c>
      <c r="D14" t="s">
        <v>70</v>
      </c>
      <c r="E14" t="s">
        <v>16</v>
      </c>
      <c r="F14" t="s">
        <v>17</v>
      </c>
      <c r="G14" t="s">
        <v>24</v>
      </c>
      <c r="H14" s="17">
        <v>0.9</v>
      </c>
      <c r="I14" s="17">
        <v>0.9</v>
      </c>
      <c r="J14" s="17">
        <v>0.8</v>
      </c>
      <c r="K14" s="17">
        <v>1</v>
      </c>
      <c r="L14" s="26">
        <v>0.5</v>
      </c>
      <c r="M14" s="26">
        <v>-0.14000000000000001</v>
      </c>
      <c r="N14" s="24">
        <f>ROUND(N5*AH14,2)</f>
        <v>3.91</v>
      </c>
      <c r="O14" s="18">
        <v>12</v>
      </c>
      <c r="P14" s="18">
        <v>40</v>
      </c>
      <c r="Q14" s="24">
        <f t="shared" si="0"/>
        <v>1.95</v>
      </c>
      <c r="R14" s="24">
        <f>R5*AH14</f>
        <v>35.65</v>
      </c>
      <c r="S14" s="19">
        <v>3.89</v>
      </c>
      <c r="T14" s="24">
        <f>T5*AH14</f>
        <v>690</v>
      </c>
      <c r="U14" s="24">
        <f t="shared" si="10"/>
        <v>0.98</v>
      </c>
      <c r="V14" s="24">
        <f t="shared" si="11"/>
        <v>17.829999999999998</v>
      </c>
      <c r="W14" s="18">
        <v>36</v>
      </c>
      <c r="X14" s="24">
        <f t="shared" si="4"/>
        <v>144</v>
      </c>
      <c r="Y14" s="17">
        <v>0.05</v>
      </c>
      <c r="Z14" s="17">
        <v>0.05</v>
      </c>
      <c r="AA14" s="18">
        <v>1300</v>
      </c>
      <c r="AB14" s="24">
        <f t="shared" si="1"/>
        <v>690</v>
      </c>
      <c r="AC14" s="24">
        <f>AC5*AH14</f>
        <v>211139.99999999997</v>
      </c>
      <c r="AD14" s="24">
        <f>AD5*AH14</f>
        <v>8021249.9999999991</v>
      </c>
      <c r="AE14" s="28">
        <f t="shared" si="5"/>
        <v>7.0619527184264883E-2</v>
      </c>
      <c r="AF14" s="18">
        <v>70</v>
      </c>
      <c r="AG14">
        <v>7.0000000000000007E-2</v>
      </c>
      <c r="AH14">
        <v>1.1499999999999999</v>
      </c>
    </row>
    <row r="15" spans="1:36" x14ac:dyDescent="0.25">
      <c r="A15" t="s">
        <v>180</v>
      </c>
      <c r="B15">
        <v>1</v>
      </c>
      <c r="C15" t="s">
        <v>165</v>
      </c>
      <c r="D15" t="s">
        <v>70</v>
      </c>
      <c r="E15" t="s">
        <v>16</v>
      </c>
      <c r="F15" t="s">
        <v>17</v>
      </c>
      <c r="G15" t="s">
        <v>24</v>
      </c>
      <c r="H15" s="17">
        <v>0.94</v>
      </c>
      <c r="I15" s="17">
        <v>0.94</v>
      </c>
      <c r="J15" s="17">
        <v>0.95</v>
      </c>
      <c r="K15" s="17">
        <v>1</v>
      </c>
      <c r="L15" s="26">
        <v>0.6</v>
      </c>
      <c r="M15" s="26">
        <v>-0.13</v>
      </c>
      <c r="N15" s="24">
        <f>ROUND(N6*AH15,2)</f>
        <v>20.010000000000002</v>
      </c>
      <c r="O15" s="18">
        <v>96</v>
      </c>
      <c r="P15" s="18">
        <v>96</v>
      </c>
      <c r="Q15" s="24">
        <f t="shared" si="0"/>
        <v>1.95</v>
      </c>
      <c r="R15" s="24">
        <f>R6*AH15</f>
        <v>122</v>
      </c>
      <c r="S15" s="19">
        <v>3.89</v>
      </c>
      <c r="T15" s="24">
        <f>T6*AH15</f>
        <v>2440</v>
      </c>
      <c r="U15" s="24">
        <f t="shared" si="10"/>
        <v>0.98</v>
      </c>
      <c r="V15" s="24">
        <f t="shared" si="11"/>
        <v>61</v>
      </c>
      <c r="W15" s="18">
        <v>36</v>
      </c>
      <c r="X15" s="24">
        <f t="shared" si="4"/>
        <v>144</v>
      </c>
      <c r="Y15" s="17">
        <v>0.1</v>
      </c>
      <c r="Z15" s="17">
        <v>0.2</v>
      </c>
      <c r="AA15" s="17">
        <v>1750</v>
      </c>
      <c r="AB15" s="24">
        <f t="shared" si="1"/>
        <v>2440</v>
      </c>
      <c r="AC15" s="24">
        <f>AC6*AH15</f>
        <v>252540</v>
      </c>
      <c r="AD15" s="24">
        <f>AD6*AH15</f>
        <v>17568000</v>
      </c>
      <c r="AE15" s="28">
        <f t="shared" si="5"/>
        <v>7.0313571760871663E-2</v>
      </c>
      <c r="AF15" s="18">
        <v>80</v>
      </c>
      <c r="AG15">
        <v>7.0000000000000007E-2</v>
      </c>
      <c r="AH15">
        <v>1.22</v>
      </c>
    </row>
    <row r="16" spans="1:36" x14ac:dyDescent="0.25">
      <c r="A16" t="s">
        <v>246</v>
      </c>
      <c r="B16">
        <v>1</v>
      </c>
      <c r="C16" t="s">
        <v>165</v>
      </c>
      <c r="D16" t="s">
        <v>70</v>
      </c>
      <c r="E16" t="s">
        <v>16</v>
      </c>
      <c r="F16" t="s">
        <v>17</v>
      </c>
      <c r="G16" t="s">
        <v>24</v>
      </c>
      <c r="H16" s="24">
        <f>H11</f>
        <v>0.61</v>
      </c>
      <c r="I16" s="24">
        <f>I11</f>
        <v>0.61</v>
      </c>
      <c r="J16" s="24">
        <f>J15</f>
        <v>0.95</v>
      </c>
      <c r="K16" s="24">
        <f>K15</f>
        <v>1</v>
      </c>
      <c r="L16" s="24">
        <f>L11</f>
        <v>0.2</v>
      </c>
      <c r="M16" s="24">
        <f>M11</f>
        <v>-0.17</v>
      </c>
      <c r="N16" s="24">
        <f>N15</f>
        <v>20.010000000000002</v>
      </c>
      <c r="O16" s="24">
        <f>O15</f>
        <v>96</v>
      </c>
      <c r="P16" s="24">
        <f>P15</f>
        <v>96</v>
      </c>
      <c r="Q16" s="24">
        <f>Q15</f>
        <v>1.95</v>
      </c>
      <c r="R16" s="24">
        <f>R15</f>
        <v>122</v>
      </c>
      <c r="S16" s="24">
        <f>S15</f>
        <v>3.89</v>
      </c>
      <c r="T16" s="24">
        <f>T15</f>
        <v>2440</v>
      </c>
      <c r="U16" s="24">
        <f>U15</f>
        <v>0.98</v>
      </c>
      <c r="V16" s="24">
        <f>V15</f>
        <v>61</v>
      </c>
      <c r="W16" s="24">
        <f>W15</f>
        <v>36</v>
      </c>
      <c r="X16" s="24">
        <f>X15</f>
        <v>144</v>
      </c>
      <c r="Y16" s="24">
        <f>Y11</f>
        <v>5.0000000000000001E-3</v>
      </c>
      <c r="Z16" s="24">
        <f>Z11</f>
        <v>5.0000000000000001E-3</v>
      </c>
      <c r="AA16" s="24">
        <f>AA15</f>
        <v>1750</v>
      </c>
      <c r="AB16" s="24">
        <f>AB15</f>
        <v>2440</v>
      </c>
      <c r="AC16" s="24">
        <f>AC15</f>
        <v>252540</v>
      </c>
      <c r="AD16" s="24">
        <f>AD15</f>
        <v>17568000</v>
      </c>
      <c r="AE16" s="28">
        <f t="shared" ref="AE16:AE17" si="12">-PMT(AG16,AF16,1)</f>
        <v>7.5009138873610326E-2</v>
      </c>
      <c r="AF16" s="24">
        <f>AF11</f>
        <v>40</v>
      </c>
      <c r="AG16">
        <v>7.0000000000000007E-2</v>
      </c>
      <c r="AJ16" t="s">
        <v>253</v>
      </c>
    </row>
    <row r="17" spans="1:36" x14ac:dyDescent="0.25">
      <c r="A17" t="s">
        <v>247</v>
      </c>
      <c r="B17">
        <v>1</v>
      </c>
      <c r="C17" t="s">
        <v>165</v>
      </c>
      <c r="D17" t="s">
        <v>70</v>
      </c>
      <c r="E17" t="s">
        <v>16</v>
      </c>
      <c r="F17" t="s">
        <v>17</v>
      </c>
      <c r="G17" t="s">
        <v>24</v>
      </c>
      <c r="H17" s="24">
        <f>H12</f>
        <v>0.81</v>
      </c>
      <c r="I17" s="24">
        <f>I12</f>
        <v>0.81</v>
      </c>
      <c r="J17" s="24">
        <f>J14</f>
        <v>0.8</v>
      </c>
      <c r="K17" s="24">
        <f>K14</f>
        <v>1</v>
      </c>
      <c r="L17" s="24">
        <f>L12</f>
        <v>0.3</v>
      </c>
      <c r="M17" s="24">
        <f>M12</f>
        <v>-0.16</v>
      </c>
      <c r="N17" s="24">
        <f>N14</f>
        <v>3.91</v>
      </c>
      <c r="O17" s="24">
        <f>O14</f>
        <v>12</v>
      </c>
      <c r="P17" s="24">
        <f>P14</f>
        <v>40</v>
      </c>
      <c r="Q17" s="24">
        <f>Q14</f>
        <v>1.95</v>
      </c>
      <c r="R17" s="24">
        <f>R14</f>
        <v>35.65</v>
      </c>
      <c r="S17" s="24">
        <f>S14</f>
        <v>3.89</v>
      </c>
      <c r="T17" s="24">
        <f>T14</f>
        <v>690</v>
      </c>
      <c r="U17" s="24">
        <f>U14</f>
        <v>0.98</v>
      </c>
      <c r="V17" s="24">
        <f>V14</f>
        <v>17.829999999999998</v>
      </c>
      <c r="W17" s="24">
        <f>W14</f>
        <v>36</v>
      </c>
      <c r="X17" s="24">
        <f>X14</f>
        <v>144</v>
      </c>
      <c r="Y17" s="24">
        <f>Y12</f>
        <v>0.01</v>
      </c>
      <c r="Z17" s="24">
        <f>Z12</f>
        <v>0.01</v>
      </c>
      <c r="AA17" s="24">
        <f>AA14</f>
        <v>1300</v>
      </c>
      <c r="AB17" s="24">
        <f>AB14</f>
        <v>690</v>
      </c>
      <c r="AC17" s="24">
        <f>AC14</f>
        <v>211139.99999999997</v>
      </c>
      <c r="AD17" s="24">
        <f>AD14</f>
        <v>8021249.9999999991</v>
      </c>
      <c r="AE17" s="28">
        <f t="shared" si="12"/>
        <v>7.2459849539607671E-2</v>
      </c>
      <c r="AF17" s="24">
        <f>AF12</f>
        <v>50</v>
      </c>
      <c r="AG17">
        <v>7.0000000000000007E-2</v>
      </c>
      <c r="AJ17" t="s">
        <v>254</v>
      </c>
    </row>
    <row r="18" spans="1:36" x14ac:dyDescent="0.25">
      <c r="A18" t="s">
        <v>243</v>
      </c>
      <c r="B18">
        <v>1</v>
      </c>
      <c r="C18" t="s">
        <v>165</v>
      </c>
      <c r="D18" t="s">
        <v>70</v>
      </c>
      <c r="E18" t="s">
        <v>16</v>
      </c>
      <c r="F18" t="s">
        <v>17</v>
      </c>
      <c r="G18" t="s">
        <v>24</v>
      </c>
      <c r="H18" s="24">
        <f>H14</f>
        <v>0.9</v>
      </c>
      <c r="I18" s="24">
        <f>I14</f>
        <v>0.9</v>
      </c>
      <c r="J18" s="24">
        <f>J12</f>
        <v>0.4</v>
      </c>
      <c r="K18" s="24">
        <f>K14</f>
        <v>1</v>
      </c>
      <c r="L18" s="24">
        <f>L14</f>
        <v>0.5</v>
      </c>
      <c r="M18" s="24">
        <f>M14</f>
        <v>-0.14000000000000001</v>
      </c>
      <c r="N18" s="24">
        <f>N12</f>
        <v>2.0099999999999998</v>
      </c>
      <c r="O18" s="24">
        <f t="shared" ref="O18:P18" si="13">O12</f>
        <v>6</v>
      </c>
      <c r="P18" s="24">
        <f t="shared" si="13"/>
        <v>10</v>
      </c>
      <c r="Q18" s="24">
        <f>Q12</f>
        <v>1.95</v>
      </c>
      <c r="R18" s="24">
        <f>R12</f>
        <v>11.66</v>
      </c>
      <c r="S18" s="24">
        <f t="shared" ref="S18:X18" si="14">S12</f>
        <v>3.89</v>
      </c>
      <c r="T18" s="24">
        <f t="shared" si="14"/>
        <v>424</v>
      </c>
      <c r="U18" s="24">
        <f t="shared" si="14"/>
        <v>0.98</v>
      </c>
      <c r="V18" s="24">
        <f t="shared" si="14"/>
        <v>5.83</v>
      </c>
      <c r="W18" s="24">
        <f t="shared" si="14"/>
        <v>36</v>
      </c>
      <c r="X18" s="24">
        <f t="shared" si="14"/>
        <v>144</v>
      </c>
      <c r="Y18" s="24">
        <f>Y14</f>
        <v>0.05</v>
      </c>
      <c r="Z18" s="24">
        <f>Z14</f>
        <v>0.05</v>
      </c>
      <c r="AA18" s="24">
        <f>AA12</f>
        <v>600</v>
      </c>
      <c r="AB18" s="24">
        <f>AB12</f>
        <v>424</v>
      </c>
      <c r="AC18" s="24">
        <f>AC12</f>
        <v>120204</v>
      </c>
      <c r="AD18" s="24">
        <f>AD12</f>
        <v>2146500</v>
      </c>
      <c r="AE18" s="28">
        <f t="shared" ref="AE18:AE19" si="15">-PMT(AG18,AF18,1)</f>
        <v>7.0619527184264883E-2</v>
      </c>
      <c r="AF18" s="24">
        <f>AF14</f>
        <v>70</v>
      </c>
      <c r="AG18">
        <v>7.0000000000000007E-2</v>
      </c>
      <c r="AJ18" t="s">
        <v>244</v>
      </c>
    </row>
    <row r="19" spans="1:36" x14ac:dyDescent="0.25">
      <c r="A19" t="s">
        <v>242</v>
      </c>
      <c r="B19">
        <v>1</v>
      </c>
      <c r="C19" t="s">
        <v>165</v>
      </c>
      <c r="D19" t="s">
        <v>70</v>
      </c>
      <c r="E19" t="s">
        <v>16</v>
      </c>
      <c r="F19" t="s">
        <v>17</v>
      </c>
      <c r="G19" t="s">
        <v>24</v>
      </c>
      <c r="H19" s="24">
        <f>H15</f>
        <v>0.94</v>
      </c>
      <c r="I19" s="24">
        <f>I15</f>
        <v>0.94</v>
      </c>
      <c r="J19" s="24">
        <f>J11</f>
        <v>0.2</v>
      </c>
      <c r="K19" s="24">
        <f>K15</f>
        <v>1</v>
      </c>
      <c r="L19" s="24">
        <f>L15</f>
        <v>0.6</v>
      </c>
      <c r="M19" s="24">
        <f>M15</f>
        <v>-0.13</v>
      </c>
      <c r="N19" s="24">
        <f>N11</f>
        <v>1.2</v>
      </c>
      <c r="O19" s="24">
        <f t="shared" ref="O19:P19" si="16">O11</f>
        <v>2</v>
      </c>
      <c r="P19" s="24">
        <f t="shared" si="16"/>
        <v>2</v>
      </c>
      <c r="Q19" s="24">
        <f t="shared" ref="Q19:X19" si="17">Q11</f>
        <v>1.95</v>
      </c>
      <c r="R19" s="24">
        <f t="shared" si="17"/>
        <v>5</v>
      </c>
      <c r="S19" s="24">
        <f t="shared" si="17"/>
        <v>3.89</v>
      </c>
      <c r="T19" s="24">
        <f t="shared" si="17"/>
        <v>300</v>
      </c>
      <c r="U19" s="24">
        <f t="shared" si="17"/>
        <v>0.98</v>
      </c>
      <c r="V19" s="24">
        <f t="shared" si="17"/>
        <v>2.5</v>
      </c>
      <c r="W19" s="24">
        <f t="shared" si="17"/>
        <v>36</v>
      </c>
      <c r="X19" s="24">
        <f t="shared" si="17"/>
        <v>144</v>
      </c>
      <c r="Y19" s="24">
        <f>Y15</f>
        <v>0.1</v>
      </c>
      <c r="Z19" s="24">
        <f>Z15</f>
        <v>0.2</v>
      </c>
      <c r="AA19" s="24">
        <f>AA11</f>
        <v>300</v>
      </c>
      <c r="AB19" s="24">
        <f>AB11</f>
        <v>300</v>
      </c>
      <c r="AC19" s="24">
        <f>AC11</f>
        <v>90000</v>
      </c>
      <c r="AD19" s="24">
        <f>AD11</f>
        <v>1530000</v>
      </c>
      <c r="AE19" s="28">
        <f t="shared" si="15"/>
        <v>7.0313571760871663E-2</v>
      </c>
      <c r="AF19" s="24">
        <f>AF15</f>
        <v>80</v>
      </c>
      <c r="AG19">
        <v>7.0000000000000007E-2</v>
      </c>
      <c r="AJ19" t="s">
        <v>245</v>
      </c>
    </row>
    <row r="20" spans="1:36" x14ac:dyDescent="0.25">
      <c r="A20" t="s">
        <v>181</v>
      </c>
      <c r="B20">
        <v>1</v>
      </c>
      <c r="C20" t="s">
        <v>167</v>
      </c>
      <c r="D20" t="s">
        <v>71</v>
      </c>
      <c r="E20" t="s">
        <v>16</v>
      </c>
      <c r="F20" t="s">
        <v>17</v>
      </c>
      <c r="H20" s="17">
        <v>0.23</v>
      </c>
      <c r="I20" s="17">
        <v>0.23</v>
      </c>
      <c r="J20" s="17">
        <v>0.15</v>
      </c>
      <c r="K20" s="17">
        <v>1</v>
      </c>
      <c r="N20" s="17">
        <v>1.2</v>
      </c>
      <c r="O20" s="18">
        <v>2</v>
      </c>
      <c r="P20" s="18">
        <v>2</v>
      </c>
      <c r="Q20" s="24">
        <f t="shared" si="0"/>
        <v>1.95</v>
      </c>
      <c r="R20" s="26">
        <v>5</v>
      </c>
      <c r="S20" s="19">
        <v>3.89</v>
      </c>
      <c r="T20" s="19">
        <v>300</v>
      </c>
      <c r="U20" s="24">
        <f t="shared" si="10"/>
        <v>0.98</v>
      </c>
      <c r="V20" s="24">
        <f t="shared" si="11"/>
        <v>2.5</v>
      </c>
      <c r="W20" s="18">
        <v>36</v>
      </c>
      <c r="X20" s="24">
        <f t="shared" si="4"/>
        <v>144</v>
      </c>
      <c r="Y20" s="17">
        <v>5.0000000000000001E-3</v>
      </c>
      <c r="Z20" s="17">
        <v>5.0000000000000001E-3</v>
      </c>
      <c r="AA20" s="18">
        <v>20</v>
      </c>
      <c r="AB20" s="24">
        <f t="shared" ref="AB20:AB51" si="18">T20</f>
        <v>300</v>
      </c>
      <c r="AC20" s="25">
        <f>30000</f>
        <v>30000</v>
      </c>
      <c r="AD20" s="17">
        <f>1500000*AI20</f>
        <v>1350000</v>
      </c>
      <c r="AE20" s="28">
        <f t="shared" si="5"/>
        <v>7.5009138873610326E-2</v>
      </c>
      <c r="AF20" s="17">
        <v>40</v>
      </c>
      <c r="AG20">
        <v>7.0000000000000007E-2</v>
      </c>
      <c r="AI20">
        <v>0.9</v>
      </c>
    </row>
    <row r="21" spans="1:36" x14ac:dyDescent="0.25">
      <c r="A21" t="s">
        <v>66</v>
      </c>
      <c r="B21">
        <v>1</v>
      </c>
      <c r="C21" t="s">
        <v>167</v>
      </c>
      <c r="D21" t="s">
        <v>71</v>
      </c>
      <c r="E21" t="s">
        <v>16</v>
      </c>
      <c r="F21" t="s">
        <v>17</v>
      </c>
      <c r="H21" s="17">
        <v>0.31</v>
      </c>
      <c r="I21" s="17">
        <v>0.31</v>
      </c>
      <c r="J21" s="17">
        <v>0.2</v>
      </c>
      <c r="K21" s="17">
        <v>1</v>
      </c>
      <c r="N21" s="17">
        <v>2.2000000000000002</v>
      </c>
      <c r="O21" s="18">
        <v>4</v>
      </c>
      <c r="P21" s="27">
        <v>10</v>
      </c>
      <c r="Q21" s="24">
        <f t="shared" si="0"/>
        <v>1.95</v>
      </c>
      <c r="R21" s="26">
        <v>11</v>
      </c>
      <c r="S21" s="19">
        <v>3.89</v>
      </c>
      <c r="T21" s="19">
        <v>400</v>
      </c>
      <c r="U21" s="24">
        <f t="shared" si="10"/>
        <v>0.98</v>
      </c>
      <c r="V21" s="24">
        <f t="shared" si="11"/>
        <v>5.5</v>
      </c>
      <c r="W21" s="18">
        <v>36</v>
      </c>
      <c r="X21" s="24">
        <f t="shared" si="4"/>
        <v>144</v>
      </c>
      <c r="Y21" s="17">
        <v>0.01</v>
      </c>
      <c r="Z21" s="17">
        <v>0.01</v>
      </c>
      <c r="AA21" s="27">
        <v>100</v>
      </c>
      <c r="AB21" s="24">
        <f t="shared" si="18"/>
        <v>400</v>
      </c>
      <c r="AC21" s="25">
        <f>118000*AI21</f>
        <v>106200</v>
      </c>
      <c r="AD21" s="25">
        <f>2000000*AI21</f>
        <v>1800000</v>
      </c>
      <c r="AE21" s="28">
        <f t="shared" si="5"/>
        <v>7.2459849539607671E-2</v>
      </c>
      <c r="AF21" s="17">
        <v>50</v>
      </c>
      <c r="AG21">
        <v>7.0000000000000007E-2</v>
      </c>
      <c r="AI21">
        <v>0.9</v>
      </c>
    </row>
    <row r="22" spans="1:36" x14ac:dyDescent="0.25">
      <c r="A22" t="s">
        <v>67</v>
      </c>
      <c r="B22">
        <v>1</v>
      </c>
      <c r="C22" t="s">
        <v>167</v>
      </c>
      <c r="D22" t="s">
        <v>71</v>
      </c>
      <c r="E22" t="s">
        <v>16</v>
      </c>
      <c r="F22" t="s">
        <v>17</v>
      </c>
      <c r="H22" s="17">
        <v>0.33</v>
      </c>
      <c r="I22" s="17">
        <v>0.33</v>
      </c>
      <c r="J22" s="17">
        <v>0.4</v>
      </c>
      <c r="K22" s="17">
        <v>1</v>
      </c>
      <c r="N22" s="17">
        <v>2.6</v>
      </c>
      <c r="O22" s="18">
        <v>6</v>
      </c>
      <c r="P22" s="27">
        <v>12</v>
      </c>
      <c r="Q22" s="24">
        <f t="shared" si="0"/>
        <v>1.95</v>
      </c>
      <c r="R22" s="26">
        <v>21</v>
      </c>
      <c r="S22" s="19">
        <v>3.89</v>
      </c>
      <c r="T22" s="19">
        <v>500</v>
      </c>
      <c r="U22" s="24">
        <f t="shared" si="10"/>
        <v>0.98</v>
      </c>
      <c r="V22" s="24">
        <f t="shared" si="11"/>
        <v>10.5</v>
      </c>
      <c r="W22" s="18">
        <v>36</v>
      </c>
      <c r="X22" s="24">
        <f t="shared" si="4"/>
        <v>144</v>
      </c>
      <c r="Y22" s="17">
        <v>0.03</v>
      </c>
      <c r="Z22" s="17">
        <v>0.03</v>
      </c>
      <c r="AA22" s="27">
        <v>150</v>
      </c>
      <c r="AB22" s="24">
        <f t="shared" si="18"/>
        <v>500</v>
      </c>
      <c r="AC22" s="17">
        <f>136000*AI22</f>
        <v>122400</v>
      </c>
      <c r="AD22" s="17">
        <f>5250000*AI22</f>
        <v>4725000</v>
      </c>
      <c r="AE22" s="28">
        <f t="shared" si="5"/>
        <v>7.122922550001945E-2</v>
      </c>
      <c r="AF22" s="17">
        <v>60</v>
      </c>
      <c r="AG22">
        <v>7.0000000000000007E-2</v>
      </c>
      <c r="AI22">
        <v>0.9</v>
      </c>
      <c r="AJ22" t="s">
        <v>189</v>
      </c>
    </row>
    <row r="23" spans="1:36" x14ac:dyDescent="0.25">
      <c r="A23" t="s">
        <v>68</v>
      </c>
      <c r="B23">
        <v>1</v>
      </c>
      <c r="C23" t="s">
        <v>167</v>
      </c>
      <c r="D23" t="s">
        <v>71</v>
      </c>
      <c r="E23" t="s">
        <v>16</v>
      </c>
      <c r="F23" t="s">
        <v>17</v>
      </c>
      <c r="H23" s="17">
        <v>0.35</v>
      </c>
      <c r="I23" s="17">
        <v>0.35</v>
      </c>
      <c r="J23" s="17">
        <v>0.5</v>
      </c>
      <c r="K23" s="17">
        <v>1</v>
      </c>
      <c r="N23" s="17">
        <v>2.8</v>
      </c>
      <c r="O23" s="18">
        <v>48</v>
      </c>
      <c r="P23" s="27">
        <v>48</v>
      </c>
      <c r="Q23" s="24">
        <f t="shared" si="0"/>
        <v>1.95</v>
      </c>
      <c r="R23" s="26">
        <v>31</v>
      </c>
      <c r="S23" s="19">
        <v>3.89</v>
      </c>
      <c r="T23" s="19">
        <v>600</v>
      </c>
      <c r="U23" s="24">
        <f t="shared" si="10"/>
        <v>0.98</v>
      </c>
      <c r="V23" s="24">
        <f t="shared" si="11"/>
        <v>15.5</v>
      </c>
      <c r="W23" s="18">
        <v>36</v>
      </c>
      <c r="X23" s="24">
        <f t="shared" si="4"/>
        <v>144</v>
      </c>
      <c r="Y23" s="17">
        <v>0.05</v>
      </c>
      <c r="Z23" s="17">
        <v>0.05</v>
      </c>
      <c r="AA23" s="27">
        <v>200</v>
      </c>
      <c r="AB23" s="24">
        <f t="shared" si="18"/>
        <v>600</v>
      </c>
      <c r="AC23" s="17">
        <f>216000*AI23</f>
        <v>194400</v>
      </c>
      <c r="AD23" s="17">
        <f>10000000*AI23</f>
        <v>9000000</v>
      </c>
      <c r="AE23" s="28">
        <f t="shared" si="5"/>
        <v>7.0619527184264883E-2</v>
      </c>
      <c r="AF23" s="18">
        <v>70</v>
      </c>
      <c r="AG23">
        <v>7.0000000000000007E-2</v>
      </c>
      <c r="AI23">
        <v>0.9</v>
      </c>
    </row>
    <row r="24" spans="1:36" x14ac:dyDescent="0.25">
      <c r="A24" t="s">
        <v>180</v>
      </c>
      <c r="B24">
        <v>1</v>
      </c>
      <c r="C24" t="s">
        <v>167</v>
      </c>
      <c r="D24" t="s">
        <v>71</v>
      </c>
      <c r="E24" t="s">
        <v>16</v>
      </c>
      <c r="F24" t="s">
        <v>17</v>
      </c>
      <c r="H24" s="17">
        <v>0.42</v>
      </c>
      <c r="I24" s="17">
        <v>0.42</v>
      </c>
      <c r="J24" s="17">
        <v>0.95</v>
      </c>
      <c r="K24" s="17">
        <v>1</v>
      </c>
      <c r="N24" s="25">
        <v>16.399999999999999</v>
      </c>
      <c r="O24" s="18">
        <v>96</v>
      </c>
      <c r="P24" s="18">
        <v>96</v>
      </c>
      <c r="Q24" s="24">
        <f t="shared" si="0"/>
        <v>1.95</v>
      </c>
      <c r="R24" s="26">
        <v>100</v>
      </c>
      <c r="S24" s="19">
        <v>3.89</v>
      </c>
      <c r="T24" s="19">
        <v>2000</v>
      </c>
      <c r="U24" s="24">
        <f t="shared" si="10"/>
        <v>0.98</v>
      </c>
      <c r="V24" s="24">
        <f t="shared" si="11"/>
        <v>50</v>
      </c>
      <c r="W24" s="18">
        <v>36</v>
      </c>
      <c r="X24" s="24">
        <f t="shared" si="4"/>
        <v>144</v>
      </c>
      <c r="Y24" s="17">
        <v>0.1</v>
      </c>
      <c r="Z24" s="17">
        <v>0.2</v>
      </c>
      <c r="AA24" s="17">
        <v>300</v>
      </c>
      <c r="AB24" s="24">
        <f t="shared" si="18"/>
        <v>2000</v>
      </c>
      <c r="AC24" s="19">
        <f>280000*AI24</f>
        <v>252000</v>
      </c>
      <c r="AD24" s="17">
        <f>20000000*AI24</f>
        <v>18000000</v>
      </c>
      <c r="AE24" s="28">
        <f t="shared" si="5"/>
        <v>7.0313571760871663E-2</v>
      </c>
      <c r="AF24" s="18">
        <v>80</v>
      </c>
      <c r="AG24">
        <v>7.0000000000000007E-2</v>
      </c>
      <c r="AI24">
        <v>0.9</v>
      </c>
    </row>
    <row r="25" spans="1:36" x14ac:dyDescent="0.25">
      <c r="A25" t="s">
        <v>246</v>
      </c>
      <c r="B25">
        <v>1</v>
      </c>
      <c r="C25" t="s">
        <v>167</v>
      </c>
      <c r="D25" t="s">
        <v>71</v>
      </c>
      <c r="E25" t="s">
        <v>16</v>
      </c>
      <c r="F25" t="s">
        <v>17</v>
      </c>
      <c r="H25" s="24">
        <f>H20</f>
        <v>0.23</v>
      </c>
      <c r="I25" s="24">
        <f>I20</f>
        <v>0.23</v>
      </c>
      <c r="J25" s="24">
        <f>J24</f>
        <v>0.95</v>
      </c>
      <c r="K25" s="24">
        <f>K24</f>
        <v>1</v>
      </c>
      <c r="N25" s="24">
        <f>N24</f>
        <v>16.399999999999999</v>
      </c>
      <c r="O25" s="24">
        <f>O24</f>
        <v>96</v>
      </c>
      <c r="P25" s="24">
        <f>P24</f>
        <v>96</v>
      </c>
      <c r="Q25" s="24">
        <f>Q24</f>
        <v>1.95</v>
      </c>
      <c r="R25" s="24">
        <f>R24</f>
        <v>100</v>
      </c>
      <c r="S25" s="24">
        <f>S24</f>
        <v>3.89</v>
      </c>
      <c r="T25" s="24">
        <f>T24</f>
        <v>2000</v>
      </c>
      <c r="U25" s="24">
        <f>U24</f>
        <v>0.98</v>
      </c>
      <c r="V25" s="24">
        <f>V24</f>
        <v>50</v>
      </c>
      <c r="W25" s="24">
        <f>W24</f>
        <v>36</v>
      </c>
      <c r="X25" s="24">
        <f>X24</f>
        <v>144</v>
      </c>
      <c r="Y25" s="24">
        <f>Y20</f>
        <v>5.0000000000000001E-3</v>
      </c>
      <c r="Z25" s="24">
        <f>Z20</f>
        <v>5.0000000000000001E-3</v>
      </c>
      <c r="AA25" s="24">
        <f>AA24</f>
        <v>300</v>
      </c>
      <c r="AB25" s="24">
        <f>AB24</f>
        <v>2000</v>
      </c>
      <c r="AC25" s="24">
        <f>AC24</f>
        <v>252000</v>
      </c>
      <c r="AD25" s="24">
        <f>AD24</f>
        <v>18000000</v>
      </c>
      <c r="AE25" s="28">
        <f t="shared" si="5"/>
        <v>7.5009138873610326E-2</v>
      </c>
      <c r="AF25" s="24">
        <f>AF20</f>
        <v>40</v>
      </c>
      <c r="AG25">
        <v>7.0000000000000007E-2</v>
      </c>
      <c r="AJ25" t="s">
        <v>253</v>
      </c>
    </row>
    <row r="26" spans="1:36" x14ac:dyDescent="0.25">
      <c r="A26" t="s">
        <v>247</v>
      </c>
      <c r="B26">
        <v>1</v>
      </c>
      <c r="C26" t="s">
        <v>167</v>
      </c>
      <c r="D26" t="s">
        <v>71</v>
      </c>
      <c r="E26" t="s">
        <v>16</v>
      </c>
      <c r="F26" t="s">
        <v>17</v>
      </c>
      <c r="H26" s="24">
        <f>H21</f>
        <v>0.31</v>
      </c>
      <c r="I26" s="24">
        <f>I21</f>
        <v>0.31</v>
      </c>
      <c r="J26" s="24">
        <f>J23</f>
        <v>0.5</v>
      </c>
      <c r="K26" s="24">
        <f>K23</f>
        <v>1</v>
      </c>
      <c r="N26" s="24">
        <f>N23</f>
        <v>2.8</v>
      </c>
      <c r="O26" s="24">
        <f>O23</f>
        <v>48</v>
      </c>
      <c r="P26" s="24">
        <f>P23</f>
        <v>48</v>
      </c>
      <c r="Q26" s="24">
        <f>Q23</f>
        <v>1.95</v>
      </c>
      <c r="R26" s="24">
        <f>R23</f>
        <v>31</v>
      </c>
      <c r="S26" s="24">
        <f>S23</f>
        <v>3.89</v>
      </c>
      <c r="T26" s="24">
        <f>T23</f>
        <v>600</v>
      </c>
      <c r="U26" s="24">
        <f>U23</f>
        <v>0.98</v>
      </c>
      <c r="V26" s="24">
        <f>V23</f>
        <v>15.5</v>
      </c>
      <c r="W26" s="24">
        <f>W23</f>
        <v>36</v>
      </c>
      <c r="X26" s="24">
        <f>X23</f>
        <v>144</v>
      </c>
      <c r="Y26" s="24">
        <f>Y21</f>
        <v>0.01</v>
      </c>
      <c r="Z26" s="24">
        <f>Z21</f>
        <v>0.01</v>
      </c>
      <c r="AA26" s="24">
        <f>AA23</f>
        <v>200</v>
      </c>
      <c r="AB26" s="24">
        <f>AB23</f>
        <v>600</v>
      </c>
      <c r="AC26" s="24">
        <f>AC23</f>
        <v>194400</v>
      </c>
      <c r="AD26" s="24">
        <f>AD23</f>
        <v>9000000</v>
      </c>
      <c r="AE26" s="28">
        <f t="shared" si="5"/>
        <v>7.2459849539607671E-2</v>
      </c>
      <c r="AF26" s="24">
        <f>AF21</f>
        <v>50</v>
      </c>
      <c r="AG26">
        <v>7.0000000000000007E-2</v>
      </c>
      <c r="AJ26" t="s">
        <v>254</v>
      </c>
    </row>
    <row r="27" spans="1:36" x14ac:dyDescent="0.25">
      <c r="A27" t="s">
        <v>243</v>
      </c>
      <c r="B27">
        <v>1</v>
      </c>
      <c r="C27" t="s">
        <v>167</v>
      </c>
      <c r="D27" t="s">
        <v>71</v>
      </c>
      <c r="E27" t="s">
        <v>16</v>
      </c>
      <c r="F27" t="s">
        <v>17</v>
      </c>
      <c r="H27" s="24">
        <f>H23</f>
        <v>0.35</v>
      </c>
      <c r="I27" s="24">
        <f>I23</f>
        <v>0.35</v>
      </c>
      <c r="J27" s="24">
        <f>J21</f>
        <v>0.2</v>
      </c>
      <c r="K27" s="24">
        <f>K23</f>
        <v>1</v>
      </c>
      <c r="N27" s="24">
        <f>N21</f>
        <v>2.2000000000000002</v>
      </c>
      <c r="O27" s="24">
        <f t="shared" ref="O27:P27" si="19">O21</f>
        <v>4</v>
      </c>
      <c r="P27" s="24">
        <f t="shared" si="19"/>
        <v>10</v>
      </c>
      <c r="Q27" s="24">
        <f>Q21</f>
        <v>1.95</v>
      </c>
      <c r="R27" s="24">
        <f>R21</f>
        <v>11</v>
      </c>
      <c r="S27" s="24">
        <f t="shared" ref="S27:X27" si="20">S21</f>
        <v>3.89</v>
      </c>
      <c r="T27" s="24">
        <f t="shared" si="20"/>
        <v>400</v>
      </c>
      <c r="U27" s="24">
        <f t="shared" si="20"/>
        <v>0.98</v>
      </c>
      <c r="V27" s="24">
        <f t="shared" si="20"/>
        <v>5.5</v>
      </c>
      <c r="W27" s="24">
        <f t="shared" si="20"/>
        <v>36</v>
      </c>
      <c r="X27" s="24">
        <f t="shared" si="20"/>
        <v>144</v>
      </c>
      <c r="Y27" s="24">
        <f>Y23</f>
        <v>0.05</v>
      </c>
      <c r="Z27" s="24">
        <f>Z23</f>
        <v>0.05</v>
      </c>
      <c r="AA27" s="24">
        <f>AA21</f>
        <v>100</v>
      </c>
      <c r="AB27" s="24">
        <f>AB21</f>
        <v>400</v>
      </c>
      <c r="AC27" s="24">
        <f>AC21</f>
        <v>106200</v>
      </c>
      <c r="AD27" s="24">
        <f>AD21</f>
        <v>1800000</v>
      </c>
      <c r="AE27" s="28">
        <f t="shared" si="5"/>
        <v>7.0619527184264883E-2</v>
      </c>
      <c r="AF27" s="24">
        <f>AF23</f>
        <v>70</v>
      </c>
      <c r="AG27">
        <v>7.0000000000000007E-2</v>
      </c>
      <c r="AJ27" t="s">
        <v>244</v>
      </c>
    </row>
    <row r="28" spans="1:36" x14ac:dyDescent="0.25">
      <c r="A28" t="s">
        <v>242</v>
      </c>
      <c r="B28">
        <v>1</v>
      </c>
      <c r="C28" t="s">
        <v>167</v>
      </c>
      <c r="D28" t="s">
        <v>71</v>
      </c>
      <c r="E28" t="s">
        <v>16</v>
      </c>
      <c r="F28" t="s">
        <v>17</v>
      </c>
      <c r="H28" s="24">
        <f>H24</f>
        <v>0.42</v>
      </c>
      <c r="I28" s="24">
        <f>I24</f>
        <v>0.42</v>
      </c>
      <c r="J28" s="24">
        <f>J20</f>
        <v>0.15</v>
      </c>
      <c r="K28" s="24">
        <f>K24</f>
        <v>1</v>
      </c>
      <c r="N28" s="24">
        <f>N20</f>
        <v>1.2</v>
      </c>
      <c r="O28" s="24">
        <f t="shared" ref="O28:P28" si="21">O20</f>
        <v>2</v>
      </c>
      <c r="P28" s="24">
        <f t="shared" si="21"/>
        <v>2</v>
      </c>
      <c r="Q28" s="24">
        <f t="shared" ref="Q28:X28" si="22">Q20</f>
        <v>1.95</v>
      </c>
      <c r="R28" s="24">
        <f t="shared" si="22"/>
        <v>5</v>
      </c>
      <c r="S28" s="24">
        <f t="shared" si="22"/>
        <v>3.89</v>
      </c>
      <c r="T28" s="24">
        <f t="shared" si="22"/>
        <v>300</v>
      </c>
      <c r="U28" s="24">
        <f t="shared" si="22"/>
        <v>0.98</v>
      </c>
      <c r="V28" s="24">
        <f t="shared" si="22"/>
        <v>2.5</v>
      </c>
      <c r="W28" s="24">
        <f t="shared" si="22"/>
        <v>36</v>
      </c>
      <c r="X28" s="24">
        <f t="shared" si="22"/>
        <v>144</v>
      </c>
      <c r="Y28" s="24">
        <f>Y24</f>
        <v>0.1</v>
      </c>
      <c r="Z28" s="24">
        <f>Z24</f>
        <v>0.2</v>
      </c>
      <c r="AA28" s="24">
        <f>AA20</f>
        <v>20</v>
      </c>
      <c r="AB28" s="24">
        <f>AB20</f>
        <v>300</v>
      </c>
      <c r="AC28" s="24">
        <f>AC20</f>
        <v>30000</v>
      </c>
      <c r="AD28" s="24">
        <f>AD20</f>
        <v>1350000</v>
      </c>
      <c r="AE28" s="28">
        <f t="shared" si="5"/>
        <v>7.0313571760871663E-2</v>
      </c>
      <c r="AF28" s="24">
        <f>AF24</f>
        <v>80</v>
      </c>
      <c r="AG28">
        <v>7.0000000000000007E-2</v>
      </c>
      <c r="AJ28" t="s">
        <v>245</v>
      </c>
    </row>
    <row r="29" spans="1:36" x14ac:dyDescent="0.25">
      <c r="A29" t="s">
        <v>181</v>
      </c>
      <c r="B29">
        <v>1</v>
      </c>
      <c r="C29" t="s">
        <v>168</v>
      </c>
      <c r="D29" t="s">
        <v>72</v>
      </c>
      <c r="E29" t="s">
        <v>16</v>
      </c>
      <c r="F29" t="s">
        <v>17</v>
      </c>
      <c r="G29" t="s">
        <v>24</v>
      </c>
      <c r="H29" s="17">
        <v>0.81</v>
      </c>
      <c r="I29" s="17">
        <v>0.81</v>
      </c>
      <c r="J29" s="17">
        <v>0.15</v>
      </c>
      <c r="K29" s="17">
        <v>1</v>
      </c>
      <c r="L29" s="26">
        <v>0.2</v>
      </c>
      <c r="M29" s="19">
        <v>-0.17</v>
      </c>
      <c r="N29" s="24">
        <f>ROUND(N20*AH29,2)</f>
        <v>1.2</v>
      </c>
      <c r="O29" s="18">
        <v>2</v>
      </c>
      <c r="P29" s="18">
        <v>2</v>
      </c>
      <c r="Q29" s="24">
        <f t="shared" si="0"/>
        <v>1.95</v>
      </c>
      <c r="R29" s="24">
        <f>R20*AH29</f>
        <v>5</v>
      </c>
      <c r="S29" s="19">
        <v>3.89</v>
      </c>
      <c r="T29" s="24">
        <f>T20*AH29</f>
        <v>300</v>
      </c>
      <c r="U29" s="24">
        <f t="shared" si="10"/>
        <v>0.98</v>
      </c>
      <c r="V29" s="24">
        <f t="shared" si="11"/>
        <v>2.5</v>
      </c>
      <c r="W29" s="18">
        <v>36</v>
      </c>
      <c r="X29" s="24">
        <f t="shared" si="4"/>
        <v>144</v>
      </c>
      <c r="Y29" s="17">
        <v>5.0000000000000001E-3</v>
      </c>
      <c r="Z29" s="17">
        <v>5.0000000000000001E-3</v>
      </c>
      <c r="AA29" s="18">
        <v>20</v>
      </c>
      <c r="AB29" s="24">
        <f t="shared" si="18"/>
        <v>300</v>
      </c>
      <c r="AC29" s="24">
        <f>AC20*AH29</f>
        <v>30000</v>
      </c>
      <c r="AD29" s="24">
        <f>AD20*AH29</f>
        <v>1350000</v>
      </c>
      <c r="AE29" s="28">
        <f t="shared" si="5"/>
        <v>7.5009138873610326E-2</v>
      </c>
      <c r="AF29" s="17">
        <v>40</v>
      </c>
      <c r="AG29">
        <v>7.0000000000000007E-2</v>
      </c>
      <c r="AH29">
        <v>1</v>
      </c>
    </row>
    <row r="30" spans="1:36" x14ac:dyDescent="0.25">
      <c r="A30" t="s">
        <v>66</v>
      </c>
      <c r="B30">
        <v>1</v>
      </c>
      <c r="C30" t="s">
        <v>168</v>
      </c>
      <c r="D30" t="s">
        <v>72</v>
      </c>
      <c r="E30" t="s">
        <v>16</v>
      </c>
      <c r="F30" t="s">
        <v>17</v>
      </c>
      <c r="G30" t="s">
        <v>24</v>
      </c>
      <c r="H30" s="17">
        <v>0.86</v>
      </c>
      <c r="I30" s="17">
        <v>0.86</v>
      </c>
      <c r="J30" s="17">
        <v>0.2</v>
      </c>
      <c r="K30" s="17">
        <v>1</v>
      </c>
      <c r="L30" s="26">
        <v>0.3</v>
      </c>
      <c r="M30" s="26">
        <v>-0.16</v>
      </c>
      <c r="N30" s="24">
        <f>ROUND(N21*AH30,2)</f>
        <v>2.33</v>
      </c>
      <c r="O30" s="18">
        <v>4</v>
      </c>
      <c r="P30" s="27">
        <v>10</v>
      </c>
      <c r="Q30" s="24">
        <f t="shared" si="0"/>
        <v>1.95</v>
      </c>
      <c r="R30" s="24">
        <f>R21*AH30</f>
        <v>11.66</v>
      </c>
      <c r="S30" s="19">
        <v>3.89</v>
      </c>
      <c r="T30" s="24">
        <f>T21*AH30</f>
        <v>424</v>
      </c>
      <c r="U30" s="24">
        <f t="shared" si="10"/>
        <v>0.98</v>
      </c>
      <c r="V30" s="24">
        <f t="shared" si="11"/>
        <v>5.83</v>
      </c>
      <c r="W30" s="18">
        <v>36</v>
      </c>
      <c r="X30" s="24">
        <f t="shared" si="4"/>
        <v>144</v>
      </c>
      <c r="Y30" s="17">
        <v>0.01</v>
      </c>
      <c r="Z30" s="17">
        <v>0.01</v>
      </c>
      <c r="AA30" s="27">
        <v>100</v>
      </c>
      <c r="AB30" s="24">
        <f t="shared" si="18"/>
        <v>424</v>
      </c>
      <c r="AC30" s="24">
        <f>AC21*AH30</f>
        <v>112572</v>
      </c>
      <c r="AD30" s="24">
        <f>AD21*AH30</f>
        <v>1908000</v>
      </c>
      <c r="AE30" s="28">
        <f t="shared" si="5"/>
        <v>7.2459849539607671E-2</v>
      </c>
      <c r="AF30" s="17">
        <v>50</v>
      </c>
      <c r="AG30">
        <v>7.0000000000000007E-2</v>
      </c>
      <c r="AH30">
        <v>1.06</v>
      </c>
    </row>
    <row r="31" spans="1:36" x14ac:dyDescent="0.25">
      <c r="A31" t="s">
        <v>67</v>
      </c>
      <c r="B31">
        <v>1</v>
      </c>
      <c r="C31" t="s">
        <v>168</v>
      </c>
      <c r="D31" t="s">
        <v>72</v>
      </c>
      <c r="E31" t="s">
        <v>16</v>
      </c>
      <c r="F31" t="s">
        <v>17</v>
      </c>
      <c r="G31" t="s">
        <v>24</v>
      </c>
      <c r="H31" s="17">
        <v>0.9</v>
      </c>
      <c r="I31" s="17">
        <v>0.9</v>
      </c>
      <c r="J31" s="17">
        <v>0.4</v>
      </c>
      <c r="K31" s="17">
        <v>1</v>
      </c>
      <c r="L31" s="26">
        <v>0.4</v>
      </c>
      <c r="M31" s="26">
        <v>-0.15</v>
      </c>
      <c r="N31" s="24">
        <f>ROUND(N22*AH31,2)</f>
        <v>2.89</v>
      </c>
      <c r="O31" s="18">
        <v>6</v>
      </c>
      <c r="P31" s="27">
        <v>12</v>
      </c>
      <c r="Q31" s="24">
        <f t="shared" si="0"/>
        <v>1.95</v>
      </c>
      <c r="R31" s="24">
        <f>R22*AH31</f>
        <v>23.310000000000002</v>
      </c>
      <c r="S31" s="19">
        <v>3.89</v>
      </c>
      <c r="T31" s="24">
        <f>T22*AH31</f>
        <v>555</v>
      </c>
      <c r="U31" s="24">
        <f t="shared" si="10"/>
        <v>0.98</v>
      </c>
      <c r="V31" s="24">
        <f t="shared" si="11"/>
        <v>11.66</v>
      </c>
      <c r="W31" s="18">
        <v>36</v>
      </c>
      <c r="X31" s="24">
        <f t="shared" si="4"/>
        <v>144</v>
      </c>
      <c r="Y31" s="17">
        <v>0.03</v>
      </c>
      <c r="Z31" s="17">
        <v>0.03</v>
      </c>
      <c r="AA31" s="27">
        <v>150</v>
      </c>
      <c r="AB31" s="24">
        <f t="shared" si="18"/>
        <v>555</v>
      </c>
      <c r="AC31" s="24">
        <f>AC22*AH31</f>
        <v>135864</v>
      </c>
      <c r="AD31" s="24">
        <f>AD22*AH31</f>
        <v>5244750</v>
      </c>
      <c r="AE31" s="28">
        <f t="shared" si="5"/>
        <v>7.122922550001945E-2</v>
      </c>
      <c r="AF31" s="17">
        <v>60</v>
      </c>
      <c r="AG31">
        <v>7.0000000000000007E-2</v>
      </c>
      <c r="AH31">
        <v>1.1100000000000001</v>
      </c>
      <c r="AJ31" t="s">
        <v>192</v>
      </c>
    </row>
    <row r="32" spans="1:36" x14ac:dyDescent="0.25">
      <c r="A32" t="s">
        <v>68</v>
      </c>
      <c r="B32">
        <v>1</v>
      </c>
      <c r="C32" t="s">
        <v>168</v>
      </c>
      <c r="D32" t="s">
        <v>72</v>
      </c>
      <c r="E32" t="s">
        <v>16</v>
      </c>
      <c r="F32" t="s">
        <v>17</v>
      </c>
      <c r="G32" t="s">
        <v>24</v>
      </c>
      <c r="H32" s="17">
        <v>0.93</v>
      </c>
      <c r="I32" s="17">
        <v>0.93</v>
      </c>
      <c r="J32" s="17">
        <v>0.5</v>
      </c>
      <c r="K32" s="17">
        <v>1</v>
      </c>
      <c r="L32" s="26">
        <v>0.5</v>
      </c>
      <c r="M32" s="26">
        <v>-0.14000000000000001</v>
      </c>
      <c r="N32" s="24">
        <f>ROUND(N23*AH32,2)</f>
        <v>3.22</v>
      </c>
      <c r="O32" s="18">
        <v>48</v>
      </c>
      <c r="P32" s="27">
        <v>48</v>
      </c>
      <c r="Q32" s="24">
        <f t="shared" si="0"/>
        <v>1.95</v>
      </c>
      <c r="R32" s="24">
        <f>R23*AH32</f>
        <v>35.65</v>
      </c>
      <c r="S32" s="19">
        <v>3.89</v>
      </c>
      <c r="T32" s="24">
        <f>T23*AH32</f>
        <v>690</v>
      </c>
      <c r="U32" s="24">
        <f t="shared" si="10"/>
        <v>0.98</v>
      </c>
      <c r="V32" s="24">
        <f t="shared" si="11"/>
        <v>17.829999999999998</v>
      </c>
      <c r="W32" s="18">
        <v>36</v>
      </c>
      <c r="X32" s="24">
        <f t="shared" si="4"/>
        <v>144</v>
      </c>
      <c r="Y32" s="17">
        <v>0.05</v>
      </c>
      <c r="Z32" s="17">
        <v>0.05</v>
      </c>
      <c r="AA32" s="27">
        <v>200</v>
      </c>
      <c r="AB32" s="24">
        <f t="shared" si="18"/>
        <v>690</v>
      </c>
      <c r="AC32" s="24">
        <f>AC23*AH32</f>
        <v>223559.99999999997</v>
      </c>
      <c r="AD32" s="24">
        <f>AD23*AH32</f>
        <v>10350000</v>
      </c>
      <c r="AE32" s="28">
        <f t="shared" si="5"/>
        <v>7.0619527184264883E-2</v>
      </c>
      <c r="AF32" s="18">
        <v>70</v>
      </c>
      <c r="AG32">
        <v>7.0000000000000007E-2</v>
      </c>
      <c r="AH32">
        <v>1.1499999999999999</v>
      </c>
    </row>
    <row r="33" spans="1:36" x14ac:dyDescent="0.25">
      <c r="A33" t="s">
        <v>180</v>
      </c>
      <c r="B33">
        <v>1</v>
      </c>
      <c r="C33" t="s">
        <v>168</v>
      </c>
      <c r="D33" t="s">
        <v>72</v>
      </c>
      <c r="E33" t="s">
        <v>16</v>
      </c>
      <c r="F33" t="s">
        <v>17</v>
      </c>
      <c r="G33" t="s">
        <v>24</v>
      </c>
      <c r="H33" s="17">
        <v>0.94</v>
      </c>
      <c r="I33" s="17">
        <v>0.94</v>
      </c>
      <c r="J33" s="17">
        <v>0.95</v>
      </c>
      <c r="K33" s="17">
        <v>1</v>
      </c>
      <c r="L33" s="26">
        <v>0.6</v>
      </c>
      <c r="M33" s="26">
        <v>-0.13</v>
      </c>
      <c r="N33" s="24">
        <f>ROUND(N24*AH33,2)</f>
        <v>20.010000000000002</v>
      </c>
      <c r="O33" s="18">
        <v>96</v>
      </c>
      <c r="P33" s="18">
        <v>96</v>
      </c>
      <c r="Q33" s="24">
        <f t="shared" si="0"/>
        <v>1.95</v>
      </c>
      <c r="R33" s="24">
        <f>R24*AH33</f>
        <v>122</v>
      </c>
      <c r="S33" s="19">
        <v>3.89</v>
      </c>
      <c r="T33" s="24">
        <f>T24*AH33</f>
        <v>2440</v>
      </c>
      <c r="U33" s="24">
        <f t="shared" si="10"/>
        <v>0.98</v>
      </c>
      <c r="V33" s="24">
        <f t="shared" si="11"/>
        <v>61</v>
      </c>
      <c r="W33" s="18">
        <v>36</v>
      </c>
      <c r="X33" s="24">
        <f t="shared" si="4"/>
        <v>144</v>
      </c>
      <c r="Y33" s="17">
        <v>0.1</v>
      </c>
      <c r="Z33" s="17">
        <v>0.2</v>
      </c>
      <c r="AA33" s="17">
        <v>300</v>
      </c>
      <c r="AB33" s="24">
        <f t="shared" si="18"/>
        <v>2440</v>
      </c>
      <c r="AC33" s="24">
        <f>AC24*AH33</f>
        <v>307440</v>
      </c>
      <c r="AD33" s="24">
        <f>AD24*AH33</f>
        <v>21960000</v>
      </c>
      <c r="AE33" s="28">
        <f t="shared" si="5"/>
        <v>7.0313571760871663E-2</v>
      </c>
      <c r="AF33" s="18">
        <v>80</v>
      </c>
      <c r="AG33">
        <v>7.0000000000000007E-2</v>
      </c>
      <c r="AH33">
        <v>1.22</v>
      </c>
    </row>
    <row r="34" spans="1:36" x14ac:dyDescent="0.25">
      <c r="A34" t="s">
        <v>246</v>
      </c>
      <c r="B34">
        <v>1</v>
      </c>
      <c r="C34" t="s">
        <v>168</v>
      </c>
      <c r="D34" t="s">
        <v>72</v>
      </c>
      <c r="E34" t="s">
        <v>16</v>
      </c>
      <c r="F34" t="s">
        <v>17</v>
      </c>
      <c r="G34" t="s">
        <v>24</v>
      </c>
      <c r="H34" s="24">
        <f>H29</f>
        <v>0.81</v>
      </c>
      <c r="I34" s="24">
        <f>I29</f>
        <v>0.81</v>
      </c>
      <c r="J34" s="24">
        <f>J33</f>
        <v>0.95</v>
      </c>
      <c r="K34" s="24">
        <f>K33</f>
        <v>1</v>
      </c>
      <c r="L34" s="24">
        <f>L29</f>
        <v>0.2</v>
      </c>
      <c r="M34" s="24">
        <f>M29</f>
        <v>-0.17</v>
      </c>
      <c r="N34" s="24">
        <f>N33</f>
        <v>20.010000000000002</v>
      </c>
      <c r="O34" s="24">
        <f>O33</f>
        <v>96</v>
      </c>
      <c r="P34" s="24">
        <f>P33</f>
        <v>96</v>
      </c>
      <c r="Q34" s="24">
        <f>Q33</f>
        <v>1.95</v>
      </c>
      <c r="R34" s="24">
        <f>R33</f>
        <v>122</v>
      </c>
      <c r="S34" s="24">
        <f>S33</f>
        <v>3.89</v>
      </c>
      <c r="T34" s="24">
        <f>T33</f>
        <v>2440</v>
      </c>
      <c r="U34" s="24">
        <f>U33</f>
        <v>0.98</v>
      </c>
      <c r="V34" s="24">
        <f>V33</f>
        <v>61</v>
      </c>
      <c r="W34" s="24">
        <f>W33</f>
        <v>36</v>
      </c>
      <c r="X34" s="24">
        <f>X33</f>
        <v>144</v>
      </c>
      <c r="Y34" s="24">
        <f>Y29</f>
        <v>5.0000000000000001E-3</v>
      </c>
      <c r="Z34" s="24">
        <f>Z29</f>
        <v>5.0000000000000001E-3</v>
      </c>
      <c r="AA34" s="24">
        <f>AA33</f>
        <v>300</v>
      </c>
      <c r="AB34" s="24">
        <f>AB33</f>
        <v>2440</v>
      </c>
      <c r="AC34" s="24">
        <f>AC33</f>
        <v>307440</v>
      </c>
      <c r="AD34" s="24">
        <f>AD33</f>
        <v>21960000</v>
      </c>
      <c r="AE34" s="28">
        <f t="shared" si="5"/>
        <v>7.5009138873610326E-2</v>
      </c>
      <c r="AF34" s="24">
        <f>AF29</f>
        <v>40</v>
      </c>
      <c r="AG34">
        <v>7.0000000000000007E-2</v>
      </c>
      <c r="AJ34" t="s">
        <v>253</v>
      </c>
    </row>
    <row r="35" spans="1:36" x14ac:dyDescent="0.25">
      <c r="A35" t="s">
        <v>247</v>
      </c>
      <c r="B35">
        <v>1</v>
      </c>
      <c r="C35" t="s">
        <v>168</v>
      </c>
      <c r="D35" t="s">
        <v>72</v>
      </c>
      <c r="E35" t="s">
        <v>16</v>
      </c>
      <c r="F35" t="s">
        <v>17</v>
      </c>
      <c r="G35" t="s">
        <v>24</v>
      </c>
      <c r="H35" s="24">
        <f>H30</f>
        <v>0.86</v>
      </c>
      <c r="I35" s="24">
        <f>I30</f>
        <v>0.86</v>
      </c>
      <c r="J35" s="24">
        <f>J32</f>
        <v>0.5</v>
      </c>
      <c r="K35" s="24">
        <f>K32</f>
        <v>1</v>
      </c>
      <c r="L35" s="24">
        <f>L30</f>
        <v>0.3</v>
      </c>
      <c r="M35" s="24">
        <f>M30</f>
        <v>-0.16</v>
      </c>
      <c r="N35" s="24">
        <f>N32</f>
        <v>3.22</v>
      </c>
      <c r="O35" s="24">
        <f>O32</f>
        <v>48</v>
      </c>
      <c r="P35" s="24">
        <f>P32</f>
        <v>48</v>
      </c>
      <c r="Q35" s="24">
        <f>Q32</f>
        <v>1.95</v>
      </c>
      <c r="R35" s="24">
        <f>R32</f>
        <v>35.65</v>
      </c>
      <c r="S35" s="24">
        <f>S32</f>
        <v>3.89</v>
      </c>
      <c r="T35" s="24">
        <f>T32</f>
        <v>690</v>
      </c>
      <c r="U35" s="24">
        <f>U32</f>
        <v>0.98</v>
      </c>
      <c r="V35" s="24">
        <f>V32</f>
        <v>17.829999999999998</v>
      </c>
      <c r="W35" s="24">
        <f>W32</f>
        <v>36</v>
      </c>
      <c r="X35" s="24">
        <f>X32</f>
        <v>144</v>
      </c>
      <c r="Y35" s="24">
        <f>Y30</f>
        <v>0.01</v>
      </c>
      <c r="Z35" s="24">
        <f>Z30</f>
        <v>0.01</v>
      </c>
      <c r="AA35" s="24">
        <f>AA32</f>
        <v>200</v>
      </c>
      <c r="AB35" s="24">
        <f>AB32</f>
        <v>690</v>
      </c>
      <c r="AC35" s="24">
        <f>AC32</f>
        <v>223559.99999999997</v>
      </c>
      <c r="AD35" s="24">
        <f>AD32</f>
        <v>10350000</v>
      </c>
      <c r="AE35" s="28">
        <f t="shared" si="5"/>
        <v>7.2459849539607671E-2</v>
      </c>
      <c r="AF35" s="24">
        <f>AF30</f>
        <v>50</v>
      </c>
      <c r="AG35">
        <v>7.0000000000000007E-2</v>
      </c>
      <c r="AJ35" t="s">
        <v>254</v>
      </c>
    </row>
    <row r="36" spans="1:36" x14ac:dyDescent="0.25">
      <c r="A36" t="s">
        <v>243</v>
      </c>
      <c r="B36">
        <v>1</v>
      </c>
      <c r="C36" t="s">
        <v>168</v>
      </c>
      <c r="D36" t="s">
        <v>72</v>
      </c>
      <c r="E36" t="s">
        <v>16</v>
      </c>
      <c r="F36" t="s">
        <v>17</v>
      </c>
      <c r="G36" t="s">
        <v>24</v>
      </c>
      <c r="H36" s="24">
        <f>H32</f>
        <v>0.93</v>
      </c>
      <c r="I36" s="24">
        <f>I32</f>
        <v>0.93</v>
      </c>
      <c r="J36" s="24">
        <f>J30</f>
        <v>0.2</v>
      </c>
      <c r="K36" s="24">
        <f>K32</f>
        <v>1</v>
      </c>
      <c r="L36" s="24">
        <f>L32</f>
        <v>0.5</v>
      </c>
      <c r="M36" s="24">
        <f>M32</f>
        <v>-0.14000000000000001</v>
      </c>
      <c r="N36" s="24">
        <f>N30</f>
        <v>2.33</v>
      </c>
      <c r="O36" s="24">
        <f t="shared" ref="O36:P36" si="23">O30</f>
        <v>4</v>
      </c>
      <c r="P36" s="24">
        <f t="shared" si="23"/>
        <v>10</v>
      </c>
      <c r="Q36" s="24">
        <f>Q30</f>
        <v>1.95</v>
      </c>
      <c r="R36" s="24">
        <f>R30</f>
        <v>11.66</v>
      </c>
      <c r="S36" s="24">
        <f t="shared" ref="S36:X36" si="24">S30</f>
        <v>3.89</v>
      </c>
      <c r="T36" s="24">
        <f t="shared" si="24"/>
        <v>424</v>
      </c>
      <c r="U36" s="24">
        <f t="shared" si="24"/>
        <v>0.98</v>
      </c>
      <c r="V36" s="24">
        <f t="shared" si="24"/>
        <v>5.83</v>
      </c>
      <c r="W36" s="24">
        <f t="shared" si="24"/>
        <v>36</v>
      </c>
      <c r="X36" s="24">
        <f t="shared" si="24"/>
        <v>144</v>
      </c>
      <c r="Y36" s="24">
        <f>Y32</f>
        <v>0.05</v>
      </c>
      <c r="Z36" s="24">
        <f>Z32</f>
        <v>0.05</v>
      </c>
      <c r="AA36" s="24">
        <f>AA30</f>
        <v>100</v>
      </c>
      <c r="AB36" s="24">
        <f>AB30</f>
        <v>424</v>
      </c>
      <c r="AC36" s="24">
        <f>AC30</f>
        <v>112572</v>
      </c>
      <c r="AD36" s="24">
        <f>AD30</f>
        <v>1908000</v>
      </c>
      <c r="AE36" s="28">
        <f t="shared" ref="AE36:AE37" si="25">-PMT(AG36,AF36,1)</f>
        <v>7.0619527184264883E-2</v>
      </c>
      <c r="AF36" s="24">
        <f>AF32</f>
        <v>70</v>
      </c>
      <c r="AG36">
        <v>7.0000000000000007E-2</v>
      </c>
      <c r="AJ36" t="s">
        <v>244</v>
      </c>
    </row>
    <row r="37" spans="1:36" x14ac:dyDescent="0.25">
      <c r="A37" t="s">
        <v>242</v>
      </c>
      <c r="B37">
        <v>1</v>
      </c>
      <c r="C37" t="s">
        <v>168</v>
      </c>
      <c r="D37" t="s">
        <v>72</v>
      </c>
      <c r="E37" t="s">
        <v>16</v>
      </c>
      <c r="F37" t="s">
        <v>17</v>
      </c>
      <c r="G37" t="s">
        <v>24</v>
      </c>
      <c r="H37" s="24">
        <f>H33</f>
        <v>0.94</v>
      </c>
      <c r="I37" s="24">
        <f>I33</f>
        <v>0.94</v>
      </c>
      <c r="J37" s="24">
        <f>J29</f>
        <v>0.15</v>
      </c>
      <c r="K37" s="24">
        <f>K33</f>
        <v>1</v>
      </c>
      <c r="L37" s="24">
        <f>L33</f>
        <v>0.6</v>
      </c>
      <c r="M37" s="24">
        <f>M33</f>
        <v>-0.13</v>
      </c>
      <c r="N37" s="24">
        <f>N29</f>
        <v>1.2</v>
      </c>
      <c r="O37" s="24">
        <f t="shared" ref="O37:P37" si="26">O29</f>
        <v>2</v>
      </c>
      <c r="P37" s="24">
        <f t="shared" si="26"/>
        <v>2</v>
      </c>
      <c r="Q37" s="24">
        <f t="shared" ref="Q37:X37" si="27">Q29</f>
        <v>1.95</v>
      </c>
      <c r="R37" s="24">
        <f t="shared" si="27"/>
        <v>5</v>
      </c>
      <c r="S37" s="24">
        <f t="shared" si="27"/>
        <v>3.89</v>
      </c>
      <c r="T37" s="24">
        <f t="shared" si="27"/>
        <v>300</v>
      </c>
      <c r="U37" s="24">
        <f t="shared" si="27"/>
        <v>0.98</v>
      </c>
      <c r="V37" s="24">
        <f t="shared" si="27"/>
        <v>2.5</v>
      </c>
      <c r="W37" s="24">
        <f t="shared" si="27"/>
        <v>36</v>
      </c>
      <c r="X37" s="24">
        <f t="shared" si="27"/>
        <v>144</v>
      </c>
      <c r="Y37" s="24">
        <f>Y33</f>
        <v>0.1</v>
      </c>
      <c r="Z37" s="24">
        <f>Z33</f>
        <v>0.2</v>
      </c>
      <c r="AA37" s="24">
        <f>AA29</f>
        <v>20</v>
      </c>
      <c r="AB37" s="24">
        <f>AB29</f>
        <v>300</v>
      </c>
      <c r="AC37" s="24">
        <f>AC29</f>
        <v>30000</v>
      </c>
      <c r="AD37" s="24">
        <f>AD29</f>
        <v>1350000</v>
      </c>
      <c r="AE37" s="28">
        <f t="shared" si="25"/>
        <v>7.0313571760871663E-2</v>
      </c>
      <c r="AF37" s="24">
        <f>AF33</f>
        <v>80</v>
      </c>
      <c r="AG37">
        <v>7.0000000000000007E-2</v>
      </c>
      <c r="AJ37" t="s">
        <v>245</v>
      </c>
    </row>
    <row r="38" spans="1:36" x14ac:dyDescent="0.25">
      <c r="A38" t="s">
        <v>181</v>
      </c>
      <c r="B38">
        <v>1</v>
      </c>
      <c r="C38" t="s">
        <v>169</v>
      </c>
      <c r="D38" t="s">
        <v>170</v>
      </c>
      <c r="E38" t="s">
        <v>16</v>
      </c>
      <c r="F38" t="s">
        <v>24</v>
      </c>
      <c r="H38" s="17">
        <v>0.81</v>
      </c>
      <c r="I38" s="17">
        <v>0.81</v>
      </c>
      <c r="J38" s="17">
        <v>0.15</v>
      </c>
      <c r="K38" s="17">
        <v>1</v>
      </c>
      <c r="N38" s="18">
        <v>0</v>
      </c>
      <c r="O38" s="18">
        <v>2</v>
      </c>
      <c r="P38" s="18">
        <v>2</v>
      </c>
      <c r="Q38" s="24">
        <f t="shared" si="0"/>
        <v>1.95</v>
      </c>
      <c r="R38" s="26">
        <v>1</v>
      </c>
      <c r="S38" s="19">
        <v>3.89</v>
      </c>
      <c r="T38" s="19">
        <v>50</v>
      </c>
      <c r="U38" s="24">
        <f t="shared" si="10"/>
        <v>0.98</v>
      </c>
      <c r="V38" s="24">
        <f t="shared" si="11"/>
        <v>0.5</v>
      </c>
      <c r="W38" s="18">
        <v>36</v>
      </c>
      <c r="X38" s="24">
        <f t="shared" si="4"/>
        <v>144</v>
      </c>
      <c r="Y38" s="18">
        <v>5.0000000000000001E-3</v>
      </c>
      <c r="Z38" s="18">
        <v>5.0000000000000001E-3</v>
      </c>
      <c r="AA38" s="18">
        <v>20</v>
      </c>
      <c r="AB38" s="24">
        <f t="shared" si="18"/>
        <v>50</v>
      </c>
      <c r="AC38" s="18">
        <v>7320</v>
      </c>
      <c r="AD38" s="18">
        <v>244000</v>
      </c>
      <c r="AE38" s="28">
        <f t="shared" si="5"/>
        <v>7.5009138873610326E-2</v>
      </c>
      <c r="AF38" s="17">
        <v>40</v>
      </c>
      <c r="AG38">
        <v>7.0000000000000007E-2</v>
      </c>
    </row>
    <row r="39" spans="1:36" x14ac:dyDescent="0.25">
      <c r="A39" t="s">
        <v>66</v>
      </c>
      <c r="B39">
        <v>1</v>
      </c>
      <c r="C39" t="s">
        <v>169</v>
      </c>
      <c r="D39" t="s">
        <v>170</v>
      </c>
      <c r="E39" t="s">
        <v>16</v>
      </c>
      <c r="F39" t="s">
        <v>24</v>
      </c>
      <c r="H39" s="17">
        <v>0.88</v>
      </c>
      <c r="I39" s="17">
        <v>0.88</v>
      </c>
      <c r="J39" s="17">
        <v>0.2</v>
      </c>
      <c r="K39" s="17">
        <v>1</v>
      </c>
      <c r="N39" s="17">
        <v>0.5</v>
      </c>
      <c r="O39" s="18">
        <v>4</v>
      </c>
      <c r="P39" s="27">
        <v>10</v>
      </c>
      <c r="Q39" s="24">
        <f t="shared" si="0"/>
        <v>1.95</v>
      </c>
      <c r="R39" s="26">
        <v>5</v>
      </c>
      <c r="S39" s="19">
        <v>3.89</v>
      </c>
      <c r="T39" s="19">
        <v>150</v>
      </c>
      <c r="U39" s="24">
        <f t="shared" si="10"/>
        <v>0.98</v>
      </c>
      <c r="V39" s="24">
        <f t="shared" si="11"/>
        <v>2.5</v>
      </c>
      <c r="W39" s="18">
        <v>36</v>
      </c>
      <c r="X39" s="24">
        <f t="shared" si="4"/>
        <v>144</v>
      </c>
      <c r="Y39" s="18">
        <v>0.01</v>
      </c>
      <c r="Z39" s="18">
        <v>0.01</v>
      </c>
      <c r="AA39" s="27">
        <v>100</v>
      </c>
      <c r="AB39" s="24">
        <f t="shared" si="18"/>
        <v>150</v>
      </c>
      <c r="AC39" s="17">
        <v>27000</v>
      </c>
      <c r="AD39" s="17">
        <v>489000</v>
      </c>
      <c r="AE39" s="28">
        <f t="shared" si="5"/>
        <v>7.2459849539607671E-2</v>
      </c>
      <c r="AF39" s="17">
        <v>50</v>
      </c>
      <c r="AG39">
        <v>7.0000000000000007E-2</v>
      </c>
    </row>
    <row r="40" spans="1:36" x14ac:dyDescent="0.25">
      <c r="A40" t="s">
        <v>67</v>
      </c>
      <c r="B40">
        <v>1</v>
      </c>
      <c r="C40" t="s">
        <v>169</v>
      </c>
      <c r="D40" t="s">
        <v>170</v>
      </c>
      <c r="E40" t="s">
        <v>16</v>
      </c>
      <c r="F40" t="s">
        <v>24</v>
      </c>
      <c r="H40" s="17">
        <v>0.9</v>
      </c>
      <c r="I40" s="17">
        <v>0.9</v>
      </c>
      <c r="J40" s="17">
        <v>0.4</v>
      </c>
      <c r="K40" s="17">
        <v>1</v>
      </c>
      <c r="N40" s="17">
        <v>1</v>
      </c>
      <c r="O40" s="18">
        <v>6</v>
      </c>
      <c r="P40" s="27">
        <v>12</v>
      </c>
      <c r="Q40" s="24">
        <f t="shared" si="0"/>
        <v>1.95</v>
      </c>
      <c r="R40" s="26">
        <v>11</v>
      </c>
      <c r="S40" s="19">
        <v>3.89</v>
      </c>
      <c r="T40" s="19">
        <v>250</v>
      </c>
      <c r="U40" s="24">
        <f t="shared" si="10"/>
        <v>0.98</v>
      </c>
      <c r="V40" s="24">
        <f t="shared" si="11"/>
        <v>5.5</v>
      </c>
      <c r="W40" s="18">
        <v>36</v>
      </c>
      <c r="X40" s="24">
        <f t="shared" si="4"/>
        <v>144</v>
      </c>
      <c r="Y40" s="18">
        <v>0.03</v>
      </c>
      <c r="Z40" s="18">
        <v>0.03</v>
      </c>
      <c r="AA40" s="27">
        <v>150</v>
      </c>
      <c r="AB40" s="24">
        <f t="shared" si="18"/>
        <v>250</v>
      </c>
      <c r="AC40" s="17">
        <v>33000</v>
      </c>
      <c r="AD40" s="17">
        <v>978000</v>
      </c>
      <c r="AE40" s="28">
        <f t="shared" si="5"/>
        <v>7.122922550001945E-2</v>
      </c>
      <c r="AF40" s="17">
        <v>60</v>
      </c>
      <c r="AG40">
        <v>7.0000000000000007E-2</v>
      </c>
      <c r="AJ40" t="s">
        <v>194</v>
      </c>
    </row>
    <row r="41" spans="1:36" x14ac:dyDescent="0.25">
      <c r="A41" t="s">
        <v>68</v>
      </c>
      <c r="B41">
        <v>1</v>
      </c>
      <c r="C41" t="s">
        <v>169</v>
      </c>
      <c r="D41" t="s">
        <v>170</v>
      </c>
      <c r="E41" t="s">
        <v>16</v>
      </c>
      <c r="F41" t="s">
        <v>24</v>
      </c>
      <c r="H41" s="17">
        <v>0.92</v>
      </c>
      <c r="I41" s="17">
        <v>0.92</v>
      </c>
      <c r="J41" s="17">
        <v>0.5</v>
      </c>
      <c r="K41" s="17">
        <v>1</v>
      </c>
      <c r="N41" s="17">
        <v>2</v>
      </c>
      <c r="O41" s="18">
        <v>48</v>
      </c>
      <c r="P41" s="27">
        <v>48</v>
      </c>
      <c r="Q41" s="24">
        <f t="shared" si="0"/>
        <v>1.95</v>
      </c>
      <c r="R41" s="26">
        <v>21</v>
      </c>
      <c r="S41" s="19">
        <v>3.89</v>
      </c>
      <c r="T41" s="19">
        <v>350</v>
      </c>
      <c r="U41" s="24">
        <f t="shared" si="10"/>
        <v>0.98</v>
      </c>
      <c r="V41" s="24">
        <f t="shared" si="11"/>
        <v>10.5</v>
      </c>
      <c r="W41" s="18">
        <v>36</v>
      </c>
      <c r="X41" s="24">
        <f t="shared" si="4"/>
        <v>144</v>
      </c>
      <c r="Y41" s="18">
        <v>0.05</v>
      </c>
      <c r="Z41" s="18">
        <v>0.05</v>
      </c>
      <c r="AA41" s="27">
        <v>200</v>
      </c>
      <c r="AB41" s="24">
        <f t="shared" si="18"/>
        <v>350</v>
      </c>
      <c r="AC41" s="17">
        <v>40000</v>
      </c>
      <c r="AD41" s="17">
        <v>1466000</v>
      </c>
      <c r="AE41" s="28">
        <f t="shared" si="5"/>
        <v>7.0619527184264883E-2</v>
      </c>
      <c r="AF41" s="18">
        <v>70</v>
      </c>
      <c r="AG41">
        <v>7.0000000000000007E-2</v>
      </c>
    </row>
    <row r="42" spans="1:36" x14ac:dyDescent="0.25">
      <c r="A42" t="s">
        <v>180</v>
      </c>
      <c r="B42">
        <v>1</v>
      </c>
      <c r="C42" t="s">
        <v>169</v>
      </c>
      <c r="D42" t="s">
        <v>170</v>
      </c>
      <c r="E42" t="s">
        <v>16</v>
      </c>
      <c r="F42" t="s">
        <v>24</v>
      </c>
      <c r="H42" s="17">
        <v>0.94</v>
      </c>
      <c r="I42" s="17">
        <v>0.94</v>
      </c>
      <c r="J42" s="17">
        <v>0.95</v>
      </c>
      <c r="K42" s="17">
        <v>1</v>
      </c>
      <c r="N42" s="27">
        <v>6.3</v>
      </c>
      <c r="O42" s="18">
        <v>96</v>
      </c>
      <c r="P42" s="18">
        <v>96</v>
      </c>
      <c r="Q42" s="24">
        <f>ROUND(S42/2,2)</f>
        <v>1.95</v>
      </c>
      <c r="R42" s="26">
        <v>50</v>
      </c>
      <c r="S42" s="19">
        <v>3.89</v>
      </c>
      <c r="T42" s="19">
        <v>1000</v>
      </c>
      <c r="U42" s="24">
        <f t="shared" si="10"/>
        <v>0.98</v>
      </c>
      <c r="V42" s="24">
        <f t="shared" si="11"/>
        <v>25</v>
      </c>
      <c r="W42" s="18">
        <v>36</v>
      </c>
      <c r="X42" s="24">
        <f t="shared" si="4"/>
        <v>144</v>
      </c>
      <c r="Y42" s="18">
        <v>0.1</v>
      </c>
      <c r="Z42" s="18">
        <v>0.2</v>
      </c>
      <c r="AA42" s="18">
        <v>300</v>
      </c>
      <c r="AB42" s="24">
        <f t="shared" si="18"/>
        <v>1000</v>
      </c>
      <c r="AC42" s="18">
        <v>67500</v>
      </c>
      <c r="AD42" s="18">
        <v>2250000</v>
      </c>
      <c r="AE42" s="28">
        <f t="shared" si="5"/>
        <v>7.0313571760871663E-2</v>
      </c>
      <c r="AF42" s="18">
        <v>80</v>
      </c>
      <c r="AG42">
        <v>7.0000000000000007E-2</v>
      </c>
    </row>
    <row r="43" spans="1:36" x14ac:dyDescent="0.25">
      <c r="A43" t="s">
        <v>246</v>
      </c>
      <c r="B43">
        <v>1</v>
      </c>
      <c r="C43" t="s">
        <v>169</v>
      </c>
      <c r="D43" t="s">
        <v>170</v>
      </c>
      <c r="E43" t="s">
        <v>16</v>
      </c>
      <c r="F43" t="s">
        <v>24</v>
      </c>
      <c r="H43" s="24">
        <f>H38</f>
        <v>0.81</v>
      </c>
      <c r="I43" s="24">
        <f>I38</f>
        <v>0.81</v>
      </c>
      <c r="J43" s="24">
        <f>J42</f>
        <v>0.95</v>
      </c>
      <c r="K43" s="24">
        <f>K42</f>
        <v>1</v>
      </c>
      <c r="N43" s="24">
        <f>N42</f>
        <v>6.3</v>
      </c>
      <c r="O43" s="24">
        <f>O42</f>
        <v>96</v>
      </c>
      <c r="P43" s="24">
        <f>P42</f>
        <v>96</v>
      </c>
      <c r="Q43" s="24">
        <f>Q42</f>
        <v>1.95</v>
      </c>
      <c r="R43" s="24">
        <f>R42</f>
        <v>50</v>
      </c>
      <c r="S43" s="24">
        <f>S42</f>
        <v>3.89</v>
      </c>
      <c r="T43" s="24">
        <f>T42</f>
        <v>1000</v>
      </c>
      <c r="U43" s="24">
        <f>U42</f>
        <v>0.98</v>
      </c>
      <c r="V43" s="24">
        <f>V42</f>
        <v>25</v>
      </c>
      <c r="W43" s="24">
        <f>W42</f>
        <v>36</v>
      </c>
      <c r="X43" s="24">
        <f>X42</f>
        <v>144</v>
      </c>
      <c r="Y43" s="24">
        <f>Y38</f>
        <v>5.0000000000000001E-3</v>
      </c>
      <c r="Z43" s="24">
        <f>Z38</f>
        <v>5.0000000000000001E-3</v>
      </c>
      <c r="AA43" s="24">
        <f>AA42</f>
        <v>300</v>
      </c>
      <c r="AB43" s="24">
        <f>AB42</f>
        <v>1000</v>
      </c>
      <c r="AC43" s="24">
        <f>AC42</f>
        <v>67500</v>
      </c>
      <c r="AD43" s="24">
        <f>AD42</f>
        <v>2250000</v>
      </c>
      <c r="AE43" s="28">
        <f t="shared" ref="AE43:AE44" si="28">-PMT(AG43,AF43,1)</f>
        <v>7.5009138873610326E-2</v>
      </c>
      <c r="AF43" s="24">
        <f>AF38</f>
        <v>40</v>
      </c>
      <c r="AG43">
        <v>7.0000000000000007E-2</v>
      </c>
      <c r="AJ43" t="s">
        <v>253</v>
      </c>
    </row>
    <row r="44" spans="1:36" x14ac:dyDescent="0.25">
      <c r="A44" t="s">
        <v>247</v>
      </c>
      <c r="B44">
        <v>1</v>
      </c>
      <c r="C44" t="s">
        <v>169</v>
      </c>
      <c r="D44" t="s">
        <v>170</v>
      </c>
      <c r="E44" t="s">
        <v>16</v>
      </c>
      <c r="F44" t="s">
        <v>24</v>
      </c>
      <c r="H44" s="24">
        <f>H39</f>
        <v>0.88</v>
      </c>
      <c r="I44" s="24">
        <f>I39</f>
        <v>0.88</v>
      </c>
      <c r="J44" s="24">
        <f>J41</f>
        <v>0.5</v>
      </c>
      <c r="K44" s="24">
        <f>K41</f>
        <v>1</v>
      </c>
      <c r="N44" s="24">
        <f>N41</f>
        <v>2</v>
      </c>
      <c r="O44" s="24">
        <f>O41</f>
        <v>48</v>
      </c>
      <c r="P44" s="24">
        <f>P41</f>
        <v>48</v>
      </c>
      <c r="Q44" s="24">
        <f>Q41</f>
        <v>1.95</v>
      </c>
      <c r="R44" s="24">
        <f>R41</f>
        <v>21</v>
      </c>
      <c r="S44" s="24">
        <f>S41</f>
        <v>3.89</v>
      </c>
      <c r="T44" s="24">
        <f>T41</f>
        <v>350</v>
      </c>
      <c r="U44" s="24">
        <f>U41</f>
        <v>0.98</v>
      </c>
      <c r="V44" s="24">
        <f>V41</f>
        <v>10.5</v>
      </c>
      <c r="W44" s="24">
        <f>W41</f>
        <v>36</v>
      </c>
      <c r="X44" s="24">
        <f>X41</f>
        <v>144</v>
      </c>
      <c r="Y44" s="24">
        <f>Y39</f>
        <v>0.01</v>
      </c>
      <c r="Z44" s="24">
        <f>Z39</f>
        <v>0.01</v>
      </c>
      <c r="AA44" s="24">
        <f>AA41</f>
        <v>200</v>
      </c>
      <c r="AB44" s="24">
        <f>AB41</f>
        <v>350</v>
      </c>
      <c r="AC44" s="24">
        <f>AC41</f>
        <v>40000</v>
      </c>
      <c r="AD44" s="24">
        <f>AD41</f>
        <v>1466000</v>
      </c>
      <c r="AE44" s="28">
        <f t="shared" si="28"/>
        <v>7.2459849539607671E-2</v>
      </c>
      <c r="AF44" s="24">
        <f>AF39</f>
        <v>50</v>
      </c>
      <c r="AG44">
        <v>7.0000000000000007E-2</v>
      </c>
      <c r="AJ44" t="s">
        <v>254</v>
      </c>
    </row>
    <row r="45" spans="1:36" x14ac:dyDescent="0.25">
      <c r="A45" t="s">
        <v>243</v>
      </c>
      <c r="B45">
        <v>1</v>
      </c>
      <c r="C45" t="s">
        <v>169</v>
      </c>
      <c r="D45" t="s">
        <v>170</v>
      </c>
      <c r="E45" t="s">
        <v>16</v>
      </c>
      <c r="F45" t="s">
        <v>24</v>
      </c>
      <c r="H45" s="24">
        <f>H41</f>
        <v>0.92</v>
      </c>
      <c r="I45" s="24">
        <f>I41</f>
        <v>0.92</v>
      </c>
      <c r="J45" s="24">
        <f>J39</f>
        <v>0.2</v>
      </c>
      <c r="K45" s="24">
        <f>K41</f>
        <v>1</v>
      </c>
      <c r="N45" s="24">
        <f>N39</f>
        <v>0.5</v>
      </c>
      <c r="O45" s="24">
        <f t="shared" ref="O45:P45" si="29">O39</f>
        <v>4</v>
      </c>
      <c r="P45" s="24">
        <f t="shared" si="29"/>
        <v>10</v>
      </c>
      <c r="Q45" s="24">
        <f>Q39</f>
        <v>1.95</v>
      </c>
      <c r="R45" s="24">
        <f>R39</f>
        <v>5</v>
      </c>
      <c r="S45" s="24">
        <f t="shared" ref="S45:X45" si="30">S39</f>
        <v>3.89</v>
      </c>
      <c r="T45" s="24">
        <f t="shared" si="30"/>
        <v>150</v>
      </c>
      <c r="U45" s="24">
        <f t="shared" si="30"/>
        <v>0.98</v>
      </c>
      <c r="V45" s="24">
        <f t="shared" si="30"/>
        <v>2.5</v>
      </c>
      <c r="W45" s="24">
        <f t="shared" si="30"/>
        <v>36</v>
      </c>
      <c r="X45" s="24">
        <f t="shared" si="30"/>
        <v>144</v>
      </c>
      <c r="Y45" s="24">
        <f>Y41</f>
        <v>0.05</v>
      </c>
      <c r="Z45" s="24">
        <f>Z41</f>
        <v>0.05</v>
      </c>
      <c r="AA45" s="24">
        <f>AA39</f>
        <v>100</v>
      </c>
      <c r="AB45" s="24">
        <f>AB39</f>
        <v>150</v>
      </c>
      <c r="AC45" s="24">
        <f>AC39</f>
        <v>27000</v>
      </c>
      <c r="AD45" s="24">
        <f>AD39</f>
        <v>489000</v>
      </c>
      <c r="AE45" s="28">
        <f t="shared" ref="AE45:AE46" si="31">-PMT(AG45,AF45,1)</f>
        <v>7.0619527184264883E-2</v>
      </c>
      <c r="AF45" s="24">
        <f>AF41</f>
        <v>70</v>
      </c>
      <c r="AG45">
        <v>7.0000000000000007E-2</v>
      </c>
      <c r="AJ45" t="s">
        <v>244</v>
      </c>
    </row>
    <row r="46" spans="1:36" x14ac:dyDescent="0.25">
      <c r="A46" t="s">
        <v>242</v>
      </c>
      <c r="B46">
        <v>1</v>
      </c>
      <c r="C46" t="s">
        <v>169</v>
      </c>
      <c r="D46" t="s">
        <v>170</v>
      </c>
      <c r="E46" t="s">
        <v>16</v>
      </c>
      <c r="F46" t="s">
        <v>24</v>
      </c>
      <c r="H46" s="24">
        <f>H42</f>
        <v>0.94</v>
      </c>
      <c r="I46" s="24">
        <f>I42</f>
        <v>0.94</v>
      </c>
      <c r="J46" s="24">
        <f>J38</f>
        <v>0.15</v>
      </c>
      <c r="K46" s="24">
        <f>K42</f>
        <v>1</v>
      </c>
      <c r="N46" s="24">
        <f>N38</f>
        <v>0</v>
      </c>
      <c r="O46" s="24">
        <f t="shared" ref="O46:P46" si="32">O38</f>
        <v>2</v>
      </c>
      <c r="P46" s="24">
        <f t="shared" si="32"/>
        <v>2</v>
      </c>
      <c r="Q46" s="24">
        <f t="shared" ref="Q46:X46" si="33">Q38</f>
        <v>1.95</v>
      </c>
      <c r="R46" s="24">
        <f t="shared" si="33"/>
        <v>1</v>
      </c>
      <c r="S46" s="24">
        <f t="shared" si="33"/>
        <v>3.89</v>
      </c>
      <c r="T46" s="24">
        <f t="shared" si="33"/>
        <v>50</v>
      </c>
      <c r="U46" s="24">
        <f t="shared" si="33"/>
        <v>0.98</v>
      </c>
      <c r="V46" s="24">
        <f t="shared" si="33"/>
        <v>0.5</v>
      </c>
      <c r="W46" s="24">
        <f t="shared" si="33"/>
        <v>36</v>
      </c>
      <c r="X46" s="24">
        <f t="shared" si="33"/>
        <v>144</v>
      </c>
      <c r="Y46" s="24">
        <f>Y42</f>
        <v>0.1</v>
      </c>
      <c r="Z46" s="24">
        <f>Z42</f>
        <v>0.2</v>
      </c>
      <c r="AA46" s="24">
        <f>AA38</f>
        <v>20</v>
      </c>
      <c r="AB46" s="24">
        <f>AB38</f>
        <v>50</v>
      </c>
      <c r="AC46" s="24">
        <f>AC38</f>
        <v>7320</v>
      </c>
      <c r="AD46" s="24">
        <f>AD38</f>
        <v>244000</v>
      </c>
      <c r="AE46" s="28">
        <f t="shared" si="31"/>
        <v>7.0313571760871663E-2</v>
      </c>
      <c r="AF46" s="24">
        <f>AF42</f>
        <v>80</v>
      </c>
      <c r="AG46">
        <v>7.0000000000000007E-2</v>
      </c>
      <c r="AJ46" t="s">
        <v>245</v>
      </c>
    </row>
    <row r="47" spans="1:36" x14ac:dyDescent="0.25">
      <c r="A47" t="s">
        <v>181</v>
      </c>
      <c r="B47">
        <v>1</v>
      </c>
      <c r="C47" t="s">
        <v>172</v>
      </c>
      <c r="D47" t="s">
        <v>73</v>
      </c>
      <c r="E47" t="s">
        <v>16</v>
      </c>
      <c r="F47" t="s">
        <v>17</v>
      </c>
      <c r="H47" s="18">
        <v>0.23</v>
      </c>
      <c r="I47" s="18">
        <v>0.23</v>
      </c>
      <c r="J47" s="18">
        <v>0.15</v>
      </c>
      <c r="K47" s="18">
        <v>1</v>
      </c>
      <c r="N47" s="19">
        <v>1.2</v>
      </c>
      <c r="O47" s="19">
        <v>1</v>
      </c>
      <c r="P47" s="19">
        <v>1</v>
      </c>
      <c r="Q47" s="24">
        <f t="shared" si="0"/>
        <v>1.95</v>
      </c>
      <c r="R47" s="26">
        <v>5</v>
      </c>
      <c r="S47" s="19">
        <v>3.89</v>
      </c>
      <c r="T47" s="19">
        <v>300</v>
      </c>
      <c r="U47" s="24">
        <f t="shared" si="10"/>
        <v>0.98</v>
      </c>
      <c r="V47" s="24">
        <f t="shared" si="11"/>
        <v>2.5</v>
      </c>
      <c r="W47" s="19">
        <v>18</v>
      </c>
      <c r="X47" s="24">
        <f t="shared" si="4"/>
        <v>72</v>
      </c>
      <c r="Y47" s="18">
        <v>5.0000000000000001E-3</v>
      </c>
      <c r="Z47" s="18">
        <v>5.0000000000000001E-3</v>
      </c>
      <c r="AA47" s="17">
        <v>1</v>
      </c>
      <c r="AB47" s="24">
        <f t="shared" si="18"/>
        <v>300</v>
      </c>
      <c r="AC47" s="19">
        <f>150000*AI47</f>
        <v>135000</v>
      </c>
      <c r="AD47" s="17">
        <f>4000000*AI47</f>
        <v>3600000</v>
      </c>
      <c r="AE47" s="28">
        <f t="shared" si="5"/>
        <v>7.5009138873610326E-2</v>
      </c>
      <c r="AF47" s="17">
        <v>40</v>
      </c>
      <c r="AG47">
        <v>7.0000000000000007E-2</v>
      </c>
      <c r="AI47">
        <v>0.9</v>
      </c>
    </row>
    <row r="48" spans="1:36" x14ac:dyDescent="0.25">
      <c r="A48" t="s">
        <v>66</v>
      </c>
      <c r="B48">
        <v>1</v>
      </c>
      <c r="C48" t="s">
        <v>172</v>
      </c>
      <c r="D48" t="s">
        <v>73</v>
      </c>
      <c r="E48" t="s">
        <v>16</v>
      </c>
      <c r="F48" t="s">
        <v>17</v>
      </c>
      <c r="H48" s="18">
        <v>0.31</v>
      </c>
      <c r="I48" s="18">
        <v>0.31</v>
      </c>
      <c r="J48" s="18">
        <v>0.2</v>
      </c>
      <c r="K48" s="18">
        <v>1</v>
      </c>
      <c r="N48" s="19">
        <v>2.2000000000000002</v>
      </c>
      <c r="O48" s="19">
        <v>2</v>
      </c>
      <c r="P48" s="26">
        <v>5</v>
      </c>
      <c r="Q48" s="24">
        <f t="shared" si="0"/>
        <v>1.95</v>
      </c>
      <c r="R48" s="26">
        <v>11</v>
      </c>
      <c r="S48" s="19">
        <v>3.89</v>
      </c>
      <c r="T48" s="19">
        <v>400</v>
      </c>
      <c r="U48" s="24">
        <f t="shared" si="10"/>
        <v>0.98</v>
      </c>
      <c r="V48" s="24">
        <f t="shared" si="11"/>
        <v>5.5</v>
      </c>
      <c r="W48" s="19">
        <v>18</v>
      </c>
      <c r="X48" s="24">
        <f t="shared" si="4"/>
        <v>72</v>
      </c>
      <c r="Y48" s="18">
        <v>0.01</v>
      </c>
      <c r="Z48" s="18">
        <v>0.01</v>
      </c>
      <c r="AA48" s="27">
        <v>5</v>
      </c>
      <c r="AB48" s="24">
        <f t="shared" si="18"/>
        <v>400</v>
      </c>
      <c r="AC48" s="17">
        <f>250000*AI48</f>
        <v>225000</v>
      </c>
      <c r="AD48" s="17">
        <f>10000000*AI48</f>
        <v>9000000</v>
      </c>
      <c r="AE48" s="28">
        <f t="shared" si="5"/>
        <v>7.2459849539607671E-2</v>
      </c>
      <c r="AF48" s="17">
        <v>50</v>
      </c>
      <c r="AG48">
        <v>7.0000000000000007E-2</v>
      </c>
      <c r="AI48">
        <v>0.9</v>
      </c>
    </row>
    <row r="49" spans="1:36" x14ac:dyDescent="0.25">
      <c r="A49" t="s">
        <v>67</v>
      </c>
      <c r="B49">
        <v>1</v>
      </c>
      <c r="C49" t="s">
        <v>172</v>
      </c>
      <c r="D49" t="s">
        <v>73</v>
      </c>
      <c r="E49" t="s">
        <v>16</v>
      </c>
      <c r="F49" t="s">
        <v>17</v>
      </c>
      <c r="H49" s="18">
        <v>0.33</v>
      </c>
      <c r="I49" s="18">
        <v>0.33</v>
      </c>
      <c r="J49" s="18">
        <v>0.4</v>
      </c>
      <c r="K49" s="18">
        <v>1</v>
      </c>
      <c r="N49" s="19">
        <v>2.6</v>
      </c>
      <c r="O49" s="19">
        <v>3</v>
      </c>
      <c r="P49" s="26">
        <v>6</v>
      </c>
      <c r="Q49" s="24">
        <f t="shared" si="0"/>
        <v>1.95</v>
      </c>
      <c r="R49" s="26">
        <v>21</v>
      </c>
      <c r="S49" s="19">
        <v>3.89</v>
      </c>
      <c r="T49" s="19">
        <v>500</v>
      </c>
      <c r="U49" s="24">
        <f t="shared" si="10"/>
        <v>0.98</v>
      </c>
      <c r="V49" s="24">
        <f t="shared" si="11"/>
        <v>10.5</v>
      </c>
      <c r="W49" s="19">
        <v>18</v>
      </c>
      <c r="X49" s="24">
        <f t="shared" si="4"/>
        <v>72</v>
      </c>
      <c r="Y49" s="18">
        <v>0.03</v>
      </c>
      <c r="Z49" s="18">
        <v>0.03</v>
      </c>
      <c r="AA49" s="27">
        <v>10</v>
      </c>
      <c r="AB49" s="24">
        <f t="shared" si="18"/>
        <v>500</v>
      </c>
      <c r="AC49" s="17">
        <f>350000*AI49</f>
        <v>315000</v>
      </c>
      <c r="AD49" s="17">
        <f>15000000*AI49</f>
        <v>13500000</v>
      </c>
      <c r="AE49" s="28">
        <f t="shared" si="5"/>
        <v>7.122922550001945E-2</v>
      </c>
      <c r="AF49" s="17">
        <v>60</v>
      </c>
      <c r="AG49">
        <v>7.0000000000000007E-2</v>
      </c>
      <c r="AI49">
        <v>0.9</v>
      </c>
      <c r="AJ49" t="s">
        <v>195</v>
      </c>
    </row>
    <row r="50" spans="1:36" x14ac:dyDescent="0.25">
      <c r="A50" t="s">
        <v>68</v>
      </c>
      <c r="B50">
        <v>1</v>
      </c>
      <c r="C50" t="s">
        <v>172</v>
      </c>
      <c r="D50" t="s">
        <v>73</v>
      </c>
      <c r="E50" t="s">
        <v>16</v>
      </c>
      <c r="F50" t="s">
        <v>17</v>
      </c>
      <c r="H50" s="18">
        <v>0.35</v>
      </c>
      <c r="I50" s="18">
        <v>0.35</v>
      </c>
      <c r="J50" s="18">
        <v>0.5</v>
      </c>
      <c r="K50" s="18">
        <v>1</v>
      </c>
      <c r="N50" s="19">
        <v>2.8</v>
      </c>
      <c r="O50" s="19">
        <v>24</v>
      </c>
      <c r="P50" s="26">
        <v>24</v>
      </c>
      <c r="Q50" s="24">
        <f t="shared" si="0"/>
        <v>1.95</v>
      </c>
      <c r="R50" s="26">
        <v>31</v>
      </c>
      <c r="S50" s="19">
        <v>3.89</v>
      </c>
      <c r="T50" s="19">
        <v>600</v>
      </c>
      <c r="U50" s="24">
        <f t="shared" si="10"/>
        <v>0.98</v>
      </c>
      <c r="V50" s="24">
        <f t="shared" si="11"/>
        <v>15.5</v>
      </c>
      <c r="W50" s="19">
        <v>18</v>
      </c>
      <c r="X50" s="24">
        <f t="shared" si="4"/>
        <v>72</v>
      </c>
      <c r="Y50" s="18">
        <v>0.05</v>
      </c>
      <c r="Z50" s="18">
        <v>0.05</v>
      </c>
      <c r="AA50" s="27">
        <v>15</v>
      </c>
      <c r="AB50" s="24">
        <f t="shared" si="18"/>
        <v>600</v>
      </c>
      <c r="AC50" s="17">
        <f>450000*AI50</f>
        <v>405000</v>
      </c>
      <c r="AD50" s="17">
        <f>20000000*AI50</f>
        <v>18000000</v>
      </c>
      <c r="AE50" s="28">
        <f t="shared" si="5"/>
        <v>7.0619527184264883E-2</v>
      </c>
      <c r="AF50" s="18">
        <v>70</v>
      </c>
      <c r="AG50">
        <v>7.0000000000000007E-2</v>
      </c>
      <c r="AI50">
        <v>0.9</v>
      </c>
    </row>
    <row r="51" spans="1:36" x14ac:dyDescent="0.25">
      <c r="A51" t="s">
        <v>180</v>
      </c>
      <c r="B51">
        <v>1</v>
      </c>
      <c r="C51" t="s">
        <v>172</v>
      </c>
      <c r="D51" t="s">
        <v>73</v>
      </c>
      <c r="E51" t="s">
        <v>16</v>
      </c>
      <c r="F51" t="s">
        <v>17</v>
      </c>
      <c r="H51" s="18">
        <v>0.42</v>
      </c>
      <c r="I51" s="18">
        <v>0.42</v>
      </c>
      <c r="J51" s="18">
        <v>0.95</v>
      </c>
      <c r="K51" s="18">
        <v>1</v>
      </c>
      <c r="N51" s="26">
        <v>16.399999999999999</v>
      </c>
      <c r="O51" s="19">
        <v>48</v>
      </c>
      <c r="P51" s="19">
        <v>48</v>
      </c>
      <c r="Q51" s="24">
        <f t="shared" si="0"/>
        <v>1.95</v>
      </c>
      <c r="R51" s="26">
        <v>100</v>
      </c>
      <c r="S51" s="19">
        <v>3.89</v>
      </c>
      <c r="T51" s="19">
        <v>2000</v>
      </c>
      <c r="U51" s="24">
        <f t="shared" si="10"/>
        <v>0.98</v>
      </c>
      <c r="V51" s="24">
        <f t="shared" si="11"/>
        <v>50</v>
      </c>
      <c r="W51" s="19">
        <v>18</v>
      </c>
      <c r="X51" s="24">
        <f t="shared" si="4"/>
        <v>72</v>
      </c>
      <c r="Y51" s="18">
        <v>0.1</v>
      </c>
      <c r="Z51" s="18">
        <v>0.2</v>
      </c>
      <c r="AA51" s="17">
        <v>20</v>
      </c>
      <c r="AB51" s="24">
        <f t="shared" si="18"/>
        <v>2000</v>
      </c>
      <c r="AC51" s="19">
        <v>550000</v>
      </c>
      <c r="AD51" s="19">
        <f>30000000*AI51</f>
        <v>27000000</v>
      </c>
      <c r="AE51" s="28">
        <f t="shared" si="5"/>
        <v>7.0313571760871663E-2</v>
      </c>
      <c r="AF51" s="18">
        <v>80</v>
      </c>
      <c r="AG51">
        <v>7.0000000000000007E-2</v>
      </c>
      <c r="AI51">
        <v>0.9</v>
      </c>
    </row>
    <row r="52" spans="1:36" x14ac:dyDescent="0.25">
      <c r="A52" t="s">
        <v>246</v>
      </c>
      <c r="B52">
        <v>1</v>
      </c>
      <c r="C52" t="s">
        <v>172</v>
      </c>
      <c r="D52" t="s">
        <v>73</v>
      </c>
      <c r="E52" t="s">
        <v>16</v>
      </c>
      <c r="F52" t="s">
        <v>17</v>
      </c>
      <c r="H52" s="24">
        <f>H47</f>
        <v>0.23</v>
      </c>
      <c r="I52" s="24">
        <f>I47</f>
        <v>0.23</v>
      </c>
      <c r="J52" s="24">
        <f>J51</f>
        <v>0.95</v>
      </c>
      <c r="K52" s="24">
        <f>K51</f>
        <v>1</v>
      </c>
      <c r="N52" s="24">
        <f>N51</f>
        <v>16.399999999999999</v>
      </c>
      <c r="O52" s="24">
        <f>O51</f>
        <v>48</v>
      </c>
      <c r="P52" s="24">
        <f>P51</f>
        <v>48</v>
      </c>
      <c r="Q52" s="24">
        <f>Q51</f>
        <v>1.95</v>
      </c>
      <c r="R52" s="24">
        <f>R51</f>
        <v>100</v>
      </c>
      <c r="S52" s="24">
        <f>S51</f>
        <v>3.89</v>
      </c>
      <c r="T52" s="24">
        <f>T51</f>
        <v>2000</v>
      </c>
      <c r="U52" s="24">
        <f>U51</f>
        <v>0.98</v>
      </c>
      <c r="V52" s="24">
        <f>V51</f>
        <v>50</v>
      </c>
      <c r="W52" s="24">
        <f>W51</f>
        <v>18</v>
      </c>
      <c r="X52" s="24">
        <f>X51</f>
        <v>72</v>
      </c>
      <c r="Y52" s="24">
        <f>Y47</f>
        <v>5.0000000000000001E-3</v>
      </c>
      <c r="Z52" s="24">
        <f>Z47</f>
        <v>5.0000000000000001E-3</v>
      </c>
      <c r="AA52" s="24">
        <f>AA51</f>
        <v>20</v>
      </c>
      <c r="AB52" s="24">
        <f>AB51</f>
        <v>2000</v>
      </c>
      <c r="AC52" s="24">
        <f>AC51</f>
        <v>550000</v>
      </c>
      <c r="AD52" s="24">
        <f>AD51</f>
        <v>27000000</v>
      </c>
      <c r="AE52" s="28">
        <f t="shared" si="5"/>
        <v>7.5009138873610326E-2</v>
      </c>
      <c r="AF52" s="24">
        <f>AF47</f>
        <v>40</v>
      </c>
      <c r="AG52">
        <v>7.0000000000000007E-2</v>
      </c>
      <c r="AJ52" t="s">
        <v>253</v>
      </c>
    </row>
    <row r="53" spans="1:36" x14ac:dyDescent="0.25">
      <c r="A53" t="s">
        <v>247</v>
      </c>
      <c r="B53">
        <v>1</v>
      </c>
      <c r="C53" t="s">
        <v>172</v>
      </c>
      <c r="D53" t="s">
        <v>73</v>
      </c>
      <c r="E53" t="s">
        <v>16</v>
      </c>
      <c r="F53" t="s">
        <v>17</v>
      </c>
      <c r="H53" s="24">
        <f>H48</f>
        <v>0.31</v>
      </c>
      <c r="I53" s="24">
        <f>I48</f>
        <v>0.31</v>
      </c>
      <c r="J53" s="24">
        <f>J50</f>
        <v>0.5</v>
      </c>
      <c r="K53" s="24">
        <f>K50</f>
        <v>1</v>
      </c>
      <c r="N53" s="24">
        <f>N50</f>
        <v>2.8</v>
      </c>
      <c r="O53" s="24">
        <f>O50</f>
        <v>24</v>
      </c>
      <c r="P53" s="24">
        <f>P50</f>
        <v>24</v>
      </c>
      <c r="Q53" s="24">
        <f>Q50</f>
        <v>1.95</v>
      </c>
      <c r="R53" s="24">
        <f>R50</f>
        <v>31</v>
      </c>
      <c r="S53" s="24">
        <f>S50</f>
        <v>3.89</v>
      </c>
      <c r="T53" s="24">
        <f>T50</f>
        <v>600</v>
      </c>
      <c r="U53" s="24">
        <f>U50</f>
        <v>0.98</v>
      </c>
      <c r="V53" s="24">
        <f>V50</f>
        <v>15.5</v>
      </c>
      <c r="W53" s="24">
        <f>W50</f>
        <v>18</v>
      </c>
      <c r="X53" s="24">
        <f>X50</f>
        <v>72</v>
      </c>
      <c r="Y53" s="24">
        <f>Y48</f>
        <v>0.01</v>
      </c>
      <c r="Z53" s="24">
        <f>Z48</f>
        <v>0.01</v>
      </c>
      <c r="AA53" s="24">
        <f>AA50</f>
        <v>15</v>
      </c>
      <c r="AB53" s="24">
        <f>AB50</f>
        <v>600</v>
      </c>
      <c r="AC53" s="24">
        <f>AC50</f>
        <v>405000</v>
      </c>
      <c r="AD53" s="24">
        <f>AD50</f>
        <v>18000000</v>
      </c>
      <c r="AE53" s="28">
        <f t="shared" si="5"/>
        <v>7.2459849539607671E-2</v>
      </c>
      <c r="AF53" s="24">
        <f>AF48</f>
        <v>50</v>
      </c>
      <c r="AG53">
        <v>7.0000000000000007E-2</v>
      </c>
      <c r="AJ53" t="s">
        <v>254</v>
      </c>
    </row>
    <row r="54" spans="1:36" x14ac:dyDescent="0.25">
      <c r="A54" t="s">
        <v>243</v>
      </c>
      <c r="B54">
        <v>1</v>
      </c>
      <c r="C54" t="s">
        <v>172</v>
      </c>
      <c r="D54" t="s">
        <v>73</v>
      </c>
      <c r="E54" t="s">
        <v>16</v>
      </c>
      <c r="F54" t="s">
        <v>17</v>
      </c>
      <c r="H54" s="24">
        <f>H50</f>
        <v>0.35</v>
      </c>
      <c r="I54" s="24">
        <f>I50</f>
        <v>0.35</v>
      </c>
      <c r="J54" s="24">
        <f>J48</f>
        <v>0.2</v>
      </c>
      <c r="K54" s="24">
        <f>K50</f>
        <v>1</v>
      </c>
      <c r="N54" s="24">
        <f>N48</f>
        <v>2.2000000000000002</v>
      </c>
      <c r="O54" s="24">
        <f t="shared" ref="O54:P54" si="34">O48</f>
        <v>2</v>
      </c>
      <c r="P54" s="24">
        <f t="shared" si="34"/>
        <v>5</v>
      </c>
      <c r="Q54" s="24">
        <f>Q48</f>
        <v>1.95</v>
      </c>
      <c r="R54" s="24">
        <f>R48</f>
        <v>11</v>
      </c>
      <c r="S54" s="24">
        <f t="shared" ref="S54:X54" si="35">S48</f>
        <v>3.89</v>
      </c>
      <c r="T54" s="24">
        <f t="shared" si="35"/>
        <v>400</v>
      </c>
      <c r="U54" s="24">
        <f t="shared" si="35"/>
        <v>0.98</v>
      </c>
      <c r="V54" s="24">
        <f t="shared" si="35"/>
        <v>5.5</v>
      </c>
      <c r="W54" s="24">
        <f t="shared" si="35"/>
        <v>18</v>
      </c>
      <c r="X54" s="24">
        <f t="shared" si="35"/>
        <v>72</v>
      </c>
      <c r="Y54" s="24">
        <f>Y50</f>
        <v>0.05</v>
      </c>
      <c r="Z54" s="24">
        <f>Z50</f>
        <v>0.05</v>
      </c>
      <c r="AA54" s="24">
        <f>AA48</f>
        <v>5</v>
      </c>
      <c r="AB54" s="24">
        <f>AB48</f>
        <v>400</v>
      </c>
      <c r="AC54" s="24">
        <f>AC48</f>
        <v>225000</v>
      </c>
      <c r="AD54" s="24">
        <f>AD48</f>
        <v>9000000</v>
      </c>
      <c r="AE54" s="28">
        <f t="shared" si="5"/>
        <v>7.0619527184264883E-2</v>
      </c>
      <c r="AF54" s="24">
        <f>AF50</f>
        <v>70</v>
      </c>
      <c r="AG54">
        <v>7.0000000000000007E-2</v>
      </c>
      <c r="AJ54" t="s">
        <v>244</v>
      </c>
    </row>
    <row r="55" spans="1:36" x14ac:dyDescent="0.25">
      <c r="A55" t="s">
        <v>242</v>
      </c>
      <c r="B55">
        <v>1</v>
      </c>
      <c r="C55" t="s">
        <v>172</v>
      </c>
      <c r="D55" t="s">
        <v>73</v>
      </c>
      <c r="E55" t="s">
        <v>16</v>
      </c>
      <c r="F55" t="s">
        <v>17</v>
      </c>
      <c r="H55" s="24">
        <f>H51</f>
        <v>0.42</v>
      </c>
      <c r="I55" s="24">
        <f>I51</f>
        <v>0.42</v>
      </c>
      <c r="J55" s="24">
        <f>J47</f>
        <v>0.15</v>
      </c>
      <c r="K55" s="24">
        <f>K51</f>
        <v>1</v>
      </c>
      <c r="N55" s="24">
        <f>N47</f>
        <v>1.2</v>
      </c>
      <c r="O55" s="24">
        <f t="shared" ref="O55:P55" si="36">O47</f>
        <v>1</v>
      </c>
      <c r="P55" s="24">
        <f t="shared" si="36"/>
        <v>1</v>
      </c>
      <c r="Q55" s="24">
        <f t="shared" ref="Q55:X55" si="37">Q47</f>
        <v>1.95</v>
      </c>
      <c r="R55" s="24">
        <f t="shared" si="37"/>
        <v>5</v>
      </c>
      <c r="S55" s="24">
        <f t="shared" si="37"/>
        <v>3.89</v>
      </c>
      <c r="T55" s="24">
        <f t="shared" si="37"/>
        <v>300</v>
      </c>
      <c r="U55" s="24">
        <f t="shared" si="37"/>
        <v>0.98</v>
      </c>
      <c r="V55" s="24">
        <f t="shared" si="37"/>
        <v>2.5</v>
      </c>
      <c r="W55" s="24">
        <f t="shared" si="37"/>
        <v>18</v>
      </c>
      <c r="X55" s="24">
        <f t="shared" si="37"/>
        <v>72</v>
      </c>
      <c r="Y55" s="24">
        <f>Y51</f>
        <v>0.1</v>
      </c>
      <c r="Z55" s="24">
        <f>Z51</f>
        <v>0.2</v>
      </c>
      <c r="AA55" s="24">
        <f>AA47</f>
        <v>1</v>
      </c>
      <c r="AB55" s="24">
        <f>AB47</f>
        <v>300</v>
      </c>
      <c r="AC55" s="24">
        <f>AC47</f>
        <v>135000</v>
      </c>
      <c r="AD55" s="24">
        <f>AD47</f>
        <v>3600000</v>
      </c>
      <c r="AE55" s="28">
        <f t="shared" si="5"/>
        <v>7.0313571760871663E-2</v>
      </c>
      <c r="AF55" s="24">
        <f>AF51</f>
        <v>80</v>
      </c>
      <c r="AG55">
        <v>7.0000000000000007E-2</v>
      </c>
      <c r="AJ55" t="s">
        <v>245</v>
      </c>
    </row>
    <row r="56" spans="1:36" x14ac:dyDescent="0.25">
      <c r="A56" t="s">
        <v>181</v>
      </c>
      <c r="B56">
        <v>1</v>
      </c>
      <c r="C56" t="s">
        <v>173</v>
      </c>
      <c r="D56" t="s">
        <v>74</v>
      </c>
      <c r="E56" t="s">
        <v>16</v>
      </c>
      <c r="F56" t="s">
        <v>17</v>
      </c>
      <c r="G56" t="s">
        <v>24</v>
      </c>
      <c r="H56" s="18">
        <v>0.81</v>
      </c>
      <c r="I56" s="18">
        <v>0.81</v>
      </c>
      <c r="J56" s="18">
        <v>0.15</v>
      </c>
      <c r="K56" s="18">
        <v>1</v>
      </c>
      <c r="L56" s="26">
        <v>0.2</v>
      </c>
      <c r="M56" s="19">
        <v>-0.17</v>
      </c>
      <c r="N56" s="24">
        <f>ROUND(N47*AH56,2)</f>
        <v>1.2</v>
      </c>
      <c r="O56" s="19">
        <v>1</v>
      </c>
      <c r="P56" s="19">
        <v>1</v>
      </c>
      <c r="Q56" s="24">
        <f t="shared" si="0"/>
        <v>1.95</v>
      </c>
      <c r="R56" s="24">
        <f>R47*AH56</f>
        <v>5</v>
      </c>
      <c r="S56" s="19">
        <v>3.89</v>
      </c>
      <c r="T56" s="24">
        <f>T47*AH56</f>
        <v>300</v>
      </c>
      <c r="U56" s="24">
        <f t="shared" si="10"/>
        <v>0.98</v>
      </c>
      <c r="V56" s="24">
        <f t="shared" si="11"/>
        <v>2.5</v>
      </c>
      <c r="W56" s="19">
        <v>18</v>
      </c>
      <c r="X56" s="24">
        <f>W56*4</f>
        <v>72</v>
      </c>
      <c r="Y56" s="18">
        <v>5.0000000000000001E-3</v>
      </c>
      <c r="Z56" s="18">
        <v>5.0000000000000001E-3</v>
      </c>
      <c r="AA56" s="17">
        <v>1</v>
      </c>
      <c r="AB56" s="24">
        <f t="shared" ref="AB56:AB60" si="38">T56</f>
        <v>300</v>
      </c>
      <c r="AC56" s="24">
        <f>AC47*AH56</f>
        <v>135000</v>
      </c>
      <c r="AD56" s="24">
        <f>AD47*AH56</f>
        <v>3600000</v>
      </c>
      <c r="AE56" s="28">
        <f t="shared" si="5"/>
        <v>7.5009138873610326E-2</v>
      </c>
      <c r="AF56" s="17">
        <v>40</v>
      </c>
      <c r="AG56">
        <v>7.0000000000000007E-2</v>
      </c>
      <c r="AH56">
        <v>1</v>
      </c>
    </row>
    <row r="57" spans="1:36" x14ac:dyDescent="0.25">
      <c r="A57" t="s">
        <v>66</v>
      </c>
      <c r="B57">
        <v>1</v>
      </c>
      <c r="C57" t="s">
        <v>173</v>
      </c>
      <c r="D57" t="s">
        <v>74</v>
      </c>
      <c r="E57" t="s">
        <v>16</v>
      </c>
      <c r="F57" t="s">
        <v>17</v>
      </c>
      <c r="G57" t="s">
        <v>24</v>
      </c>
      <c r="H57" s="18">
        <v>0.86</v>
      </c>
      <c r="I57" s="18">
        <v>0.86</v>
      </c>
      <c r="J57" s="18">
        <v>0.2</v>
      </c>
      <c r="K57" s="18">
        <v>1</v>
      </c>
      <c r="L57" s="26">
        <v>0.3</v>
      </c>
      <c r="M57" s="26">
        <v>-0.16</v>
      </c>
      <c r="N57" s="24">
        <f>ROUND(N48*AH57,2)</f>
        <v>2.33</v>
      </c>
      <c r="O57" s="19">
        <v>2</v>
      </c>
      <c r="P57" s="26">
        <v>5</v>
      </c>
      <c r="Q57" s="24">
        <f t="shared" si="0"/>
        <v>1.95</v>
      </c>
      <c r="R57" s="24">
        <f>R48*AH57</f>
        <v>11.66</v>
      </c>
      <c r="S57" s="19">
        <v>3.89</v>
      </c>
      <c r="T57" s="24">
        <f>T48*AH57</f>
        <v>424</v>
      </c>
      <c r="U57" s="24">
        <f t="shared" si="10"/>
        <v>0.98</v>
      </c>
      <c r="V57" s="24">
        <f t="shared" si="11"/>
        <v>5.83</v>
      </c>
      <c r="W57" s="19">
        <v>18</v>
      </c>
      <c r="X57" s="24">
        <f t="shared" si="4"/>
        <v>72</v>
      </c>
      <c r="Y57" s="18">
        <v>0.01</v>
      </c>
      <c r="Z57" s="18">
        <v>0.01</v>
      </c>
      <c r="AA57" s="27">
        <v>5</v>
      </c>
      <c r="AB57" s="24">
        <f t="shared" si="38"/>
        <v>424</v>
      </c>
      <c r="AC57" s="24">
        <f>AC48*AH57</f>
        <v>238500</v>
      </c>
      <c r="AD57" s="24">
        <f>AD48*AH57</f>
        <v>9540000</v>
      </c>
      <c r="AE57" s="28">
        <f t="shared" si="5"/>
        <v>7.2459849539607671E-2</v>
      </c>
      <c r="AF57" s="17">
        <v>50</v>
      </c>
      <c r="AG57">
        <v>7.0000000000000007E-2</v>
      </c>
      <c r="AH57">
        <v>1.06</v>
      </c>
    </row>
    <row r="58" spans="1:36" x14ac:dyDescent="0.25">
      <c r="A58" t="s">
        <v>67</v>
      </c>
      <c r="B58">
        <v>1</v>
      </c>
      <c r="C58" t="s">
        <v>173</v>
      </c>
      <c r="D58" t="s">
        <v>74</v>
      </c>
      <c r="E58" t="s">
        <v>16</v>
      </c>
      <c r="F58" t="s">
        <v>17</v>
      </c>
      <c r="G58" t="s">
        <v>24</v>
      </c>
      <c r="H58" s="18">
        <v>0.9</v>
      </c>
      <c r="I58" s="18">
        <v>0.9</v>
      </c>
      <c r="J58" s="18">
        <v>0.4</v>
      </c>
      <c r="K58" s="18">
        <v>1</v>
      </c>
      <c r="L58" s="26">
        <v>0.4</v>
      </c>
      <c r="M58" s="26">
        <v>-0.15</v>
      </c>
      <c r="N58" s="24">
        <f>ROUND(N49*AH58,2)</f>
        <v>2.89</v>
      </c>
      <c r="O58" s="19">
        <v>3</v>
      </c>
      <c r="P58" s="26">
        <v>6</v>
      </c>
      <c r="Q58" s="24">
        <f t="shared" si="0"/>
        <v>1.95</v>
      </c>
      <c r="R58" s="24">
        <f>R49*AH58</f>
        <v>23.310000000000002</v>
      </c>
      <c r="S58" s="19">
        <v>3.89</v>
      </c>
      <c r="T58" s="24">
        <f>T49*AH58</f>
        <v>555</v>
      </c>
      <c r="U58" s="24">
        <f t="shared" si="10"/>
        <v>0.98</v>
      </c>
      <c r="V58" s="24">
        <f t="shared" si="11"/>
        <v>11.66</v>
      </c>
      <c r="W58" s="19">
        <v>18</v>
      </c>
      <c r="X58" s="24">
        <f t="shared" si="4"/>
        <v>72</v>
      </c>
      <c r="Y58" s="18">
        <v>0.03</v>
      </c>
      <c r="Z58" s="18">
        <v>0.03</v>
      </c>
      <c r="AA58" s="27">
        <v>10</v>
      </c>
      <c r="AB58" s="24">
        <f t="shared" si="38"/>
        <v>555</v>
      </c>
      <c r="AC58" s="24">
        <f>AC49*AH58</f>
        <v>349650.00000000006</v>
      </c>
      <c r="AD58" s="24">
        <f>AD49*AH58</f>
        <v>14985000.000000002</v>
      </c>
      <c r="AE58" s="28">
        <f t="shared" si="5"/>
        <v>7.122922550001945E-2</v>
      </c>
      <c r="AF58" s="17">
        <v>60</v>
      </c>
      <c r="AG58">
        <v>7.0000000000000007E-2</v>
      </c>
      <c r="AH58">
        <v>1.1100000000000001</v>
      </c>
      <c r="AJ58" t="s">
        <v>192</v>
      </c>
    </row>
    <row r="59" spans="1:36" x14ac:dyDescent="0.25">
      <c r="A59" t="s">
        <v>68</v>
      </c>
      <c r="B59">
        <v>1</v>
      </c>
      <c r="C59" t="s">
        <v>173</v>
      </c>
      <c r="D59" t="s">
        <v>74</v>
      </c>
      <c r="E59" t="s">
        <v>16</v>
      </c>
      <c r="F59" t="s">
        <v>17</v>
      </c>
      <c r="G59" t="s">
        <v>24</v>
      </c>
      <c r="H59" s="18">
        <v>0.93</v>
      </c>
      <c r="I59" s="18">
        <v>0.93</v>
      </c>
      <c r="J59" s="18">
        <v>0.5</v>
      </c>
      <c r="K59" s="18">
        <v>1</v>
      </c>
      <c r="L59" s="26">
        <v>0.5</v>
      </c>
      <c r="M59" s="26">
        <v>-0.14000000000000001</v>
      </c>
      <c r="N59" s="24">
        <f>ROUND(N50*AH59,2)</f>
        <v>3.22</v>
      </c>
      <c r="O59" s="19">
        <v>24</v>
      </c>
      <c r="P59" s="26">
        <v>24</v>
      </c>
      <c r="Q59" s="24">
        <f t="shared" si="0"/>
        <v>1.95</v>
      </c>
      <c r="R59" s="24">
        <f>R50*AH59</f>
        <v>35.65</v>
      </c>
      <c r="S59" s="19">
        <v>3.89</v>
      </c>
      <c r="T59" s="24">
        <f>T50*AH59</f>
        <v>690</v>
      </c>
      <c r="U59" s="24">
        <f t="shared" si="10"/>
        <v>0.98</v>
      </c>
      <c r="V59" s="24">
        <f t="shared" si="11"/>
        <v>17.829999999999998</v>
      </c>
      <c r="W59" s="19">
        <v>18</v>
      </c>
      <c r="X59" s="24">
        <f t="shared" si="4"/>
        <v>72</v>
      </c>
      <c r="Y59" s="18">
        <v>0.05</v>
      </c>
      <c r="Z59" s="18">
        <v>0.05</v>
      </c>
      <c r="AA59" s="27">
        <v>15</v>
      </c>
      <c r="AB59" s="24">
        <f t="shared" si="38"/>
        <v>690</v>
      </c>
      <c r="AC59" s="24">
        <f>AC50*AH59</f>
        <v>465749.99999999994</v>
      </c>
      <c r="AD59" s="24">
        <f>AD50*AH59</f>
        <v>20700000</v>
      </c>
      <c r="AE59" s="28">
        <f t="shared" si="5"/>
        <v>7.0619527184264883E-2</v>
      </c>
      <c r="AF59" s="18">
        <v>70</v>
      </c>
      <c r="AG59">
        <v>7.0000000000000007E-2</v>
      </c>
      <c r="AH59">
        <v>1.1499999999999999</v>
      </c>
    </row>
    <row r="60" spans="1:36" x14ac:dyDescent="0.25">
      <c r="A60" t="s">
        <v>180</v>
      </c>
      <c r="B60">
        <v>1</v>
      </c>
      <c r="C60" t="s">
        <v>173</v>
      </c>
      <c r="D60" t="s">
        <v>74</v>
      </c>
      <c r="E60" t="s">
        <v>16</v>
      </c>
      <c r="F60" t="s">
        <v>17</v>
      </c>
      <c r="G60" t="s">
        <v>24</v>
      </c>
      <c r="H60" s="18">
        <v>0.94</v>
      </c>
      <c r="I60" s="18">
        <v>0.94</v>
      </c>
      <c r="J60" s="18">
        <v>0.95</v>
      </c>
      <c r="K60" s="18">
        <v>1</v>
      </c>
      <c r="L60" s="26">
        <v>0.6</v>
      </c>
      <c r="M60" s="26">
        <v>-0.13</v>
      </c>
      <c r="N60" s="24">
        <f>ROUND(N51*AH60,2)</f>
        <v>20.010000000000002</v>
      </c>
      <c r="O60" s="19">
        <v>48</v>
      </c>
      <c r="P60" s="19">
        <v>48</v>
      </c>
      <c r="Q60" s="24">
        <f t="shared" si="0"/>
        <v>1.95</v>
      </c>
      <c r="R60" s="24">
        <f>R51*AH60</f>
        <v>122</v>
      </c>
      <c r="S60" s="19">
        <v>3.89</v>
      </c>
      <c r="T60" s="24">
        <f>T51*AH60</f>
        <v>2440</v>
      </c>
      <c r="U60" s="24">
        <f t="shared" si="10"/>
        <v>0.98</v>
      </c>
      <c r="V60" s="24">
        <f t="shared" si="11"/>
        <v>61</v>
      </c>
      <c r="W60" s="19">
        <v>18</v>
      </c>
      <c r="X60" s="24">
        <f t="shared" si="4"/>
        <v>72</v>
      </c>
      <c r="Y60" s="18">
        <v>0.1</v>
      </c>
      <c r="Z60" s="18">
        <v>0.2</v>
      </c>
      <c r="AA60" s="17">
        <v>20</v>
      </c>
      <c r="AB60" s="24">
        <f t="shared" si="38"/>
        <v>2440</v>
      </c>
      <c r="AC60" s="24">
        <f>AC51*AH60</f>
        <v>671000</v>
      </c>
      <c r="AD60" s="24">
        <f>AD51*AH60</f>
        <v>32940000</v>
      </c>
      <c r="AE60" s="28">
        <f t="shared" si="5"/>
        <v>7.0313571760871663E-2</v>
      </c>
      <c r="AF60" s="18">
        <v>80</v>
      </c>
      <c r="AG60">
        <v>7.0000000000000007E-2</v>
      </c>
      <c r="AH60">
        <v>1.22</v>
      </c>
    </row>
    <row r="61" spans="1:36" x14ac:dyDescent="0.25">
      <c r="A61" t="s">
        <v>246</v>
      </c>
      <c r="B61">
        <v>1</v>
      </c>
      <c r="C61" t="s">
        <v>173</v>
      </c>
      <c r="D61" t="s">
        <v>74</v>
      </c>
      <c r="E61" t="s">
        <v>16</v>
      </c>
      <c r="F61" t="s">
        <v>17</v>
      </c>
      <c r="G61" t="s">
        <v>24</v>
      </c>
      <c r="H61" s="24">
        <f>H56</f>
        <v>0.81</v>
      </c>
      <c r="I61" s="24">
        <f>I56</f>
        <v>0.81</v>
      </c>
      <c r="J61" s="24">
        <f>J60</f>
        <v>0.95</v>
      </c>
      <c r="K61" s="24">
        <f>K60</f>
        <v>1</v>
      </c>
      <c r="L61" s="24">
        <f>L56</f>
        <v>0.2</v>
      </c>
      <c r="M61" s="24">
        <f>M56</f>
        <v>-0.17</v>
      </c>
      <c r="N61" s="24">
        <f>N60</f>
        <v>20.010000000000002</v>
      </c>
      <c r="O61" s="24">
        <f>O60</f>
        <v>48</v>
      </c>
      <c r="P61" s="24">
        <f>P60</f>
        <v>48</v>
      </c>
      <c r="Q61" s="24">
        <f>Q60</f>
        <v>1.95</v>
      </c>
      <c r="R61" s="24">
        <f>R60</f>
        <v>122</v>
      </c>
      <c r="S61" s="24">
        <f>S60</f>
        <v>3.89</v>
      </c>
      <c r="T61" s="24">
        <f>T60</f>
        <v>2440</v>
      </c>
      <c r="U61" s="24">
        <f>U60</f>
        <v>0.98</v>
      </c>
      <c r="V61" s="24">
        <f>V60</f>
        <v>61</v>
      </c>
      <c r="W61" s="24">
        <f>W60</f>
        <v>18</v>
      </c>
      <c r="X61" s="24">
        <f>X60</f>
        <v>72</v>
      </c>
      <c r="Y61" s="24">
        <f>Y56</f>
        <v>5.0000000000000001E-3</v>
      </c>
      <c r="Z61" s="24">
        <f>Z56</f>
        <v>5.0000000000000001E-3</v>
      </c>
      <c r="AA61" s="24">
        <f>AA60</f>
        <v>20</v>
      </c>
      <c r="AB61" s="24">
        <f>AB60</f>
        <v>2440</v>
      </c>
      <c r="AC61" s="24">
        <f>AC60</f>
        <v>671000</v>
      </c>
      <c r="AD61" s="24">
        <f>AD60</f>
        <v>32940000</v>
      </c>
      <c r="AE61" s="28">
        <f t="shared" ref="AE61:AE62" si="39">-PMT(AG61,AF61,1)</f>
        <v>7.5009138873610326E-2</v>
      </c>
      <c r="AF61" s="24">
        <f>AF56</f>
        <v>40</v>
      </c>
      <c r="AG61">
        <v>7.0000000000000007E-2</v>
      </c>
      <c r="AJ61" t="s">
        <v>253</v>
      </c>
    </row>
    <row r="62" spans="1:36" x14ac:dyDescent="0.25">
      <c r="A62" t="s">
        <v>247</v>
      </c>
      <c r="B62">
        <v>1</v>
      </c>
      <c r="C62" t="s">
        <v>173</v>
      </c>
      <c r="D62" t="s">
        <v>74</v>
      </c>
      <c r="E62" t="s">
        <v>16</v>
      </c>
      <c r="F62" t="s">
        <v>17</v>
      </c>
      <c r="G62" t="s">
        <v>24</v>
      </c>
      <c r="H62" s="24">
        <f>H57</f>
        <v>0.86</v>
      </c>
      <c r="I62" s="24">
        <f>I57</f>
        <v>0.86</v>
      </c>
      <c r="J62" s="24">
        <f>J59</f>
        <v>0.5</v>
      </c>
      <c r="K62" s="24">
        <f>K59</f>
        <v>1</v>
      </c>
      <c r="L62" s="24">
        <f>L57</f>
        <v>0.3</v>
      </c>
      <c r="M62" s="24">
        <f>M57</f>
        <v>-0.16</v>
      </c>
      <c r="N62" s="24">
        <f>N59</f>
        <v>3.22</v>
      </c>
      <c r="O62" s="24">
        <f>O59</f>
        <v>24</v>
      </c>
      <c r="P62" s="24">
        <f>P59</f>
        <v>24</v>
      </c>
      <c r="Q62" s="24">
        <f>Q59</f>
        <v>1.95</v>
      </c>
      <c r="R62" s="24">
        <f>R59</f>
        <v>35.65</v>
      </c>
      <c r="S62" s="24">
        <f>S59</f>
        <v>3.89</v>
      </c>
      <c r="T62" s="24">
        <f>T59</f>
        <v>690</v>
      </c>
      <c r="U62" s="24">
        <f>U59</f>
        <v>0.98</v>
      </c>
      <c r="V62" s="24">
        <f>V59</f>
        <v>17.829999999999998</v>
      </c>
      <c r="W62" s="24">
        <f>W59</f>
        <v>18</v>
      </c>
      <c r="X62" s="24">
        <f>X59</f>
        <v>72</v>
      </c>
      <c r="Y62" s="24">
        <f>Y57</f>
        <v>0.01</v>
      </c>
      <c r="Z62" s="24">
        <f>Z57</f>
        <v>0.01</v>
      </c>
      <c r="AA62" s="24">
        <f>AA59</f>
        <v>15</v>
      </c>
      <c r="AB62" s="24">
        <f>AB59</f>
        <v>690</v>
      </c>
      <c r="AC62" s="24">
        <f>AC59</f>
        <v>465749.99999999994</v>
      </c>
      <c r="AD62" s="24">
        <f>AD59</f>
        <v>20700000</v>
      </c>
      <c r="AE62" s="28">
        <f t="shared" si="39"/>
        <v>7.2459849539607671E-2</v>
      </c>
      <c r="AF62" s="24">
        <f>AF57</f>
        <v>50</v>
      </c>
      <c r="AG62">
        <v>7.0000000000000007E-2</v>
      </c>
      <c r="AJ62" t="s">
        <v>254</v>
      </c>
    </row>
    <row r="63" spans="1:36" x14ac:dyDescent="0.25">
      <c r="A63" t="s">
        <v>243</v>
      </c>
      <c r="B63">
        <v>1</v>
      </c>
      <c r="C63" t="s">
        <v>173</v>
      </c>
      <c r="D63" t="s">
        <v>74</v>
      </c>
      <c r="E63" t="s">
        <v>16</v>
      </c>
      <c r="F63" t="s">
        <v>17</v>
      </c>
      <c r="G63" t="s">
        <v>24</v>
      </c>
      <c r="H63" s="24">
        <f>H59</f>
        <v>0.93</v>
      </c>
      <c r="I63" s="24">
        <f>I59</f>
        <v>0.93</v>
      </c>
      <c r="J63" s="24">
        <f>J57</f>
        <v>0.2</v>
      </c>
      <c r="K63" s="24">
        <f>K59</f>
        <v>1</v>
      </c>
      <c r="L63" s="24">
        <f>L59</f>
        <v>0.5</v>
      </c>
      <c r="M63" s="24">
        <f>M59</f>
        <v>-0.14000000000000001</v>
      </c>
      <c r="N63" s="24">
        <f>N57</f>
        <v>2.33</v>
      </c>
      <c r="O63" s="24">
        <f t="shared" ref="O63:P63" si="40">O57</f>
        <v>2</v>
      </c>
      <c r="P63" s="24">
        <f t="shared" si="40"/>
        <v>5</v>
      </c>
      <c r="Q63" s="24">
        <f>Q57</f>
        <v>1.95</v>
      </c>
      <c r="R63" s="24">
        <f>R57</f>
        <v>11.66</v>
      </c>
      <c r="S63" s="24">
        <f t="shared" ref="S63:X63" si="41">S57</f>
        <v>3.89</v>
      </c>
      <c r="T63" s="24">
        <f t="shared" si="41"/>
        <v>424</v>
      </c>
      <c r="U63" s="24">
        <f t="shared" si="41"/>
        <v>0.98</v>
      </c>
      <c r="V63" s="24">
        <f t="shared" si="41"/>
        <v>5.83</v>
      </c>
      <c r="W63" s="24">
        <f t="shared" si="41"/>
        <v>18</v>
      </c>
      <c r="X63" s="24">
        <f t="shared" si="41"/>
        <v>72</v>
      </c>
      <c r="Y63" s="24">
        <f>Y59</f>
        <v>0.05</v>
      </c>
      <c r="Z63" s="24">
        <f>Z59</f>
        <v>0.05</v>
      </c>
      <c r="AA63" s="24">
        <f>AA57</f>
        <v>5</v>
      </c>
      <c r="AB63" s="24">
        <f>AB57</f>
        <v>424</v>
      </c>
      <c r="AC63" s="24">
        <f>AC57</f>
        <v>238500</v>
      </c>
      <c r="AD63" s="24">
        <f>AD57</f>
        <v>9540000</v>
      </c>
      <c r="AE63" s="28">
        <f t="shared" si="5"/>
        <v>7.0619527184264883E-2</v>
      </c>
      <c r="AF63" s="24">
        <f>AF59</f>
        <v>70</v>
      </c>
      <c r="AG63">
        <v>7.0000000000000007E-2</v>
      </c>
      <c r="AJ63" t="s">
        <v>244</v>
      </c>
    </row>
    <row r="64" spans="1:36" x14ac:dyDescent="0.25">
      <c r="A64" t="s">
        <v>242</v>
      </c>
      <c r="B64">
        <v>1</v>
      </c>
      <c r="C64" t="s">
        <v>173</v>
      </c>
      <c r="D64" t="s">
        <v>74</v>
      </c>
      <c r="E64" t="s">
        <v>16</v>
      </c>
      <c r="F64" t="s">
        <v>17</v>
      </c>
      <c r="G64" t="s">
        <v>24</v>
      </c>
      <c r="H64" s="24">
        <f>H60</f>
        <v>0.94</v>
      </c>
      <c r="I64" s="24">
        <f>I60</f>
        <v>0.94</v>
      </c>
      <c r="J64" s="24">
        <f>J56</f>
        <v>0.15</v>
      </c>
      <c r="K64" s="24">
        <f>K60</f>
        <v>1</v>
      </c>
      <c r="L64" s="24">
        <f>L60</f>
        <v>0.6</v>
      </c>
      <c r="M64" s="24">
        <f>M60</f>
        <v>-0.13</v>
      </c>
      <c r="N64" s="24">
        <f>N56</f>
        <v>1.2</v>
      </c>
      <c r="O64" s="24">
        <f t="shared" ref="O64:P64" si="42">O56</f>
        <v>1</v>
      </c>
      <c r="P64" s="24">
        <f t="shared" si="42"/>
        <v>1</v>
      </c>
      <c r="Q64" s="24">
        <f t="shared" ref="Q64:X64" si="43">Q56</f>
        <v>1.95</v>
      </c>
      <c r="R64" s="24">
        <f t="shared" si="43"/>
        <v>5</v>
      </c>
      <c r="S64" s="24">
        <f t="shared" si="43"/>
        <v>3.89</v>
      </c>
      <c r="T64" s="24">
        <f t="shared" si="43"/>
        <v>300</v>
      </c>
      <c r="U64" s="24">
        <f t="shared" si="43"/>
        <v>0.98</v>
      </c>
      <c r="V64" s="24">
        <f t="shared" si="43"/>
        <v>2.5</v>
      </c>
      <c r="W64" s="24">
        <f t="shared" si="43"/>
        <v>18</v>
      </c>
      <c r="X64" s="24">
        <f t="shared" si="43"/>
        <v>72</v>
      </c>
      <c r="Y64" s="24">
        <f>Y60</f>
        <v>0.1</v>
      </c>
      <c r="Z64" s="24">
        <f>Z60</f>
        <v>0.2</v>
      </c>
      <c r="AA64" s="24">
        <f>AA56</f>
        <v>1</v>
      </c>
      <c r="AB64" s="24">
        <f>AB56</f>
        <v>300</v>
      </c>
      <c r="AC64" s="24">
        <f>AC56</f>
        <v>135000</v>
      </c>
      <c r="AD64" s="24">
        <f>AD56</f>
        <v>3600000</v>
      </c>
      <c r="AE64" s="28">
        <f t="shared" si="5"/>
        <v>7.0313571760871663E-2</v>
      </c>
      <c r="AF64" s="24">
        <f>AF60</f>
        <v>80</v>
      </c>
      <c r="AG64">
        <v>7.0000000000000007E-2</v>
      </c>
      <c r="AJ64" t="s">
        <v>245</v>
      </c>
    </row>
    <row r="65" spans="1:36" x14ac:dyDescent="0.25">
      <c r="A65" t="s">
        <v>181</v>
      </c>
      <c r="B65">
        <v>1</v>
      </c>
      <c r="C65" t="s">
        <v>174</v>
      </c>
      <c r="D65" t="s">
        <v>175</v>
      </c>
      <c r="E65" t="s">
        <v>16</v>
      </c>
      <c r="F65" t="s">
        <v>24</v>
      </c>
      <c r="H65" s="18">
        <v>0.81</v>
      </c>
      <c r="I65" s="18">
        <v>0.81</v>
      </c>
      <c r="J65" s="18">
        <v>0.15</v>
      </c>
      <c r="K65" s="18">
        <v>1</v>
      </c>
      <c r="N65" s="19">
        <v>0</v>
      </c>
      <c r="O65" s="19">
        <v>1</v>
      </c>
      <c r="P65" s="19">
        <v>1</v>
      </c>
      <c r="Q65" s="24">
        <f t="shared" si="0"/>
        <v>1.95</v>
      </c>
      <c r="R65" s="26">
        <v>1</v>
      </c>
      <c r="S65" s="19">
        <v>3.89</v>
      </c>
      <c r="T65" s="19">
        <v>50</v>
      </c>
      <c r="U65" s="24">
        <f t="shared" si="10"/>
        <v>0.98</v>
      </c>
      <c r="V65" s="24">
        <f t="shared" si="11"/>
        <v>0.5</v>
      </c>
      <c r="W65" s="19">
        <v>18</v>
      </c>
      <c r="X65" s="24">
        <f t="shared" si="4"/>
        <v>72</v>
      </c>
      <c r="Y65" s="18">
        <v>5.0000000000000001E-3</v>
      </c>
      <c r="Z65" s="18">
        <v>5.0000000000000001E-3</v>
      </c>
      <c r="AA65" s="18">
        <v>1</v>
      </c>
      <c r="AB65" s="24">
        <f t="shared" ref="AB65:AB69" si="44">T65</f>
        <v>50</v>
      </c>
      <c r="AC65" s="19">
        <v>7320</v>
      </c>
      <c r="AD65" s="19">
        <v>244000</v>
      </c>
      <c r="AE65" s="28">
        <f t="shared" si="5"/>
        <v>7.5009138873610326E-2</v>
      </c>
      <c r="AF65" s="17">
        <v>40</v>
      </c>
      <c r="AG65">
        <v>7.0000000000000007E-2</v>
      </c>
    </row>
    <row r="66" spans="1:36" x14ac:dyDescent="0.25">
      <c r="A66" t="s">
        <v>66</v>
      </c>
      <c r="B66">
        <v>1</v>
      </c>
      <c r="C66" t="s">
        <v>174</v>
      </c>
      <c r="D66" t="s">
        <v>175</v>
      </c>
      <c r="E66" t="s">
        <v>16</v>
      </c>
      <c r="F66" t="s">
        <v>24</v>
      </c>
      <c r="H66" s="18">
        <v>0.88</v>
      </c>
      <c r="I66" s="18">
        <v>0.88</v>
      </c>
      <c r="J66" s="18">
        <v>0.2</v>
      </c>
      <c r="K66" s="18">
        <v>1</v>
      </c>
      <c r="N66" s="19">
        <v>0.5</v>
      </c>
      <c r="O66" s="19">
        <v>2</v>
      </c>
      <c r="P66" s="26">
        <v>5</v>
      </c>
      <c r="Q66" s="24">
        <f t="shared" si="0"/>
        <v>1.95</v>
      </c>
      <c r="R66" s="26">
        <v>5</v>
      </c>
      <c r="S66" s="19">
        <v>3.89</v>
      </c>
      <c r="T66" s="19">
        <v>150</v>
      </c>
      <c r="U66" s="24">
        <f t="shared" si="10"/>
        <v>0.98</v>
      </c>
      <c r="V66" s="24">
        <f t="shared" si="11"/>
        <v>2.5</v>
      </c>
      <c r="W66" s="19">
        <v>18</v>
      </c>
      <c r="X66" s="24">
        <f t="shared" si="4"/>
        <v>72</v>
      </c>
      <c r="Y66" s="18">
        <v>0.01</v>
      </c>
      <c r="Z66" s="18">
        <v>0.01</v>
      </c>
      <c r="AA66" s="27">
        <v>10</v>
      </c>
      <c r="AB66" s="24">
        <f t="shared" si="44"/>
        <v>150</v>
      </c>
      <c r="AC66" s="19">
        <v>27000</v>
      </c>
      <c r="AD66" s="19">
        <v>489000</v>
      </c>
      <c r="AE66" s="28">
        <f t="shared" si="5"/>
        <v>7.2459849539607671E-2</v>
      </c>
      <c r="AF66" s="17">
        <v>50</v>
      </c>
      <c r="AG66">
        <v>7.0000000000000007E-2</v>
      </c>
    </row>
    <row r="67" spans="1:36" x14ac:dyDescent="0.25">
      <c r="A67" t="s">
        <v>67</v>
      </c>
      <c r="B67">
        <v>1</v>
      </c>
      <c r="C67" t="s">
        <v>174</v>
      </c>
      <c r="D67" t="s">
        <v>175</v>
      </c>
      <c r="E67" t="s">
        <v>16</v>
      </c>
      <c r="F67" t="s">
        <v>24</v>
      </c>
      <c r="H67" s="18">
        <v>0.92</v>
      </c>
      <c r="I67" s="18">
        <v>0.92</v>
      </c>
      <c r="J67" s="18">
        <v>0.4</v>
      </c>
      <c r="K67" s="18">
        <v>1</v>
      </c>
      <c r="N67" s="19">
        <v>1</v>
      </c>
      <c r="O67" s="19">
        <v>3</v>
      </c>
      <c r="P67" s="26">
        <v>6</v>
      </c>
      <c r="Q67" s="24">
        <f t="shared" si="0"/>
        <v>1.95</v>
      </c>
      <c r="R67" s="26">
        <v>11</v>
      </c>
      <c r="S67" s="19">
        <v>3.89</v>
      </c>
      <c r="T67" s="19">
        <v>250</v>
      </c>
      <c r="U67" s="24">
        <f t="shared" si="10"/>
        <v>0.98</v>
      </c>
      <c r="V67" s="24">
        <f t="shared" si="11"/>
        <v>5.5</v>
      </c>
      <c r="W67" s="19">
        <v>18</v>
      </c>
      <c r="X67" s="24">
        <f t="shared" si="4"/>
        <v>72</v>
      </c>
      <c r="Y67" s="18">
        <v>0.03</v>
      </c>
      <c r="Z67" s="18">
        <v>0.03</v>
      </c>
      <c r="AA67" s="27">
        <v>25</v>
      </c>
      <c r="AB67" s="24">
        <f t="shared" si="44"/>
        <v>250</v>
      </c>
      <c r="AC67" s="19">
        <v>33000</v>
      </c>
      <c r="AD67" s="19">
        <v>978000</v>
      </c>
      <c r="AE67" s="28">
        <f t="shared" si="5"/>
        <v>7.122922550001945E-2</v>
      </c>
      <c r="AF67" s="17">
        <v>60</v>
      </c>
      <c r="AG67">
        <v>7.0000000000000007E-2</v>
      </c>
      <c r="AJ67" t="s">
        <v>195</v>
      </c>
    </row>
    <row r="68" spans="1:36" x14ac:dyDescent="0.25">
      <c r="A68" t="s">
        <v>68</v>
      </c>
      <c r="B68">
        <v>1</v>
      </c>
      <c r="C68" t="s">
        <v>174</v>
      </c>
      <c r="D68" t="s">
        <v>175</v>
      </c>
      <c r="E68" t="s">
        <v>16</v>
      </c>
      <c r="F68" t="s">
        <v>24</v>
      </c>
      <c r="H68" s="18">
        <v>0.94</v>
      </c>
      <c r="I68" s="18">
        <v>0.94</v>
      </c>
      <c r="J68" s="18">
        <v>0.5</v>
      </c>
      <c r="K68" s="18">
        <v>1</v>
      </c>
      <c r="N68" s="19">
        <v>2</v>
      </c>
      <c r="O68" s="19">
        <v>24</v>
      </c>
      <c r="P68" s="26">
        <v>24</v>
      </c>
      <c r="Q68" s="24">
        <f t="shared" si="0"/>
        <v>1.95</v>
      </c>
      <c r="R68" s="26">
        <v>21</v>
      </c>
      <c r="S68" s="19">
        <v>3.89</v>
      </c>
      <c r="T68" s="19">
        <v>350</v>
      </c>
      <c r="U68" s="24">
        <f t="shared" si="10"/>
        <v>0.98</v>
      </c>
      <c r="V68" s="24">
        <f t="shared" si="11"/>
        <v>10.5</v>
      </c>
      <c r="W68" s="19">
        <v>18</v>
      </c>
      <c r="X68" s="24">
        <f t="shared" si="4"/>
        <v>72</v>
      </c>
      <c r="Y68" s="18">
        <v>0.05</v>
      </c>
      <c r="Z68" s="18">
        <v>0.05</v>
      </c>
      <c r="AA68" s="27">
        <v>40</v>
      </c>
      <c r="AB68" s="24">
        <f t="shared" si="44"/>
        <v>350</v>
      </c>
      <c r="AC68" s="19">
        <v>40000</v>
      </c>
      <c r="AD68" s="19">
        <v>1466000</v>
      </c>
      <c r="AE68" s="28">
        <f t="shared" si="5"/>
        <v>7.0619527184264883E-2</v>
      </c>
      <c r="AF68" s="18">
        <v>70</v>
      </c>
      <c r="AG68">
        <v>7.0000000000000007E-2</v>
      </c>
    </row>
    <row r="69" spans="1:36" x14ac:dyDescent="0.25">
      <c r="A69" t="s">
        <v>180</v>
      </c>
      <c r="B69">
        <v>1</v>
      </c>
      <c r="C69" t="s">
        <v>174</v>
      </c>
      <c r="D69" t="s">
        <v>175</v>
      </c>
      <c r="E69" t="s">
        <v>16</v>
      </c>
      <c r="F69" t="s">
        <v>24</v>
      </c>
      <c r="H69" s="18">
        <v>0.95</v>
      </c>
      <c r="I69" s="18">
        <v>0.95</v>
      </c>
      <c r="J69" s="18">
        <v>0.95</v>
      </c>
      <c r="K69" s="18">
        <v>1</v>
      </c>
      <c r="N69" s="26">
        <v>6.3</v>
      </c>
      <c r="O69" s="19">
        <v>48</v>
      </c>
      <c r="P69" s="19">
        <v>48</v>
      </c>
      <c r="Q69" s="24">
        <f t="shared" si="0"/>
        <v>1.95</v>
      </c>
      <c r="R69" s="26">
        <v>50</v>
      </c>
      <c r="S69" s="19">
        <v>3.89</v>
      </c>
      <c r="T69" s="19">
        <v>1000</v>
      </c>
      <c r="U69" s="24">
        <f t="shared" si="10"/>
        <v>0.98</v>
      </c>
      <c r="V69" s="24">
        <f t="shared" si="11"/>
        <v>25</v>
      </c>
      <c r="W69" s="19">
        <v>18</v>
      </c>
      <c r="X69" s="24">
        <f t="shared" si="4"/>
        <v>72</v>
      </c>
      <c r="Y69" s="18">
        <v>0.1</v>
      </c>
      <c r="Z69" s="18">
        <v>0.2</v>
      </c>
      <c r="AA69" s="18">
        <v>50</v>
      </c>
      <c r="AB69" s="24">
        <f t="shared" si="44"/>
        <v>1000</v>
      </c>
      <c r="AC69" s="19">
        <v>67500</v>
      </c>
      <c r="AD69" s="19">
        <v>2250000</v>
      </c>
      <c r="AE69" s="28">
        <f t="shared" si="5"/>
        <v>7.0313571760871663E-2</v>
      </c>
      <c r="AF69" s="18">
        <v>80</v>
      </c>
      <c r="AG69">
        <v>7.0000000000000007E-2</v>
      </c>
    </row>
    <row r="70" spans="1:36" x14ac:dyDescent="0.25">
      <c r="A70" t="s">
        <v>246</v>
      </c>
      <c r="B70">
        <v>1</v>
      </c>
      <c r="C70" t="s">
        <v>174</v>
      </c>
      <c r="D70" t="s">
        <v>175</v>
      </c>
      <c r="E70" t="s">
        <v>16</v>
      </c>
      <c r="F70" t="s">
        <v>24</v>
      </c>
      <c r="H70" s="24">
        <f>H65</f>
        <v>0.81</v>
      </c>
      <c r="I70" s="24">
        <f>I65</f>
        <v>0.81</v>
      </c>
      <c r="J70" s="24">
        <f>J69</f>
        <v>0.95</v>
      </c>
      <c r="K70" s="24">
        <f>K69</f>
        <v>1</v>
      </c>
      <c r="N70" s="24">
        <f>N69</f>
        <v>6.3</v>
      </c>
      <c r="O70" s="24">
        <f>O69</f>
        <v>48</v>
      </c>
      <c r="P70" s="24">
        <f>P69</f>
        <v>48</v>
      </c>
      <c r="Q70" s="24">
        <f>Q69</f>
        <v>1.95</v>
      </c>
      <c r="R70" s="24">
        <f>R69</f>
        <v>50</v>
      </c>
      <c r="S70" s="24">
        <f>S69</f>
        <v>3.89</v>
      </c>
      <c r="T70" s="24">
        <f>T69</f>
        <v>1000</v>
      </c>
      <c r="U70" s="24">
        <f>U69</f>
        <v>0.98</v>
      </c>
      <c r="V70" s="24">
        <f>V69</f>
        <v>25</v>
      </c>
      <c r="W70" s="24">
        <f>W69</f>
        <v>18</v>
      </c>
      <c r="X70" s="24">
        <f>X69</f>
        <v>72</v>
      </c>
      <c r="Y70" s="24">
        <f>Y65</f>
        <v>5.0000000000000001E-3</v>
      </c>
      <c r="Z70" s="24">
        <f>Z65</f>
        <v>5.0000000000000001E-3</v>
      </c>
      <c r="AA70" s="24">
        <f>AA69</f>
        <v>50</v>
      </c>
      <c r="AB70" s="24">
        <f>AB69</f>
        <v>1000</v>
      </c>
      <c r="AC70" s="24">
        <f>AC69</f>
        <v>67500</v>
      </c>
      <c r="AD70" s="24">
        <f>AD69</f>
        <v>2250000</v>
      </c>
      <c r="AE70" s="28">
        <f t="shared" ref="AE70:AE71" si="45">-PMT(AG70,AF70,1)</f>
        <v>7.5009138873610326E-2</v>
      </c>
      <c r="AF70" s="24">
        <f>AF65</f>
        <v>40</v>
      </c>
      <c r="AG70">
        <v>7.0000000000000007E-2</v>
      </c>
      <c r="AJ70" t="s">
        <v>253</v>
      </c>
    </row>
    <row r="71" spans="1:36" x14ac:dyDescent="0.25">
      <c r="A71" t="s">
        <v>247</v>
      </c>
      <c r="B71">
        <v>1</v>
      </c>
      <c r="C71" t="s">
        <v>174</v>
      </c>
      <c r="D71" t="s">
        <v>175</v>
      </c>
      <c r="E71" t="s">
        <v>16</v>
      </c>
      <c r="F71" t="s">
        <v>24</v>
      </c>
      <c r="H71" s="24">
        <f>H66</f>
        <v>0.88</v>
      </c>
      <c r="I71" s="24">
        <f>I66</f>
        <v>0.88</v>
      </c>
      <c r="J71" s="24">
        <f>J68</f>
        <v>0.5</v>
      </c>
      <c r="K71" s="24">
        <f>K68</f>
        <v>1</v>
      </c>
      <c r="N71" s="24">
        <f>N68</f>
        <v>2</v>
      </c>
      <c r="O71" s="24">
        <f>O68</f>
        <v>24</v>
      </c>
      <c r="P71" s="24">
        <f>P68</f>
        <v>24</v>
      </c>
      <c r="Q71" s="24">
        <f>Q68</f>
        <v>1.95</v>
      </c>
      <c r="R71" s="24">
        <f>R68</f>
        <v>21</v>
      </c>
      <c r="S71" s="24">
        <f>S68</f>
        <v>3.89</v>
      </c>
      <c r="T71" s="24">
        <f>T68</f>
        <v>350</v>
      </c>
      <c r="U71" s="24">
        <f>U68</f>
        <v>0.98</v>
      </c>
      <c r="V71" s="24">
        <f>V68</f>
        <v>10.5</v>
      </c>
      <c r="W71" s="24">
        <f>W68</f>
        <v>18</v>
      </c>
      <c r="X71" s="24">
        <f>X68</f>
        <v>72</v>
      </c>
      <c r="Y71" s="24">
        <f>Y66</f>
        <v>0.01</v>
      </c>
      <c r="Z71" s="24">
        <f>Z66</f>
        <v>0.01</v>
      </c>
      <c r="AA71" s="24">
        <f>AA68</f>
        <v>40</v>
      </c>
      <c r="AB71" s="24">
        <f>AB68</f>
        <v>350</v>
      </c>
      <c r="AC71" s="24">
        <f>AC68</f>
        <v>40000</v>
      </c>
      <c r="AD71" s="24">
        <f>AD68</f>
        <v>1466000</v>
      </c>
      <c r="AE71" s="28">
        <f t="shared" si="45"/>
        <v>7.2459849539607671E-2</v>
      </c>
      <c r="AF71" s="24">
        <f>AF66</f>
        <v>50</v>
      </c>
      <c r="AG71">
        <v>7.0000000000000007E-2</v>
      </c>
      <c r="AJ71" t="s">
        <v>254</v>
      </c>
    </row>
    <row r="72" spans="1:36" x14ac:dyDescent="0.25">
      <c r="A72" t="s">
        <v>243</v>
      </c>
      <c r="B72">
        <v>1</v>
      </c>
      <c r="C72" t="s">
        <v>174</v>
      </c>
      <c r="D72" t="s">
        <v>175</v>
      </c>
      <c r="E72" t="s">
        <v>16</v>
      </c>
      <c r="F72" t="s">
        <v>24</v>
      </c>
      <c r="H72" s="24">
        <f>H68</f>
        <v>0.94</v>
      </c>
      <c r="I72" s="24">
        <f>I68</f>
        <v>0.94</v>
      </c>
      <c r="J72" s="24">
        <f>J66</f>
        <v>0.2</v>
      </c>
      <c r="K72" s="24">
        <f>K68</f>
        <v>1</v>
      </c>
      <c r="N72" s="24">
        <f>N66</f>
        <v>0.5</v>
      </c>
      <c r="O72" s="24">
        <f t="shared" ref="O72:P72" si="46">O66</f>
        <v>2</v>
      </c>
      <c r="P72" s="24">
        <f t="shared" si="46"/>
        <v>5</v>
      </c>
      <c r="Q72" s="24">
        <f>Q66</f>
        <v>1.95</v>
      </c>
      <c r="R72" s="24">
        <f>R66</f>
        <v>5</v>
      </c>
      <c r="S72" s="24">
        <f t="shared" ref="S72:X72" si="47">S66</f>
        <v>3.89</v>
      </c>
      <c r="T72" s="24">
        <f t="shared" si="47"/>
        <v>150</v>
      </c>
      <c r="U72" s="24">
        <f t="shared" si="47"/>
        <v>0.98</v>
      </c>
      <c r="V72" s="24">
        <f t="shared" si="47"/>
        <v>2.5</v>
      </c>
      <c r="W72" s="24">
        <f t="shared" si="47"/>
        <v>18</v>
      </c>
      <c r="X72" s="24">
        <f t="shared" si="47"/>
        <v>72</v>
      </c>
      <c r="Y72" s="24">
        <f>Y68</f>
        <v>0.05</v>
      </c>
      <c r="Z72" s="24">
        <f>Z68</f>
        <v>0.05</v>
      </c>
      <c r="AA72" s="24">
        <f>AA66</f>
        <v>10</v>
      </c>
      <c r="AB72" s="24">
        <f>AB66</f>
        <v>150</v>
      </c>
      <c r="AC72" s="24">
        <f>AC66</f>
        <v>27000</v>
      </c>
      <c r="AD72" s="24">
        <f>AD66</f>
        <v>489000</v>
      </c>
      <c r="AE72" s="28">
        <f t="shared" si="5"/>
        <v>7.0619527184264883E-2</v>
      </c>
      <c r="AF72" s="24">
        <f>AF68</f>
        <v>70</v>
      </c>
      <c r="AG72">
        <v>7.0000000000000007E-2</v>
      </c>
      <c r="AJ72" t="s">
        <v>244</v>
      </c>
    </row>
    <row r="73" spans="1:36" x14ac:dyDescent="0.25">
      <c r="A73" t="s">
        <v>242</v>
      </c>
      <c r="B73">
        <v>1</v>
      </c>
      <c r="C73" t="s">
        <v>174</v>
      </c>
      <c r="D73" t="s">
        <v>175</v>
      </c>
      <c r="E73" t="s">
        <v>16</v>
      </c>
      <c r="F73" t="s">
        <v>24</v>
      </c>
      <c r="H73" s="24">
        <f>H69</f>
        <v>0.95</v>
      </c>
      <c r="I73" s="24">
        <f>I69</f>
        <v>0.95</v>
      </c>
      <c r="J73" s="24">
        <f>J65</f>
        <v>0.15</v>
      </c>
      <c r="K73" s="24">
        <f>K69</f>
        <v>1</v>
      </c>
      <c r="N73" s="24">
        <f>N65</f>
        <v>0</v>
      </c>
      <c r="O73" s="24">
        <f t="shared" ref="O73:P73" si="48">O65</f>
        <v>1</v>
      </c>
      <c r="P73" s="24">
        <f t="shared" si="48"/>
        <v>1</v>
      </c>
      <c r="Q73" s="24">
        <f t="shared" ref="Q73:X73" si="49">Q65</f>
        <v>1.95</v>
      </c>
      <c r="R73" s="24">
        <f t="shared" si="49"/>
        <v>1</v>
      </c>
      <c r="S73" s="24">
        <f t="shared" si="49"/>
        <v>3.89</v>
      </c>
      <c r="T73" s="24">
        <f t="shared" si="49"/>
        <v>50</v>
      </c>
      <c r="U73" s="24">
        <f t="shared" si="49"/>
        <v>0.98</v>
      </c>
      <c r="V73" s="24">
        <f t="shared" si="49"/>
        <v>0.5</v>
      </c>
      <c r="W73" s="24">
        <f t="shared" si="49"/>
        <v>18</v>
      </c>
      <c r="X73" s="24">
        <f t="shared" si="49"/>
        <v>72</v>
      </c>
      <c r="Y73" s="24">
        <f>Y69</f>
        <v>0.1</v>
      </c>
      <c r="Z73" s="24">
        <f>Z69</f>
        <v>0.2</v>
      </c>
      <c r="AA73" s="24">
        <f>AA65</f>
        <v>1</v>
      </c>
      <c r="AB73" s="24">
        <f>AB65</f>
        <v>50</v>
      </c>
      <c r="AC73" s="24">
        <f>AC65</f>
        <v>7320</v>
      </c>
      <c r="AD73" s="24">
        <f>AD65</f>
        <v>244000</v>
      </c>
      <c r="AE73" s="28">
        <f t="shared" si="5"/>
        <v>7.0313571760871663E-2</v>
      </c>
      <c r="AF73" s="24">
        <f>AF69</f>
        <v>80</v>
      </c>
      <c r="AG73">
        <v>7.0000000000000007E-2</v>
      </c>
      <c r="AJ73" t="s">
        <v>245</v>
      </c>
    </row>
    <row r="74" spans="1:36" s="7" customFormat="1" x14ac:dyDescent="0.25">
      <c r="A74" t="s">
        <v>181</v>
      </c>
      <c r="B74">
        <v>1</v>
      </c>
      <c r="C74" t="s">
        <v>233</v>
      </c>
      <c r="D74" t="s">
        <v>234</v>
      </c>
      <c r="E74" t="s">
        <v>16</v>
      </c>
      <c r="F74" t="s">
        <v>17</v>
      </c>
      <c r="G74" s="2"/>
      <c r="H74" s="24">
        <f>ROUND(MIN(H2,H20,H47),2)</f>
        <v>0.23</v>
      </c>
      <c r="I74" s="24">
        <f>ROUND(MIN(I2,I20,I47),2)</f>
        <v>0.23</v>
      </c>
      <c r="J74" s="24">
        <f>ROUND(MIN(J2,J20,J47),2)</f>
        <v>0.15</v>
      </c>
      <c r="K74" s="24">
        <f>ROUND(MIN(K2,K20,K47),2)</f>
        <v>1</v>
      </c>
      <c r="L74"/>
      <c r="M74"/>
      <c r="N74" s="24">
        <f>ROUND(MIN(N2,N20,N47),2)</f>
        <v>1.2</v>
      </c>
      <c r="O74" s="24">
        <f>ROUNDDOWN(MIN(O2,O20,O47),0)</f>
        <v>1</v>
      </c>
      <c r="P74" s="24">
        <f>ROUNDDOWN(MIN(P2,P20,P47),0)</f>
        <v>1</v>
      </c>
      <c r="Q74" s="24">
        <f t="shared" ref="Q74:V74" si="50">ROUND(MIN(Q2,Q20,Q47),2)</f>
        <v>1.95</v>
      </c>
      <c r="R74" s="24">
        <f t="shared" si="50"/>
        <v>5</v>
      </c>
      <c r="S74" s="24">
        <f t="shared" si="50"/>
        <v>3.89</v>
      </c>
      <c r="T74" s="24">
        <f t="shared" si="50"/>
        <v>300</v>
      </c>
      <c r="U74" s="24">
        <f t="shared" si="50"/>
        <v>0.98</v>
      </c>
      <c r="V74" s="24">
        <f t="shared" si="50"/>
        <v>2.5</v>
      </c>
      <c r="W74" s="24">
        <f>ROUNDDOWN(MIN(W2,W20,W47),0)</f>
        <v>18</v>
      </c>
      <c r="X74" s="24">
        <f>ROUNDDOWN(MIN(X2,X20,X47),0)</f>
        <v>72</v>
      </c>
      <c r="Y74" s="24">
        <f>ROUND(MIN(Y2,Y20,Y47),2)</f>
        <v>0.01</v>
      </c>
      <c r="Z74" s="24">
        <f>ROUND(MIN(Z2,Z20,Z47),2)</f>
        <v>0.01</v>
      </c>
      <c r="AA74" s="24">
        <f>ROUNDDOWN(MIN(AA2,AA20,AA47),0)</f>
        <v>1</v>
      </c>
      <c r="AB74" s="24">
        <f>ROUND(MIN(AB2,AB20,AB47),2)</f>
        <v>300</v>
      </c>
      <c r="AC74" s="24">
        <f>ROUNDDOWN(MIN(AC2,AC20,AC47),0)</f>
        <v>30000</v>
      </c>
      <c r="AD74" s="24">
        <f>ROUNDDOWN(MIN(AD2,AD20,AD47),0)</f>
        <v>1350000</v>
      </c>
      <c r="AE74" s="28">
        <f t="shared" si="5"/>
        <v>7.5009138873610326E-2</v>
      </c>
      <c r="AF74" s="24">
        <f>ROUNDDOWN(MIN(AF2,AF20,AF47),0)</f>
        <v>40</v>
      </c>
      <c r="AG74">
        <v>7.0000000000000007E-2</v>
      </c>
      <c r="AH74"/>
      <c r="AI74"/>
    </row>
    <row r="75" spans="1:36" s="6" customFormat="1" x14ac:dyDescent="0.25">
      <c r="A75" t="s">
        <v>66</v>
      </c>
      <c r="B75">
        <v>1</v>
      </c>
      <c r="C75" t="s">
        <v>233</v>
      </c>
      <c r="D75" t="s">
        <v>234</v>
      </c>
      <c r="E75" t="s">
        <v>16</v>
      </c>
      <c r="F75" t="s">
        <v>17</v>
      </c>
      <c r="G75" s="5"/>
      <c r="H75" s="24">
        <f>ROUND(AVERAGE(H74,H76),2)</f>
        <v>0.28000000000000003</v>
      </c>
      <c r="I75" s="24">
        <f t="shared" ref="I75:AB75" si="51">ROUND(AVERAGE(I74,I76),2)</f>
        <v>0.28000000000000003</v>
      </c>
      <c r="J75" s="24">
        <f t="shared" si="51"/>
        <v>0.28999999999999998</v>
      </c>
      <c r="K75" s="24">
        <f t="shared" si="51"/>
        <v>1</v>
      </c>
      <c r="L75"/>
      <c r="M75"/>
      <c r="N75" s="24">
        <f t="shared" si="51"/>
        <v>1.94</v>
      </c>
      <c r="O75" s="24">
        <f>ROUNDDOWN(AVERAGE(O74,O76),0)</f>
        <v>3</v>
      </c>
      <c r="P75" s="24">
        <f>ROUNDDOWN(AVERAGE(P74,P76),0)</f>
        <v>7</v>
      </c>
      <c r="Q75" s="24">
        <f t="shared" si="51"/>
        <v>1.95</v>
      </c>
      <c r="R75" s="24">
        <f t="shared" si="51"/>
        <v>13</v>
      </c>
      <c r="S75" s="24">
        <f t="shared" si="51"/>
        <v>3.89</v>
      </c>
      <c r="T75" s="24">
        <f t="shared" si="51"/>
        <v>400</v>
      </c>
      <c r="U75" s="24">
        <f t="shared" si="51"/>
        <v>0.98</v>
      </c>
      <c r="V75" s="24">
        <f t="shared" si="51"/>
        <v>6.5</v>
      </c>
      <c r="W75" s="24">
        <f>ROUNDDOWN(AVERAGE(W74,W76),0)</f>
        <v>24</v>
      </c>
      <c r="X75" s="24">
        <f>ROUNDDOWN(AVERAGE(X74,X76),0)</f>
        <v>96</v>
      </c>
      <c r="Y75" s="24">
        <f t="shared" si="51"/>
        <v>0.02</v>
      </c>
      <c r="Z75" s="24">
        <f t="shared" si="51"/>
        <v>0.02</v>
      </c>
      <c r="AA75" s="24">
        <f>ROUNDDOWN(AVERAGE(AA74,AA76),0)</f>
        <v>194</v>
      </c>
      <c r="AB75" s="24">
        <f t="shared" si="51"/>
        <v>400</v>
      </c>
      <c r="AC75" s="24">
        <f>ROUNDDOWN(AVERAGE(AC74,AC76),0)</f>
        <v>114150</v>
      </c>
      <c r="AD75" s="24">
        <f>ROUNDDOWN(AVERAGE(AD74,AD76),0)</f>
        <v>4425000</v>
      </c>
      <c r="AE75" s="28">
        <f t="shared" si="5"/>
        <v>7.2459849539607671E-2</v>
      </c>
      <c r="AF75" s="24">
        <f>ROUNDDOWN(AVERAGE(AF74,AF76),0)</f>
        <v>50</v>
      </c>
      <c r="AG75">
        <v>7.0000000000000007E-2</v>
      </c>
      <c r="AH75"/>
      <c r="AI75"/>
    </row>
    <row r="76" spans="1:36" s="5" customFormat="1" x14ac:dyDescent="0.25">
      <c r="A76" t="s">
        <v>67</v>
      </c>
      <c r="B76">
        <v>1</v>
      </c>
      <c r="C76" t="s">
        <v>233</v>
      </c>
      <c r="D76" t="s">
        <v>234</v>
      </c>
      <c r="E76" t="s">
        <v>16</v>
      </c>
      <c r="F76" t="s">
        <v>17</v>
      </c>
      <c r="H76" s="24">
        <f>ROUND(AVERAGE(H4,H22,H49),2)</f>
        <v>0.33</v>
      </c>
      <c r="I76" s="24">
        <f>ROUND(AVERAGE(I4,I22,I49),2)</f>
        <v>0.33</v>
      </c>
      <c r="J76" s="24">
        <f>ROUND(AVERAGE(J4,J22,J49),2)</f>
        <v>0.43</v>
      </c>
      <c r="K76" s="24">
        <f>ROUND(AVERAGE(K4,K22,K49),2)</f>
        <v>1</v>
      </c>
      <c r="L76"/>
      <c r="M76"/>
      <c r="N76" s="24">
        <f>ROUND(AVERAGE(N4,N22,N49),2)</f>
        <v>2.67</v>
      </c>
      <c r="O76" s="24">
        <f>ROUND(AVERAGE(O4,O22,O49),0)</f>
        <v>6</v>
      </c>
      <c r="P76" s="24">
        <f>ROUND(AVERAGE(P4,P22,P49),0)</f>
        <v>14</v>
      </c>
      <c r="Q76" s="24">
        <f t="shared" ref="Q76:V76" si="52">ROUND(AVERAGE(Q4,Q22,Q49),2)</f>
        <v>1.95</v>
      </c>
      <c r="R76" s="24">
        <f t="shared" si="52"/>
        <v>21</v>
      </c>
      <c r="S76" s="24">
        <f t="shared" si="52"/>
        <v>3.89</v>
      </c>
      <c r="T76" s="24">
        <f t="shared" si="52"/>
        <v>500</v>
      </c>
      <c r="U76" s="24">
        <f t="shared" si="52"/>
        <v>0.98</v>
      </c>
      <c r="V76" s="24">
        <f t="shared" si="52"/>
        <v>10.5</v>
      </c>
      <c r="W76" s="24">
        <f>ROUND(AVERAGE(W4,W22,W49),0)</f>
        <v>30</v>
      </c>
      <c r="X76" s="24">
        <f>ROUND(AVERAGE(X4,X22,X49),0)</f>
        <v>120</v>
      </c>
      <c r="Y76" s="24">
        <f>ROUND(AVERAGE(Y4,Y22,Y49),2)</f>
        <v>0.03</v>
      </c>
      <c r="Z76" s="24">
        <f>ROUND(AVERAGE(Z4,Z22,Z49),2)</f>
        <v>0.03</v>
      </c>
      <c r="AA76" s="24">
        <f>ROUND(AVERAGE(AA4,AA22,AA49),0)</f>
        <v>387</v>
      </c>
      <c r="AB76" s="24">
        <f>ROUND(AVERAGE(AB4,AB22,AB49),2)</f>
        <v>500</v>
      </c>
      <c r="AC76" s="24">
        <f>ROUND(AVERAGE(AC4,AC22,AC49),0)</f>
        <v>198300</v>
      </c>
      <c r="AD76" s="24">
        <f>ROUND(AVERAGE(AD4,AD22,AD49),0)</f>
        <v>7500000</v>
      </c>
      <c r="AE76" s="28">
        <f t="shared" si="5"/>
        <v>7.122922550001945E-2</v>
      </c>
      <c r="AF76" s="24">
        <f>ROUND(AVERAGE(AF4,AF22,AF49),0)</f>
        <v>60</v>
      </c>
      <c r="AG76">
        <v>7.0000000000000007E-2</v>
      </c>
      <c r="AH76"/>
      <c r="AI76"/>
      <c r="AJ76" s="5" t="s">
        <v>239</v>
      </c>
    </row>
    <row r="77" spans="1:36" s="6" customFormat="1" x14ac:dyDescent="0.25">
      <c r="A77" t="s">
        <v>68</v>
      </c>
      <c r="B77">
        <v>1</v>
      </c>
      <c r="C77" t="s">
        <v>233</v>
      </c>
      <c r="D77" t="s">
        <v>234</v>
      </c>
      <c r="E77" t="s">
        <v>16</v>
      </c>
      <c r="F77" t="s">
        <v>17</v>
      </c>
      <c r="G77"/>
      <c r="H77" s="24">
        <f>ROUND(AVERAGE(H76,H78),2)</f>
        <v>0.38</v>
      </c>
      <c r="I77" s="24">
        <f t="shared" ref="I77:AB77" si="53">ROUND(AVERAGE(I76,I78),2)</f>
        <v>0.38</v>
      </c>
      <c r="J77" s="24">
        <f t="shared" si="53"/>
        <v>0.69</v>
      </c>
      <c r="K77" s="24">
        <f t="shared" si="53"/>
        <v>1</v>
      </c>
      <c r="L77"/>
      <c r="M77"/>
      <c r="N77" s="24">
        <f t="shared" si="53"/>
        <v>9.5399999999999991</v>
      </c>
      <c r="O77" s="24">
        <f>ROUNDUP(AVERAGE(O76,O78),0)</f>
        <v>51</v>
      </c>
      <c r="P77" s="24">
        <f>ROUNDUP(AVERAGE(P76,P78),0)</f>
        <v>55</v>
      </c>
      <c r="Q77" s="24">
        <f t="shared" si="53"/>
        <v>1.95</v>
      </c>
      <c r="R77" s="24">
        <f t="shared" si="53"/>
        <v>60.5</v>
      </c>
      <c r="S77" s="24">
        <f t="shared" si="53"/>
        <v>3.89</v>
      </c>
      <c r="T77" s="24">
        <f t="shared" si="53"/>
        <v>1250</v>
      </c>
      <c r="U77" s="24">
        <f t="shared" si="53"/>
        <v>0.98</v>
      </c>
      <c r="V77" s="24">
        <f t="shared" si="53"/>
        <v>30.25</v>
      </c>
      <c r="W77" s="24">
        <f>ROUNDUP(AVERAGE(W76,W78),0)</f>
        <v>33</v>
      </c>
      <c r="X77" s="24">
        <f>ROUNDUP(AVERAGE(X76,X78),0)</f>
        <v>132</v>
      </c>
      <c r="Y77" s="24">
        <f t="shared" si="53"/>
        <v>7.0000000000000007E-2</v>
      </c>
      <c r="Z77" s="24">
        <f t="shared" si="53"/>
        <v>0.12</v>
      </c>
      <c r="AA77" s="24">
        <f>ROUNDUP(AVERAGE(AA76,AA78),0)</f>
        <v>1069</v>
      </c>
      <c r="AB77" s="24">
        <f t="shared" si="53"/>
        <v>1250</v>
      </c>
      <c r="AC77" s="24">
        <f>ROUNDUP(AVERAGE(AC76,AC78),0)</f>
        <v>374150</v>
      </c>
      <c r="AD77" s="24">
        <f>ROUNDUP(AVERAGE(AD76,AD78),0)</f>
        <v>17250000</v>
      </c>
      <c r="AE77" s="28">
        <f t="shared" si="5"/>
        <v>7.0619527184264883E-2</v>
      </c>
      <c r="AF77" s="24">
        <f>ROUNDUP(AVERAGE(AF76,AF78),0)</f>
        <v>70</v>
      </c>
      <c r="AG77">
        <v>7.0000000000000007E-2</v>
      </c>
      <c r="AH77"/>
      <c r="AI77"/>
    </row>
    <row r="78" spans="1:36" s="6" customFormat="1" x14ac:dyDescent="0.25">
      <c r="A78" t="s">
        <v>180</v>
      </c>
      <c r="B78">
        <v>1</v>
      </c>
      <c r="C78" t="s">
        <v>233</v>
      </c>
      <c r="D78" t="s">
        <v>234</v>
      </c>
      <c r="E78" t="s">
        <v>16</v>
      </c>
      <c r="F78" t="s">
        <v>17</v>
      </c>
      <c r="G78" s="2"/>
      <c r="H78" s="24">
        <f>ROUND(MAX(H6,H24,H51),2)</f>
        <v>0.42</v>
      </c>
      <c r="I78" s="24">
        <f>ROUND(MAX(I6,I24,I51),2)</f>
        <v>0.42</v>
      </c>
      <c r="J78" s="24">
        <f>ROUND(MAX(J6,J24,J51),2)</f>
        <v>0.95</v>
      </c>
      <c r="K78" s="24">
        <f>ROUND(MAX(K6,K24,K51),2)</f>
        <v>1</v>
      </c>
      <c r="L78"/>
      <c r="M78"/>
      <c r="N78" s="24">
        <f>ROUND(MAX(N6,N24,N51),2)</f>
        <v>16.399999999999999</v>
      </c>
      <c r="O78" s="24">
        <f>ROUNDUP(MAX(O6,O24,O51),0)</f>
        <v>96</v>
      </c>
      <c r="P78" s="24">
        <f>ROUNDUP(MAX(P6,P24,P51),0)</f>
        <v>96</v>
      </c>
      <c r="Q78" s="24">
        <f t="shared" ref="Q78:V78" si="54">ROUND(MAX(Q6,Q24,Q51),2)</f>
        <v>1.95</v>
      </c>
      <c r="R78" s="24">
        <f t="shared" si="54"/>
        <v>100</v>
      </c>
      <c r="S78" s="24">
        <f t="shared" si="54"/>
        <v>3.89</v>
      </c>
      <c r="T78" s="24">
        <f t="shared" si="54"/>
        <v>2000</v>
      </c>
      <c r="U78" s="24">
        <f t="shared" si="54"/>
        <v>0.98</v>
      </c>
      <c r="V78" s="24">
        <f t="shared" si="54"/>
        <v>50</v>
      </c>
      <c r="W78" s="24">
        <f>ROUNDUP(MAX(W6,W24,W51),0)</f>
        <v>36</v>
      </c>
      <c r="X78" s="24">
        <f>ROUNDUP(MAX(X6,X24,X51),0)</f>
        <v>144</v>
      </c>
      <c r="Y78" s="24">
        <f>ROUND(MAX(Y6,Y24,Y51),2)</f>
        <v>0.1</v>
      </c>
      <c r="Z78" s="24">
        <f>ROUND(MAX(Z6,Z24,Z51),2)</f>
        <v>0.2</v>
      </c>
      <c r="AA78" s="24">
        <f>ROUNDUP(MAX(AA6,AA24,AA51),0)</f>
        <v>1750</v>
      </c>
      <c r="AB78" s="24">
        <f>ROUND(MAX(AB6,AB24,AB51),2)</f>
        <v>2000</v>
      </c>
      <c r="AC78" s="24">
        <f>ROUNDUP(MAX(AC6,AC24,AC51),0)</f>
        <v>550000</v>
      </c>
      <c r="AD78" s="24">
        <f>ROUNDUP(MAX(AD6,AD24,AD51),0)</f>
        <v>27000000</v>
      </c>
      <c r="AE78" s="28">
        <f t="shared" si="5"/>
        <v>7.0313571760871663E-2</v>
      </c>
      <c r="AF78" s="24">
        <f>ROUNDUP(MAX(AF6,AF24,AF51),0)</f>
        <v>80</v>
      </c>
      <c r="AG78">
        <v>7.0000000000000007E-2</v>
      </c>
      <c r="AH78"/>
      <c r="AI78"/>
    </row>
    <row r="79" spans="1:36" x14ac:dyDescent="0.25">
      <c r="A79" t="s">
        <v>246</v>
      </c>
      <c r="B79">
        <v>1</v>
      </c>
      <c r="C79" t="s">
        <v>233</v>
      </c>
      <c r="D79" t="s">
        <v>234</v>
      </c>
      <c r="E79" t="s">
        <v>16</v>
      </c>
      <c r="F79" t="s">
        <v>17</v>
      </c>
      <c r="H79" s="24">
        <f>H74</f>
        <v>0.23</v>
      </c>
      <c r="I79" s="24">
        <f>I74</f>
        <v>0.23</v>
      </c>
      <c r="J79" s="24">
        <f>J78</f>
        <v>0.95</v>
      </c>
      <c r="K79" s="24">
        <f>K78</f>
        <v>1</v>
      </c>
      <c r="N79" s="24">
        <f>N78</f>
        <v>16.399999999999999</v>
      </c>
      <c r="O79" s="24">
        <f>O78</f>
        <v>96</v>
      </c>
      <c r="P79" s="24">
        <f>P78</f>
        <v>96</v>
      </c>
      <c r="Q79" s="24">
        <f>Q78</f>
        <v>1.95</v>
      </c>
      <c r="R79" s="24">
        <f>R78</f>
        <v>100</v>
      </c>
      <c r="S79" s="24">
        <f>S78</f>
        <v>3.89</v>
      </c>
      <c r="T79" s="24">
        <f>T78</f>
        <v>2000</v>
      </c>
      <c r="U79" s="24">
        <f>U78</f>
        <v>0.98</v>
      </c>
      <c r="V79" s="24">
        <f>V78</f>
        <v>50</v>
      </c>
      <c r="W79" s="24">
        <f>W78</f>
        <v>36</v>
      </c>
      <c r="X79" s="24">
        <f>X78</f>
        <v>144</v>
      </c>
      <c r="Y79" s="24">
        <f>Y74</f>
        <v>0.01</v>
      </c>
      <c r="Z79" s="24">
        <f>Z74</f>
        <v>0.01</v>
      </c>
      <c r="AA79" s="24">
        <f>AA78</f>
        <v>1750</v>
      </c>
      <c r="AB79" s="24">
        <f>AB78</f>
        <v>2000</v>
      </c>
      <c r="AC79" s="24">
        <f>AC78</f>
        <v>550000</v>
      </c>
      <c r="AD79" s="24">
        <f>AD78</f>
        <v>27000000</v>
      </c>
      <c r="AE79" s="28">
        <f t="shared" ref="AE79:AE80" si="55">-PMT(AG79,AF79,1)</f>
        <v>7.5009138873610326E-2</v>
      </c>
      <c r="AF79" s="24">
        <f>AF74</f>
        <v>40</v>
      </c>
      <c r="AG79">
        <v>7.0000000000000007E-2</v>
      </c>
      <c r="AJ79" t="s">
        <v>253</v>
      </c>
    </row>
    <row r="80" spans="1:36" x14ac:dyDescent="0.25">
      <c r="A80" t="s">
        <v>247</v>
      </c>
      <c r="B80">
        <v>1</v>
      </c>
      <c r="C80" t="s">
        <v>233</v>
      </c>
      <c r="D80" t="s">
        <v>234</v>
      </c>
      <c r="E80" t="s">
        <v>16</v>
      </c>
      <c r="F80" t="s">
        <v>17</v>
      </c>
      <c r="G80" s="2"/>
      <c r="H80" s="24">
        <f>H75</f>
        <v>0.28000000000000003</v>
      </c>
      <c r="I80" s="24">
        <f>I75</f>
        <v>0.28000000000000003</v>
      </c>
      <c r="J80" s="24">
        <f>J77</f>
        <v>0.69</v>
      </c>
      <c r="K80" s="24">
        <f>K77</f>
        <v>1</v>
      </c>
      <c r="N80" s="24">
        <f>N77</f>
        <v>9.5399999999999991</v>
      </c>
      <c r="O80" s="24">
        <f>O77</f>
        <v>51</v>
      </c>
      <c r="P80" s="24">
        <f>P77</f>
        <v>55</v>
      </c>
      <c r="Q80" s="24">
        <f>Q77</f>
        <v>1.95</v>
      </c>
      <c r="R80" s="24">
        <f>R77</f>
        <v>60.5</v>
      </c>
      <c r="S80" s="24">
        <f>S77</f>
        <v>3.89</v>
      </c>
      <c r="T80" s="24">
        <f>T77</f>
        <v>1250</v>
      </c>
      <c r="U80" s="24">
        <f>U77</f>
        <v>0.98</v>
      </c>
      <c r="V80" s="24">
        <f>V77</f>
        <v>30.25</v>
      </c>
      <c r="W80" s="24">
        <f>W77</f>
        <v>33</v>
      </c>
      <c r="X80" s="24">
        <f>X77</f>
        <v>132</v>
      </c>
      <c r="Y80" s="24">
        <f>Y75</f>
        <v>0.02</v>
      </c>
      <c r="Z80" s="24">
        <f>Z75</f>
        <v>0.02</v>
      </c>
      <c r="AA80" s="24">
        <f>AA77</f>
        <v>1069</v>
      </c>
      <c r="AB80" s="24">
        <f>AB77</f>
        <v>1250</v>
      </c>
      <c r="AC80" s="24">
        <f>AC77</f>
        <v>374150</v>
      </c>
      <c r="AD80" s="24">
        <f>AD77</f>
        <v>17250000</v>
      </c>
      <c r="AE80" s="28">
        <f t="shared" si="55"/>
        <v>7.2459849539607671E-2</v>
      </c>
      <c r="AF80" s="24">
        <f>AF75</f>
        <v>50</v>
      </c>
      <c r="AG80">
        <v>7.0000000000000007E-2</v>
      </c>
      <c r="AJ80" t="s">
        <v>254</v>
      </c>
    </row>
    <row r="81" spans="1:36" x14ac:dyDescent="0.25">
      <c r="A81" t="s">
        <v>243</v>
      </c>
      <c r="B81">
        <v>1</v>
      </c>
      <c r="C81" t="s">
        <v>233</v>
      </c>
      <c r="D81" t="s">
        <v>234</v>
      </c>
      <c r="E81" t="s">
        <v>16</v>
      </c>
      <c r="F81" t="s">
        <v>17</v>
      </c>
      <c r="H81" s="24">
        <f>H77</f>
        <v>0.38</v>
      </c>
      <c r="I81" s="24">
        <f>I77</f>
        <v>0.38</v>
      </c>
      <c r="J81" s="24">
        <f>J75</f>
        <v>0.28999999999999998</v>
      </c>
      <c r="K81" s="24">
        <f>K77</f>
        <v>1</v>
      </c>
      <c r="N81" s="24">
        <f>N75</f>
        <v>1.94</v>
      </c>
      <c r="O81" s="24">
        <f t="shared" ref="O81:P81" si="56">O75</f>
        <v>3</v>
      </c>
      <c r="P81" s="24">
        <f t="shared" si="56"/>
        <v>7</v>
      </c>
      <c r="Q81" s="24">
        <f>Q75</f>
        <v>1.95</v>
      </c>
      <c r="R81" s="24">
        <f>R75</f>
        <v>13</v>
      </c>
      <c r="S81" s="24">
        <f t="shared" ref="S81:X81" si="57">S75</f>
        <v>3.89</v>
      </c>
      <c r="T81" s="24">
        <f t="shared" si="57"/>
        <v>400</v>
      </c>
      <c r="U81" s="24">
        <f t="shared" si="57"/>
        <v>0.98</v>
      </c>
      <c r="V81" s="24">
        <f t="shared" si="57"/>
        <v>6.5</v>
      </c>
      <c r="W81" s="24">
        <f t="shared" si="57"/>
        <v>24</v>
      </c>
      <c r="X81" s="24">
        <f t="shared" si="57"/>
        <v>96</v>
      </c>
      <c r="Y81" s="24">
        <f>Y77</f>
        <v>7.0000000000000007E-2</v>
      </c>
      <c r="Z81" s="24">
        <f>Z77</f>
        <v>0.12</v>
      </c>
      <c r="AA81" s="24">
        <f>AA75</f>
        <v>194</v>
      </c>
      <c r="AB81" s="24">
        <f>AB75</f>
        <v>400</v>
      </c>
      <c r="AC81" s="24">
        <f>AC75</f>
        <v>114150</v>
      </c>
      <c r="AD81" s="24">
        <f>AD75</f>
        <v>4425000</v>
      </c>
      <c r="AE81" s="28">
        <f t="shared" ref="AE81:AE82" si="58">-PMT(AG81,AF81,1)</f>
        <v>7.0619527184264883E-2</v>
      </c>
      <c r="AF81" s="24">
        <f>AF77</f>
        <v>70</v>
      </c>
      <c r="AG81">
        <v>7.0000000000000007E-2</v>
      </c>
      <c r="AJ81" t="s">
        <v>244</v>
      </c>
    </row>
    <row r="82" spans="1:36" x14ac:dyDescent="0.25">
      <c r="A82" t="s">
        <v>242</v>
      </c>
      <c r="B82">
        <v>1</v>
      </c>
      <c r="C82" t="s">
        <v>233</v>
      </c>
      <c r="D82" t="s">
        <v>234</v>
      </c>
      <c r="E82" t="s">
        <v>16</v>
      </c>
      <c r="F82" t="s">
        <v>17</v>
      </c>
      <c r="G82" s="2"/>
      <c r="H82" s="24">
        <f>H78</f>
        <v>0.42</v>
      </c>
      <c r="I82" s="24">
        <f>I78</f>
        <v>0.42</v>
      </c>
      <c r="J82" s="24">
        <f>J74</f>
        <v>0.15</v>
      </c>
      <c r="K82" s="24">
        <f>K78</f>
        <v>1</v>
      </c>
      <c r="N82" s="24">
        <f>N74</f>
        <v>1.2</v>
      </c>
      <c r="O82" s="24">
        <f t="shared" ref="O82:P82" si="59">O74</f>
        <v>1</v>
      </c>
      <c r="P82" s="24">
        <f t="shared" si="59"/>
        <v>1</v>
      </c>
      <c r="Q82" s="24">
        <f t="shared" ref="Q82:X82" si="60">Q74</f>
        <v>1.95</v>
      </c>
      <c r="R82" s="24">
        <f t="shared" si="60"/>
        <v>5</v>
      </c>
      <c r="S82" s="24">
        <f t="shared" si="60"/>
        <v>3.89</v>
      </c>
      <c r="T82" s="24">
        <f t="shared" si="60"/>
        <v>300</v>
      </c>
      <c r="U82" s="24">
        <f t="shared" si="60"/>
        <v>0.98</v>
      </c>
      <c r="V82" s="24">
        <f t="shared" si="60"/>
        <v>2.5</v>
      </c>
      <c r="W82" s="24">
        <f t="shared" si="60"/>
        <v>18</v>
      </c>
      <c r="X82" s="24">
        <f t="shared" si="60"/>
        <v>72</v>
      </c>
      <c r="Y82" s="24">
        <f>Y78</f>
        <v>0.1</v>
      </c>
      <c r="Z82" s="24">
        <f>Z78</f>
        <v>0.2</v>
      </c>
      <c r="AA82" s="24">
        <f>AA74</f>
        <v>1</v>
      </c>
      <c r="AB82" s="24">
        <f>AB74</f>
        <v>300</v>
      </c>
      <c r="AC82" s="24">
        <f>AC74</f>
        <v>30000</v>
      </c>
      <c r="AD82" s="24">
        <f>AD74</f>
        <v>1350000</v>
      </c>
      <c r="AE82" s="28">
        <f t="shared" si="58"/>
        <v>7.0313571760871663E-2</v>
      </c>
      <c r="AF82" s="24">
        <f>AF78</f>
        <v>80</v>
      </c>
      <c r="AG82">
        <v>7.0000000000000007E-2</v>
      </c>
      <c r="AJ82" t="s">
        <v>245</v>
      </c>
    </row>
    <row r="83" spans="1:36" x14ac:dyDescent="0.25">
      <c r="A83" t="s">
        <v>181</v>
      </c>
      <c r="B83">
        <v>1</v>
      </c>
      <c r="C83" t="s">
        <v>235</v>
      </c>
      <c r="D83" t="s">
        <v>236</v>
      </c>
      <c r="E83" t="s">
        <v>16</v>
      </c>
      <c r="F83" t="s">
        <v>17</v>
      </c>
      <c r="G83" t="s">
        <v>24</v>
      </c>
      <c r="H83" s="24">
        <f t="shared" ref="H83:N83" si="61">ROUND(MIN(H11,H29,H56),2)</f>
        <v>0.61</v>
      </c>
      <c r="I83" s="24">
        <f t="shared" si="61"/>
        <v>0.61</v>
      </c>
      <c r="J83" s="24">
        <f t="shared" si="61"/>
        <v>0.15</v>
      </c>
      <c r="K83" s="24">
        <f t="shared" si="61"/>
        <v>1</v>
      </c>
      <c r="L83" s="24">
        <f t="shared" si="61"/>
        <v>0.2</v>
      </c>
      <c r="M83" s="24">
        <f t="shared" si="61"/>
        <v>-0.17</v>
      </c>
      <c r="N83" s="24">
        <f t="shared" si="61"/>
        <v>1.2</v>
      </c>
      <c r="O83" s="24">
        <f>ROUNDDOWN(MIN(O11,O29,O56),0)</f>
        <v>1</v>
      </c>
      <c r="P83" s="24">
        <f>ROUNDDOWN(MIN(P11,P29,P56),0)</f>
        <v>1</v>
      </c>
      <c r="Q83" s="24">
        <f t="shared" ref="Q83:V83" si="62">ROUND(MIN(Q11,Q29,Q56),2)</f>
        <v>1.95</v>
      </c>
      <c r="R83" s="24">
        <f t="shared" si="62"/>
        <v>5</v>
      </c>
      <c r="S83" s="24">
        <f t="shared" si="62"/>
        <v>3.89</v>
      </c>
      <c r="T83" s="24">
        <f t="shared" si="62"/>
        <v>300</v>
      </c>
      <c r="U83" s="24">
        <f t="shared" si="62"/>
        <v>0.98</v>
      </c>
      <c r="V83" s="24">
        <f t="shared" si="62"/>
        <v>2.5</v>
      </c>
      <c r="W83" s="24">
        <f>ROUNDDOWN(MIN(W11,W29,W56),0)</f>
        <v>18</v>
      </c>
      <c r="X83" s="24">
        <f>ROUNDDOWN(MIN(X11,X29,X56),0)</f>
        <v>72</v>
      </c>
      <c r="Y83" s="24">
        <f>ROUND(MIN(Y11,Y29,Y56),2)</f>
        <v>0.01</v>
      </c>
      <c r="Z83" s="24">
        <f>ROUND(MIN(Z11,Z29,Z56),2)</f>
        <v>0.01</v>
      </c>
      <c r="AA83" s="24">
        <f>ROUNDDOWN(MIN(AA11,AA29,AA56),0)</f>
        <v>1</v>
      </c>
      <c r="AB83" s="24">
        <f>ROUND(MIN(AB11,AB29,AB56),2)</f>
        <v>300</v>
      </c>
      <c r="AC83" s="24">
        <f>ROUNDDOWN(MIN(AC11,AC29,AC56),0)</f>
        <v>30000</v>
      </c>
      <c r="AD83" s="24">
        <f>ROUNDDOWN(MIN(AD11,AD29,AD56),0)</f>
        <v>1350000</v>
      </c>
      <c r="AE83" s="28">
        <f t="shared" ref="AE83:AE95" si="63">-PMT(AG83,AF83,1)</f>
        <v>7.5009138873610326E-2</v>
      </c>
      <c r="AF83" s="24">
        <f>ROUNDDOWN(MIN(AF11,AF29,AF56),0)</f>
        <v>40</v>
      </c>
      <c r="AG83">
        <v>7.0000000000000007E-2</v>
      </c>
      <c r="AH83" s="2"/>
      <c r="AI83" s="2"/>
    </row>
    <row r="84" spans="1:36" x14ac:dyDescent="0.25">
      <c r="A84" t="s">
        <v>66</v>
      </c>
      <c r="B84">
        <v>1</v>
      </c>
      <c r="C84" t="s">
        <v>235</v>
      </c>
      <c r="D84" t="s">
        <v>236</v>
      </c>
      <c r="E84" t="s">
        <v>16</v>
      </c>
      <c r="F84" t="s">
        <v>17</v>
      </c>
      <c r="G84" t="s">
        <v>24</v>
      </c>
      <c r="H84" s="24">
        <f>ROUND(AVERAGE(H83,H85),2)</f>
        <v>0.75</v>
      </c>
      <c r="I84" s="24">
        <f t="shared" ref="I84" si="64">ROUND(AVERAGE(I83,I85),2)</f>
        <v>0.75</v>
      </c>
      <c r="J84" s="24">
        <f t="shared" ref="J84" si="65">ROUND(AVERAGE(J83,J85),2)</f>
        <v>0.28999999999999998</v>
      </c>
      <c r="K84" s="24">
        <f t="shared" ref="K84" si="66">ROUND(AVERAGE(K83,K85),2)</f>
        <v>1</v>
      </c>
      <c r="L84" s="24">
        <f t="shared" ref="L84" si="67">ROUND(AVERAGE(L83,L85),2)</f>
        <v>0.3</v>
      </c>
      <c r="M84" s="24">
        <f t="shared" ref="M84" si="68">ROUND(AVERAGE(M83,M85),2)</f>
        <v>-0.16</v>
      </c>
      <c r="N84" s="24">
        <f>ROUND(AVERAGE(N83,N85),2)</f>
        <v>2.08</v>
      </c>
      <c r="O84" s="24">
        <f>ROUNDDOWN(AVERAGE(O83,O85),0)</f>
        <v>3</v>
      </c>
      <c r="P84" s="24">
        <f>ROUNDDOWN(AVERAGE(P83,P85),0)</f>
        <v>7</v>
      </c>
      <c r="Q84" s="24">
        <f t="shared" ref="Q84" si="69">ROUND(AVERAGE(Q83,Q85),2)</f>
        <v>1.95</v>
      </c>
      <c r="R84" s="24">
        <f t="shared" ref="R84" si="70">ROUND(AVERAGE(R83,R85),2)</f>
        <v>14.16</v>
      </c>
      <c r="S84" s="24">
        <f t="shared" ref="S84" si="71">ROUND(AVERAGE(S83,S85),2)</f>
        <v>3.89</v>
      </c>
      <c r="T84" s="24">
        <f t="shared" ref="T84" si="72">ROUND(AVERAGE(T83,T85),2)</f>
        <v>427.5</v>
      </c>
      <c r="U84" s="24">
        <f t="shared" ref="U84" si="73">ROUND(AVERAGE(U83,U85),2)</f>
        <v>0.98</v>
      </c>
      <c r="V84" s="24">
        <f t="shared" ref="V84" si="74">ROUND(AVERAGE(V83,V85),2)</f>
        <v>7.08</v>
      </c>
      <c r="W84" s="24">
        <f>ROUNDDOWN(AVERAGE(W83,W85),0)</f>
        <v>24</v>
      </c>
      <c r="X84" s="24">
        <f>ROUNDDOWN(AVERAGE(X83,X85),0)</f>
        <v>96</v>
      </c>
      <c r="Y84" s="24">
        <f t="shared" ref="Y84" si="75">ROUND(AVERAGE(Y83,Y85),2)</f>
        <v>0.02</v>
      </c>
      <c r="Z84" s="24">
        <f t="shared" ref="Z84" si="76">ROUND(AVERAGE(Z83,Z85),2)</f>
        <v>0.02</v>
      </c>
      <c r="AA84" s="24">
        <f>ROUNDDOWN(AVERAGE(AA83,AA85),0)</f>
        <v>194</v>
      </c>
      <c r="AB84" s="24">
        <f t="shared" ref="AB84" si="77">ROUND(AVERAGE(AB83,AB85),2)</f>
        <v>427.5</v>
      </c>
      <c r="AC84" s="24">
        <f>ROUNDDOWN(AVERAGE(AC83,AC85),0)</f>
        <v>125056</v>
      </c>
      <c r="AD84" s="24">
        <f>ROUNDDOWN(AVERAGE(AD83,AD85),0)</f>
        <v>4837500</v>
      </c>
      <c r="AE84" s="28">
        <f t="shared" si="63"/>
        <v>7.2459849539607671E-2</v>
      </c>
      <c r="AF84" s="24">
        <f>ROUNDDOWN(AVERAGE(AF83,AF85),0)</f>
        <v>50</v>
      </c>
      <c r="AG84">
        <v>7.0000000000000007E-2</v>
      </c>
      <c r="AH84" s="2"/>
      <c r="AI84" s="2"/>
    </row>
    <row r="85" spans="1:36" x14ac:dyDescent="0.25">
      <c r="A85" t="s">
        <v>67</v>
      </c>
      <c r="B85">
        <v>1</v>
      </c>
      <c r="C85" t="s">
        <v>235</v>
      </c>
      <c r="D85" t="s">
        <v>236</v>
      </c>
      <c r="E85" t="s">
        <v>16</v>
      </c>
      <c r="F85" t="s">
        <v>17</v>
      </c>
      <c r="G85" t="s">
        <v>24</v>
      </c>
      <c r="H85" s="24">
        <f t="shared" ref="H85:N85" si="78">ROUND(AVERAGE(H13,H31,H58),2)</f>
        <v>0.89</v>
      </c>
      <c r="I85" s="24">
        <f t="shared" si="78"/>
        <v>0.89</v>
      </c>
      <c r="J85" s="24">
        <f t="shared" si="78"/>
        <v>0.43</v>
      </c>
      <c r="K85" s="24">
        <f t="shared" si="78"/>
        <v>1</v>
      </c>
      <c r="L85" s="24">
        <f t="shared" si="78"/>
        <v>0.4</v>
      </c>
      <c r="M85" s="24">
        <f t="shared" si="78"/>
        <v>-0.15</v>
      </c>
      <c r="N85" s="24">
        <f t="shared" si="78"/>
        <v>2.96</v>
      </c>
      <c r="O85" s="24">
        <f>ROUND(AVERAGE(O13,O31,O58),0)</f>
        <v>6</v>
      </c>
      <c r="P85" s="24">
        <f>ROUND(AVERAGE(P13,P31,P58),0)</f>
        <v>14</v>
      </c>
      <c r="Q85" s="24">
        <f t="shared" ref="Q85:V85" si="79">ROUND(AVERAGE(Q13,Q31,Q58),2)</f>
        <v>1.95</v>
      </c>
      <c r="R85" s="24">
        <f t="shared" si="79"/>
        <v>23.31</v>
      </c>
      <c r="S85" s="24">
        <f t="shared" si="79"/>
        <v>3.89</v>
      </c>
      <c r="T85" s="24">
        <f t="shared" si="79"/>
        <v>555</v>
      </c>
      <c r="U85" s="24">
        <f t="shared" si="79"/>
        <v>0.98</v>
      </c>
      <c r="V85" s="24">
        <f t="shared" si="79"/>
        <v>11.66</v>
      </c>
      <c r="W85" s="24">
        <f>ROUND(AVERAGE(W13,W31,W58),0)</f>
        <v>30</v>
      </c>
      <c r="X85" s="24">
        <f>ROUND(AVERAGE(X13,X31,X58),0)</f>
        <v>120</v>
      </c>
      <c r="Y85" s="24">
        <f>ROUND(AVERAGE(Y13,Y31,Y58),2)</f>
        <v>0.03</v>
      </c>
      <c r="Z85" s="24">
        <f>ROUND(AVERAGE(Z13,Z31,Z58),2)</f>
        <v>0.03</v>
      </c>
      <c r="AA85" s="24">
        <f>ROUND(AVERAGE(AA13,AA31,AA58),0)</f>
        <v>387</v>
      </c>
      <c r="AB85" s="24">
        <f>ROUND(AVERAGE(AB13,AB31,AB58),2)</f>
        <v>555</v>
      </c>
      <c r="AC85" s="24">
        <f>ROUND(AVERAGE(AC13,AC31,AC58),0)</f>
        <v>220113</v>
      </c>
      <c r="AD85" s="24">
        <f>ROUND(AVERAGE(AD13,AD31,AD58),0)</f>
        <v>8325000</v>
      </c>
      <c r="AE85" s="28">
        <f t="shared" si="63"/>
        <v>7.122922550001945E-2</v>
      </c>
      <c r="AF85" s="24">
        <f>ROUND(AVERAGE(AF13,AF31,AF58),0)</f>
        <v>60</v>
      </c>
      <c r="AG85">
        <v>7.0000000000000007E-2</v>
      </c>
      <c r="AH85" s="2"/>
      <c r="AI85" s="2"/>
      <c r="AJ85" s="5" t="s">
        <v>240</v>
      </c>
    </row>
    <row r="86" spans="1:36" x14ac:dyDescent="0.25">
      <c r="A86" t="s">
        <v>68</v>
      </c>
      <c r="B86">
        <v>1</v>
      </c>
      <c r="C86" t="s">
        <v>235</v>
      </c>
      <c r="D86" t="s">
        <v>236</v>
      </c>
      <c r="E86" t="s">
        <v>16</v>
      </c>
      <c r="F86" t="s">
        <v>17</v>
      </c>
      <c r="G86" t="s">
        <v>24</v>
      </c>
      <c r="H86" s="24">
        <f>ROUND(AVERAGE(H85,H87),2)</f>
        <v>0.92</v>
      </c>
      <c r="I86" s="24">
        <f t="shared" ref="I86" si="80">ROUND(AVERAGE(I85,I87),2)</f>
        <v>0.92</v>
      </c>
      <c r="J86" s="24">
        <f t="shared" ref="J86" si="81">ROUND(AVERAGE(J85,J87),2)</f>
        <v>0.69</v>
      </c>
      <c r="K86" s="24">
        <f t="shared" ref="K86" si="82">ROUND(AVERAGE(K85,K87),2)</f>
        <v>1</v>
      </c>
      <c r="L86" s="24">
        <f t="shared" ref="L86" si="83">ROUND(AVERAGE(L85,L87),2)</f>
        <v>0.5</v>
      </c>
      <c r="M86" s="24">
        <f t="shared" ref="M86:N86" si="84">ROUND(AVERAGE(M85,M87),2)</f>
        <v>-0.14000000000000001</v>
      </c>
      <c r="N86" s="24">
        <f t="shared" si="84"/>
        <v>11.49</v>
      </c>
      <c r="O86" s="24">
        <f>ROUNDUP(AVERAGE(O85,O87),0)</f>
        <v>51</v>
      </c>
      <c r="P86" s="24">
        <f>ROUNDUP(AVERAGE(P85,P87),0)</f>
        <v>55</v>
      </c>
      <c r="Q86" s="24">
        <f t="shared" ref="Q86" si="85">ROUND(AVERAGE(Q85,Q87),2)</f>
        <v>1.95</v>
      </c>
      <c r="R86" s="24">
        <f t="shared" ref="R86" si="86">ROUND(AVERAGE(R85,R87),2)</f>
        <v>72.66</v>
      </c>
      <c r="S86" s="24">
        <f t="shared" ref="S86" si="87">ROUND(AVERAGE(S85,S87),2)</f>
        <v>3.89</v>
      </c>
      <c r="T86" s="24">
        <f>ROUND(AVERAGE(T85,T87),2)</f>
        <v>1497.5</v>
      </c>
      <c r="U86" s="24">
        <f t="shared" ref="U86" si="88">ROUND(AVERAGE(U85,U87),2)</f>
        <v>0.98</v>
      </c>
      <c r="V86" s="24">
        <f t="shared" ref="V86" si="89">ROUND(AVERAGE(V85,V87),2)</f>
        <v>36.33</v>
      </c>
      <c r="W86" s="24">
        <f>ROUNDUP(AVERAGE(W85,W87),0)</f>
        <v>33</v>
      </c>
      <c r="X86" s="24">
        <f>ROUNDUP(AVERAGE(X85,X87),0)</f>
        <v>132</v>
      </c>
      <c r="Y86" s="24">
        <f t="shared" ref="Y86" si="90">ROUND(AVERAGE(Y85,Y87),2)</f>
        <v>7.0000000000000007E-2</v>
      </c>
      <c r="Z86" s="24">
        <f t="shared" ref="Z86" si="91">ROUND(AVERAGE(Z85,Z87),2)</f>
        <v>0.12</v>
      </c>
      <c r="AA86" s="24">
        <f>ROUNDUP(AVERAGE(AA85,AA87),0)</f>
        <v>1069</v>
      </c>
      <c r="AB86" s="24">
        <f t="shared" ref="AB86" si="92">ROUND(AVERAGE(AB85,AB87),2)</f>
        <v>1497.5</v>
      </c>
      <c r="AC86" s="24">
        <f>ROUNDUP(AVERAGE(AC85,AC87),0)</f>
        <v>445557</v>
      </c>
      <c r="AD86" s="24">
        <f>ROUNDUP(AVERAGE(AD85,AD87),0)</f>
        <v>20632500</v>
      </c>
      <c r="AE86" s="28">
        <f t="shared" si="63"/>
        <v>7.0619527184264883E-2</v>
      </c>
      <c r="AF86" s="24">
        <f>ROUNDUP(AVERAGE(AF85,AF87),0)</f>
        <v>70</v>
      </c>
      <c r="AG86">
        <v>7.0000000000000007E-2</v>
      </c>
      <c r="AH86" s="2"/>
      <c r="AI86" s="2"/>
    </row>
    <row r="87" spans="1:36" x14ac:dyDescent="0.25">
      <c r="A87" t="s">
        <v>180</v>
      </c>
      <c r="B87">
        <v>1</v>
      </c>
      <c r="C87" t="s">
        <v>235</v>
      </c>
      <c r="D87" t="s">
        <v>236</v>
      </c>
      <c r="E87" t="s">
        <v>16</v>
      </c>
      <c r="F87" t="s">
        <v>17</v>
      </c>
      <c r="G87" t="s">
        <v>24</v>
      </c>
      <c r="H87" s="24">
        <f t="shared" ref="H87:N87" si="93">ROUND(MAX(H15,H33,H60),2)</f>
        <v>0.94</v>
      </c>
      <c r="I87" s="24">
        <f t="shared" si="93"/>
        <v>0.94</v>
      </c>
      <c r="J87" s="24">
        <f t="shared" si="93"/>
        <v>0.95</v>
      </c>
      <c r="K87" s="24">
        <f t="shared" si="93"/>
        <v>1</v>
      </c>
      <c r="L87" s="24">
        <f t="shared" si="93"/>
        <v>0.6</v>
      </c>
      <c r="M87" s="24">
        <f t="shared" si="93"/>
        <v>-0.13</v>
      </c>
      <c r="N87" s="24">
        <f t="shared" si="93"/>
        <v>20.010000000000002</v>
      </c>
      <c r="O87" s="24">
        <f>ROUNDUP(MAX(O15,O33,O60),0)</f>
        <v>96</v>
      </c>
      <c r="P87" s="24">
        <f>ROUNDUP(MAX(P15,P33,P60),0)</f>
        <v>96</v>
      </c>
      <c r="Q87" s="24">
        <f t="shared" ref="Q87:V87" si="94">ROUND(MAX(Q15,Q33,Q60),2)</f>
        <v>1.95</v>
      </c>
      <c r="R87" s="24">
        <f t="shared" si="94"/>
        <v>122</v>
      </c>
      <c r="S87" s="24">
        <f t="shared" si="94"/>
        <v>3.89</v>
      </c>
      <c r="T87" s="24">
        <f t="shared" si="94"/>
        <v>2440</v>
      </c>
      <c r="U87" s="24">
        <f t="shared" si="94"/>
        <v>0.98</v>
      </c>
      <c r="V87" s="24">
        <f t="shared" si="94"/>
        <v>61</v>
      </c>
      <c r="W87" s="24">
        <f>ROUNDUP(MAX(W15,W33,W60),0)</f>
        <v>36</v>
      </c>
      <c r="X87" s="24">
        <f>ROUNDUP(MAX(X15,X33,X60),0)</f>
        <v>144</v>
      </c>
      <c r="Y87" s="24">
        <f>ROUND(MAX(Y15,Y33,Y60),2)</f>
        <v>0.1</v>
      </c>
      <c r="Z87" s="24">
        <f>ROUND(MAX(Z15,Z33,Z60),2)</f>
        <v>0.2</v>
      </c>
      <c r="AA87" s="24">
        <f>ROUNDUP(MAX(AA15,AA33,AA60),0)</f>
        <v>1750</v>
      </c>
      <c r="AB87" s="24">
        <f>ROUND(MAX(AB15,AB33,AB60),2)</f>
        <v>2440</v>
      </c>
      <c r="AC87" s="24">
        <f>ROUNDUP(MAX(AC15,AC33,AC60),0)</f>
        <v>671000</v>
      </c>
      <c r="AD87" s="24">
        <f>ROUNDUP(MAX(AD15,AD33,AD60),0)</f>
        <v>32940000</v>
      </c>
      <c r="AE87" s="28">
        <f t="shared" si="63"/>
        <v>7.0313571760871663E-2</v>
      </c>
      <c r="AF87" s="24">
        <f>ROUNDUP(MAX(AF15,AF33,AF60),0)</f>
        <v>80</v>
      </c>
      <c r="AG87">
        <v>7.0000000000000007E-2</v>
      </c>
      <c r="AH87" s="2"/>
      <c r="AI87" s="2"/>
    </row>
    <row r="88" spans="1:36" x14ac:dyDescent="0.25">
      <c r="A88" t="s">
        <v>246</v>
      </c>
      <c r="B88">
        <v>1</v>
      </c>
      <c r="C88" t="s">
        <v>235</v>
      </c>
      <c r="D88" t="s">
        <v>236</v>
      </c>
      <c r="E88" t="s">
        <v>16</v>
      </c>
      <c r="F88" t="s">
        <v>17</v>
      </c>
      <c r="G88" t="s">
        <v>24</v>
      </c>
      <c r="H88" s="24">
        <f>H83</f>
        <v>0.61</v>
      </c>
      <c r="I88" s="24">
        <f>I83</f>
        <v>0.61</v>
      </c>
      <c r="J88" s="24">
        <f>J87</f>
        <v>0.95</v>
      </c>
      <c r="K88" s="24">
        <f>K87</f>
        <v>1</v>
      </c>
      <c r="L88" s="24">
        <f>L83</f>
        <v>0.2</v>
      </c>
      <c r="M88" s="24">
        <f>M83</f>
        <v>-0.17</v>
      </c>
      <c r="N88" s="24">
        <f>N87</f>
        <v>20.010000000000002</v>
      </c>
      <c r="O88" s="24">
        <f>O87</f>
        <v>96</v>
      </c>
      <c r="P88" s="24">
        <f>P87</f>
        <v>96</v>
      </c>
      <c r="Q88" s="24">
        <f>Q87</f>
        <v>1.95</v>
      </c>
      <c r="R88" s="24">
        <f>R87</f>
        <v>122</v>
      </c>
      <c r="S88" s="24">
        <f>S87</f>
        <v>3.89</v>
      </c>
      <c r="T88" s="24">
        <f>T87</f>
        <v>2440</v>
      </c>
      <c r="U88" s="24">
        <f>U87</f>
        <v>0.98</v>
      </c>
      <c r="V88" s="24">
        <f>V87</f>
        <v>61</v>
      </c>
      <c r="W88" s="24">
        <f>W87</f>
        <v>36</v>
      </c>
      <c r="X88" s="24">
        <f>X87</f>
        <v>144</v>
      </c>
      <c r="Y88" s="24">
        <f>Y83</f>
        <v>0.01</v>
      </c>
      <c r="Z88" s="24">
        <f>Z83</f>
        <v>0.01</v>
      </c>
      <c r="AA88" s="24">
        <f>AA87</f>
        <v>1750</v>
      </c>
      <c r="AB88" s="24">
        <f>AB87</f>
        <v>2440</v>
      </c>
      <c r="AC88" s="24">
        <f>AC87</f>
        <v>671000</v>
      </c>
      <c r="AD88" s="24">
        <f>AD87</f>
        <v>32940000</v>
      </c>
      <c r="AE88" s="28">
        <f t="shared" si="63"/>
        <v>7.5009138873610326E-2</v>
      </c>
      <c r="AF88" s="24">
        <f>AF83</f>
        <v>40</v>
      </c>
      <c r="AG88">
        <v>7.0000000000000007E-2</v>
      </c>
      <c r="AJ88" t="s">
        <v>253</v>
      </c>
    </row>
    <row r="89" spans="1:36" x14ac:dyDescent="0.25">
      <c r="A89" t="s">
        <v>247</v>
      </c>
      <c r="B89">
        <v>1</v>
      </c>
      <c r="C89" t="s">
        <v>235</v>
      </c>
      <c r="D89" t="s">
        <v>236</v>
      </c>
      <c r="E89" t="s">
        <v>16</v>
      </c>
      <c r="F89" t="s">
        <v>17</v>
      </c>
      <c r="G89" t="s">
        <v>24</v>
      </c>
      <c r="H89" s="24">
        <f>H84</f>
        <v>0.75</v>
      </c>
      <c r="I89" s="24">
        <f>I84</f>
        <v>0.75</v>
      </c>
      <c r="J89" s="24">
        <f>J86</f>
        <v>0.69</v>
      </c>
      <c r="K89" s="24">
        <f>K86</f>
        <v>1</v>
      </c>
      <c r="L89" s="24">
        <f>L84</f>
        <v>0.3</v>
      </c>
      <c r="M89" s="24">
        <f>M84</f>
        <v>-0.16</v>
      </c>
      <c r="N89" s="24">
        <f>N86</f>
        <v>11.49</v>
      </c>
      <c r="O89" s="24">
        <f>O86</f>
        <v>51</v>
      </c>
      <c r="P89" s="24">
        <f>P86</f>
        <v>55</v>
      </c>
      <c r="Q89" s="24">
        <f>Q86</f>
        <v>1.95</v>
      </c>
      <c r="R89" s="24">
        <f>R86</f>
        <v>72.66</v>
      </c>
      <c r="S89" s="24">
        <f>S86</f>
        <v>3.89</v>
      </c>
      <c r="T89" s="24">
        <f>T86</f>
        <v>1497.5</v>
      </c>
      <c r="U89" s="24">
        <f>U86</f>
        <v>0.98</v>
      </c>
      <c r="V89" s="24">
        <f>V86</f>
        <v>36.33</v>
      </c>
      <c r="W89" s="24">
        <f>W86</f>
        <v>33</v>
      </c>
      <c r="X89" s="24">
        <f>X86</f>
        <v>132</v>
      </c>
      <c r="Y89" s="24">
        <f>Y84</f>
        <v>0.02</v>
      </c>
      <c r="Z89" s="24">
        <f>Z84</f>
        <v>0.02</v>
      </c>
      <c r="AA89" s="24">
        <f>AA86</f>
        <v>1069</v>
      </c>
      <c r="AB89" s="24">
        <f>AB86</f>
        <v>1497.5</v>
      </c>
      <c r="AC89" s="24">
        <f>AC86</f>
        <v>445557</v>
      </c>
      <c r="AD89" s="24">
        <f>AD86</f>
        <v>20632500</v>
      </c>
      <c r="AE89" s="28">
        <f t="shared" si="63"/>
        <v>7.2459849539607671E-2</v>
      </c>
      <c r="AF89" s="24">
        <f>AF84</f>
        <v>50</v>
      </c>
      <c r="AG89">
        <v>7.0000000000000007E-2</v>
      </c>
      <c r="AJ89" t="s">
        <v>254</v>
      </c>
    </row>
    <row r="90" spans="1:36" x14ac:dyDescent="0.25">
      <c r="A90" t="s">
        <v>243</v>
      </c>
      <c r="B90">
        <v>1</v>
      </c>
      <c r="C90" t="s">
        <v>235</v>
      </c>
      <c r="D90" t="s">
        <v>236</v>
      </c>
      <c r="E90" t="s">
        <v>16</v>
      </c>
      <c r="F90" t="s">
        <v>17</v>
      </c>
      <c r="G90" t="s">
        <v>24</v>
      </c>
      <c r="H90" s="24">
        <f>H86</f>
        <v>0.92</v>
      </c>
      <c r="I90" s="24">
        <f>I86</f>
        <v>0.92</v>
      </c>
      <c r="J90" s="24">
        <f>J84</f>
        <v>0.28999999999999998</v>
      </c>
      <c r="K90" s="24">
        <f>K86</f>
        <v>1</v>
      </c>
      <c r="L90" s="24">
        <f>L86</f>
        <v>0.5</v>
      </c>
      <c r="M90" s="24">
        <f>M86</f>
        <v>-0.14000000000000001</v>
      </c>
      <c r="N90" s="24">
        <f>N84</f>
        <v>2.08</v>
      </c>
      <c r="O90" s="24">
        <f t="shared" ref="O90:P90" si="95">O84</f>
        <v>3</v>
      </c>
      <c r="P90" s="24">
        <f t="shared" si="95"/>
        <v>7</v>
      </c>
      <c r="Q90" s="24">
        <f>Q84</f>
        <v>1.95</v>
      </c>
      <c r="R90" s="24">
        <f>R84</f>
        <v>14.16</v>
      </c>
      <c r="S90" s="24">
        <f t="shared" ref="S90:X90" si="96">S84</f>
        <v>3.89</v>
      </c>
      <c r="T90" s="24">
        <f t="shared" si="96"/>
        <v>427.5</v>
      </c>
      <c r="U90" s="24">
        <f t="shared" si="96"/>
        <v>0.98</v>
      </c>
      <c r="V90" s="24">
        <f t="shared" si="96"/>
        <v>7.08</v>
      </c>
      <c r="W90" s="24">
        <f t="shared" si="96"/>
        <v>24</v>
      </c>
      <c r="X90" s="24">
        <f t="shared" si="96"/>
        <v>96</v>
      </c>
      <c r="Y90" s="24">
        <f>Y86</f>
        <v>7.0000000000000007E-2</v>
      </c>
      <c r="Z90" s="24">
        <f>Z86</f>
        <v>0.12</v>
      </c>
      <c r="AA90" s="24">
        <f>AA84</f>
        <v>194</v>
      </c>
      <c r="AB90" s="24">
        <f>AB84</f>
        <v>427.5</v>
      </c>
      <c r="AC90" s="24">
        <f>AC84</f>
        <v>125056</v>
      </c>
      <c r="AD90" s="24">
        <f>AD84</f>
        <v>4837500</v>
      </c>
      <c r="AE90" s="28">
        <f t="shared" si="63"/>
        <v>7.0619527184264883E-2</v>
      </c>
      <c r="AF90" s="24">
        <f>AF86</f>
        <v>70</v>
      </c>
      <c r="AG90">
        <v>7.0000000000000007E-2</v>
      </c>
      <c r="AJ90" t="s">
        <v>244</v>
      </c>
    </row>
    <row r="91" spans="1:36" x14ac:dyDescent="0.25">
      <c r="A91" t="s">
        <v>242</v>
      </c>
      <c r="B91">
        <v>1</v>
      </c>
      <c r="C91" t="s">
        <v>235</v>
      </c>
      <c r="D91" t="s">
        <v>236</v>
      </c>
      <c r="E91" t="s">
        <v>16</v>
      </c>
      <c r="F91" t="s">
        <v>17</v>
      </c>
      <c r="G91" t="s">
        <v>24</v>
      </c>
      <c r="H91" s="24">
        <f>H87</f>
        <v>0.94</v>
      </c>
      <c r="I91" s="24">
        <f>I87</f>
        <v>0.94</v>
      </c>
      <c r="J91" s="24">
        <f>J83</f>
        <v>0.15</v>
      </c>
      <c r="K91" s="24">
        <f>K87</f>
        <v>1</v>
      </c>
      <c r="L91" s="24">
        <f>L87</f>
        <v>0.6</v>
      </c>
      <c r="M91" s="24">
        <f>M87</f>
        <v>-0.13</v>
      </c>
      <c r="N91" s="24">
        <f>N83</f>
        <v>1.2</v>
      </c>
      <c r="O91" s="24">
        <f t="shared" ref="O91:P91" si="97">O83</f>
        <v>1</v>
      </c>
      <c r="P91" s="24">
        <f t="shared" si="97"/>
        <v>1</v>
      </c>
      <c r="Q91" s="24">
        <f t="shared" ref="Q91:X91" si="98">Q83</f>
        <v>1.95</v>
      </c>
      <c r="R91" s="24">
        <f t="shared" si="98"/>
        <v>5</v>
      </c>
      <c r="S91" s="24">
        <f t="shared" si="98"/>
        <v>3.89</v>
      </c>
      <c r="T91" s="24">
        <f t="shared" si="98"/>
        <v>300</v>
      </c>
      <c r="U91" s="24">
        <f t="shared" si="98"/>
        <v>0.98</v>
      </c>
      <c r="V91" s="24">
        <f t="shared" si="98"/>
        <v>2.5</v>
      </c>
      <c r="W91" s="24">
        <f t="shared" si="98"/>
        <v>18</v>
      </c>
      <c r="X91" s="24">
        <f t="shared" si="98"/>
        <v>72</v>
      </c>
      <c r="Y91" s="24">
        <f>Y87</f>
        <v>0.1</v>
      </c>
      <c r="Z91" s="24">
        <f>Z87</f>
        <v>0.2</v>
      </c>
      <c r="AA91" s="24">
        <f>AA83</f>
        <v>1</v>
      </c>
      <c r="AB91" s="24">
        <f>AB83</f>
        <v>300</v>
      </c>
      <c r="AC91" s="24">
        <f>AC83</f>
        <v>30000</v>
      </c>
      <c r="AD91" s="24">
        <f>AD83</f>
        <v>1350000</v>
      </c>
      <c r="AE91" s="28">
        <f t="shared" si="63"/>
        <v>7.0313571760871663E-2</v>
      </c>
      <c r="AF91" s="24">
        <f>AF87</f>
        <v>80</v>
      </c>
      <c r="AG91">
        <v>7.0000000000000007E-2</v>
      </c>
      <c r="AJ91" t="s">
        <v>245</v>
      </c>
    </row>
    <row r="92" spans="1:36" x14ac:dyDescent="0.25">
      <c r="A92" t="s">
        <v>181</v>
      </c>
      <c r="B92">
        <v>1</v>
      </c>
      <c r="C92" t="s">
        <v>237</v>
      </c>
      <c r="D92" t="s">
        <v>238</v>
      </c>
      <c r="E92" t="s">
        <v>16</v>
      </c>
      <c r="F92" t="s">
        <v>24</v>
      </c>
      <c r="G92" s="4"/>
      <c r="H92" s="24">
        <f>ROUND(MIN(H38,H65),2)</f>
        <v>0.81</v>
      </c>
      <c r="I92" s="24">
        <f>ROUND(MIN(I38,I65),2)</f>
        <v>0.81</v>
      </c>
      <c r="J92" s="24">
        <f>ROUND(MIN(J38,J65),2)</f>
        <v>0.15</v>
      </c>
      <c r="K92" s="24">
        <f>ROUND(MIN(K38,K65),2)</f>
        <v>1</v>
      </c>
      <c r="N92" s="24">
        <f>ROUND(MIN(N38,N65),2)</f>
        <v>0</v>
      </c>
      <c r="O92" s="24">
        <f>ROUNDDOWN(MIN(O38,O65),0)</f>
        <v>1</v>
      </c>
      <c r="P92" s="24">
        <f>ROUNDDOWN(MIN(P38,P65),0)</f>
        <v>1</v>
      </c>
      <c r="Q92" s="24">
        <f t="shared" ref="Q92:V92" si="99">ROUND(MIN(Q38,Q65),2)</f>
        <v>1.95</v>
      </c>
      <c r="R92" s="24">
        <f t="shared" si="99"/>
        <v>1</v>
      </c>
      <c r="S92" s="24">
        <f t="shared" si="99"/>
        <v>3.89</v>
      </c>
      <c r="T92" s="24">
        <f t="shared" si="99"/>
        <v>50</v>
      </c>
      <c r="U92" s="24">
        <f t="shared" si="99"/>
        <v>0.98</v>
      </c>
      <c r="V92" s="24">
        <f t="shared" si="99"/>
        <v>0.5</v>
      </c>
      <c r="W92" s="24">
        <f>ROUNDDOWN(MIN(W38,W65),0)</f>
        <v>18</v>
      </c>
      <c r="X92" s="24">
        <f>ROUNDDOWN(MIN(X38,X65),0)</f>
        <v>72</v>
      </c>
      <c r="Y92" s="24">
        <f>ROUND(MIN(Y38,Y65),2)</f>
        <v>0.01</v>
      </c>
      <c r="Z92" s="24">
        <f>ROUND(MIN(Z38,Z65),2)</f>
        <v>0.01</v>
      </c>
      <c r="AA92" s="24">
        <f>ROUNDDOWN(MIN(AA38,AA65),0)</f>
        <v>1</v>
      </c>
      <c r="AB92" s="24">
        <f>ROUND(MIN(AB38,AB65),2)</f>
        <v>50</v>
      </c>
      <c r="AC92" s="24">
        <f>ROUNDDOWN(MIN(AC38,AC65),0)</f>
        <v>7320</v>
      </c>
      <c r="AD92" s="24">
        <f>ROUNDDOWN(MIN(AD38,AD65),0)</f>
        <v>244000</v>
      </c>
      <c r="AE92" s="28">
        <f t="shared" si="63"/>
        <v>7.5009138873610326E-2</v>
      </c>
      <c r="AF92" s="24">
        <f>ROUNDDOWN(MIN(AF38,AF65),0)</f>
        <v>40</v>
      </c>
      <c r="AG92">
        <v>7.0000000000000007E-2</v>
      </c>
    </row>
    <row r="93" spans="1:36" x14ac:dyDescent="0.25">
      <c r="A93" t="s">
        <v>66</v>
      </c>
      <c r="B93">
        <v>1</v>
      </c>
      <c r="C93" t="s">
        <v>237</v>
      </c>
      <c r="D93" t="s">
        <v>238</v>
      </c>
      <c r="E93" t="s">
        <v>16</v>
      </c>
      <c r="F93" t="s">
        <v>24</v>
      </c>
      <c r="G93" s="5"/>
      <c r="H93" s="24">
        <f>ROUND(AVERAGE(H92,H94),2)</f>
        <v>0.86</v>
      </c>
      <c r="I93" s="24">
        <f t="shared" ref="I93:K93" si="100">ROUND(AVERAGE(I92,I94),2)</f>
        <v>0.86</v>
      </c>
      <c r="J93" s="24">
        <f t="shared" si="100"/>
        <v>0.28000000000000003</v>
      </c>
      <c r="K93" s="24">
        <f t="shared" si="100"/>
        <v>1</v>
      </c>
      <c r="N93" s="24">
        <f t="shared" ref="N93" si="101">ROUND(AVERAGE(N92,N94),2)</f>
        <v>0.5</v>
      </c>
      <c r="O93" s="24">
        <f>ROUNDDOWN(AVERAGE(O92,O94),0)</f>
        <v>3</v>
      </c>
      <c r="P93" s="24">
        <f>ROUNDDOWN(AVERAGE(P92,P94),0)</f>
        <v>5</v>
      </c>
      <c r="Q93" s="24">
        <f t="shared" ref="Q93" si="102">ROUND(AVERAGE(Q92,Q94),2)</f>
        <v>1.95</v>
      </c>
      <c r="R93" s="24">
        <f t="shared" ref="R93:S93" si="103">ROUND(AVERAGE(R92,R94),2)</f>
        <v>6</v>
      </c>
      <c r="S93" s="24">
        <f t="shared" si="103"/>
        <v>3.89</v>
      </c>
      <c r="T93" s="24">
        <f t="shared" ref="T93" si="104">ROUND(AVERAGE(T92,T94),2)</f>
        <v>150</v>
      </c>
      <c r="U93" s="24">
        <f t="shared" ref="U93" si="105">ROUND(AVERAGE(U92,U94),2)</f>
        <v>0.98</v>
      </c>
      <c r="V93" s="24">
        <f t="shared" ref="V93" si="106">ROUND(AVERAGE(V92,V94),2)</f>
        <v>3</v>
      </c>
      <c r="W93" s="24">
        <f>ROUNDDOWN(AVERAGE(W92,W94),0)</f>
        <v>22</v>
      </c>
      <c r="X93" s="24">
        <f>ROUNDDOWN(AVERAGE(X92,X94),0)</f>
        <v>90</v>
      </c>
      <c r="Y93" s="24">
        <f t="shared" ref="Y93" si="107">ROUND(AVERAGE(Y92,Y94),2)</f>
        <v>0.02</v>
      </c>
      <c r="Z93" s="24">
        <f t="shared" ref="Z93" si="108">ROUND(AVERAGE(Z92,Z94),2)</f>
        <v>0.02</v>
      </c>
      <c r="AA93" s="24">
        <f>ROUNDDOWN(AVERAGE(AA92,AA94),0)</f>
        <v>44</v>
      </c>
      <c r="AB93" s="24">
        <f t="shared" ref="AB93" si="109">ROUND(AVERAGE(AB92,AB94),2)</f>
        <v>150</v>
      </c>
      <c r="AC93" s="24">
        <f>ROUNDDOWN(AVERAGE(AC92,AC94),0)</f>
        <v>20160</v>
      </c>
      <c r="AD93" s="24">
        <f>ROUNDDOWN(AVERAGE(AD92,AD94),0)</f>
        <v>611000</v>
      </c>
      <c r="AE93" s="28">
        <f t="shared" si="63"/>
        <v>7.2459849539607671E-2</v>
      </c>
      <c r="AF93" s="24">
        <f>ROUNDDOWN(AVERAGE(AF92,AF94),0)</f>
        <v>50</v>
      </c>
      <c r="AG93">
        <v>7.0000000000000007E-2</v>
      </c>
      <c r="AH93" s="5"/>
      <c r="AI93" s="5"/>
    </row>
    <row r="94" spans="1:36" s="2" customFormat="1" x14ac:dyDescent="0.25">
      <c r="A94" t="s">
        <v>67</v>
      </c>
      <c r="B94">
        <v>1</v>
      </c>
      <c r="C94" t="s">
        <v>237</v>
      </c>
      <c r="D94" t="s">
        <v>238</v>
      </c>
      <c r="E94" t="s">
        <v>16</v>
      </c>
      <c r="F94" t="s">
        <v>24</v>
      </c>
      <c r="G94" s="5"/>
      <c r="H94" s="24">
        <f>ROUND(AVERAGE(H40,H67),2)</f>
        <v>0.91</v>
      </c>
      <c r="I94" s="24">
        <f>ROUND(AVERAGE(I40,I67),2)</f>
        <v>0.91</v>
      </c>
      <c r="J94" s="24">
        <f>ROUND(AVERAGE(J40,J67),2)</f>
        <v>0.4</v>
      </c>
      <c r="K94" s="24">
        <f>ROUND(AVERAGE(K40,K67),2)</f>
        <v>1</v>
      </c>
      <c r="L94"/>
      <c r="M94"/>
      <c r="N94" s="24">
        <f>ROUND(AVERAGE(N40,N67),2)</f>
        <v>1</v>
      </c>
      <c r="O94" s="24">
        <f>ROUND(AVERAGE(O40,O67),0)</f>
        <v>5</v>
      </c>
      <c r="P94" s="24">
        <f>ROUND(AVERAGE(P40,P67),0)</f>
        <v>9</v>
      </c>
      <c r="Q94" s="24">
        <f t="shared" ref="Q94:V94" si="110">ROUND(AVERAGE(Q40,Q67),2)</f>
        <v>1.95</v>
      </c>
      <c r="R94" s="24">
        <f t="shared" si="110"/>
        <v>11</v>
      </c>
      <c r="S94" s="24">
        <f t="shared" si="110"/>
        <v>3.89</v>
      </c>
      <c r="T94" s="24">
        <f t="shared" si="110"/>
        <v>250</v>
      </c>
      <c r="U94" s="24">
        <f t="shared" si="110"/>
        <v>0.98</v>
      </c>
      <c r="V94" s="24">
        <f t="shared" si="110"/>
        <v>5.5</v>
      </c>
      <c r="W94" s="24">
        <f>ROUND(AVERAGE(W40,W67),0)</f>
        <v>27</v>
      </c>
      <c r="X94" s="24">
        <f>ROUND(AVERAGE(X40,X67),0)</f>
        <v>108</v>
      </c>
      <c r="Y94" s="24">
        <f>ROUND(AVERAGE(Y40,Y67),2)</f>
        <v>0.03</v>
      </c>
      <c r="Z94" s="24">
        <f>ROUND(AVERAGE(Z40,Z67),2)</f>
        <v>0.03</v>
      </c>
      <c r="AA94" s="24">
        <f>ROUND(AVERAGE(AA40,AA67),0)</f>
        <v>88</v>
      </c>
      <c r="AB94" s="24">
        <f>ROUND(AVERAGE(AB40,AB67),2)</f>
        <v>250</v>
      </c>
      <c r="AC94" s="24">
        <f>ROUND(AVERAGE(AC40,AC67),0)</f>
        <v>33000</v>
      </c>
      <c r="AD94" s="24">
        <f>ROUND(AVERAGE(AD40,AD67),0)</f>
        <v>978000</v>
      </c>
      <c r="AE94" s="28">
        <f t="shared" si="63"/>
        <v>7.122922550001945E-2</v>
      </c>
      <c r="AF94" s="24">
        <f>ROUND(AVERAGE(AF40,AF67),0)</f>
        <v>60</v>
      </c>
      <c r="AG94">
        <v>7.0000000000000007E-2</v>
      </c>
      <c r="AH94" s="5"/>
      <c r="AI94" s="5"/>
      <c r="AJ94" s="5" t="s">
        <v>241</v>
      </c>
    </row>
    <row r="95" spans="1:36" s="3" customFormat="1" x14ac:dyDescent="0.25">
      <c r="A95" t="s">
        <v>68</v>
      </c>
      <c r="B95">
        <v>1</v>
      </c>
      <c r="C95" t="s">
        <v>237</v>
      </c>
      <c r="D95" t="s">
        <v>238</v>
      </c>
      <c r="E95" t="s">
        <v>16</v>
      </c>
      <c r="F95" t="s">
        <v>24</v>
      </c>
      <c r="G95"/>
      <c r="H95" s="24">
        <f>ROUND(AVERAGE(H94,H96),2)</f>
        <v>0.93</v>
      </c>
      <c r="I95" s="24">
        <f t="shared" ref="I95:K95" si="111">ROUND(AVERAGE(I94,I96),2)</f>
        <v>0.93</v>
      </c>
      <c r="J95" s="24">
        <f t="shared" si="111"/>
        <v>0.68</v>
      </c>
      <c r="K95" s="24">
        <f t="shared" si="111"/>
        <v>1</v>
      </c>
      <c r="L95"/>
      <c r="M95"/>
      <c r="N95" s="24">
        <f t="shared" ref="N95" si="112">ROUND(AVERAGE(N94,N96),2)</f>
        <v>3.65</v>
      </c>
      <c r="O95" s="24">
        <f>ROUNDUP(AVERAGE(O94,O96),0)</f>
        <v>51</v>
      </c>
      <c r="P95" s="24">
        <f>ROUNDUP(AVERAGE(P94,P96),0)</f>
        <v>53</v>
      </c>
      <c r="Q95" s="24">
        <f t="shared" ref="Q95" si="113">ROUND(AVERAGE(Q94,Q96),2)</f>
        <v>1.95</v>
      </c>
      <c r="R95" s="24">
        <f t="shared" ref="R95:S95" si="114">ROUND(AVERAGE(R94,R96),2)</f>
        <v>30.5</v>
      </c>
      <c r="S95" s="24">
        <f t="shared" si="114"/>
        <v>3.89</v>
      </c>
      <c r="T95" s="24">
        <f t="shared" ref="T95" si="115">ROUND(AVERAGE(T94,T96),2)</f>
        <v>625</v>
      </c>
      <c r="U95" s="24">
        <f t="shared" ref="U95" si="116">ROUND(AVERAGE(U94,U96),2)</f>
        <v>0.98</v>
      </c>
      <c r="V95" s="24">
        <f t="shared" ref="V95" si="117">ROUND(AVERAGE(V94,V96),2)</f>
        <v>15.25</v>
      </c>
      <c r="W95" s="24">
        <f>ROUNDUP(AVERAGE(W94,W96),0)</f>
        <v>32</v>
      </c>
      <c r="X95" s="24">
        <f>ROUNDUP(AVERAGE(X94,X96),0)</f>
        <v>126</v>
      </c>
      <c r="Y95" s="24">
        <f t="shared" ref="Y95" si="118">ROUND(AVERAGE(Y94,Y96),2)</f>
        <v>7.0000000000000007E-2</v>
      </c>
      <c r="Z95" s="24">
        <f t="shared" ref="Z95" si="119">ROUND(AVERAGE(Z94,Z96),2)</f>
        <v>0.12</v>
      </c>
      <c r="AA95" s="24">
        <f>ROUNDUP(AVERAGE(AA94,AA96),0)</f>
        <v>194</v>
      </c>
      <c r="AB95" s="24">
        <f t="shared" ref="AB95" si="120">ROUND(AVERAGE(AB94,AB96),2)</f>
        <v>625</v>
      </c>
      <c r="AC95" s="24">
        <f>ROUNDUP(AVERAGE(AC94,AC96),0)</f>
        <v>50250</v>
      </c>
      <c r="AD95" s="24">
        <f>ROUNDUP(AVERAGE(AD94,AD96),0)</f>
        <v>1614000</v>
      </c>
      <c r="AE95" s="28">
        <f t="shared" si="63"/>
        <v>7.0619527184264883E-2</v>
      </c>
      <c r="AF95" s="24">
        <f>ROUNDUP(AVERAGE(AF94,AF96),0)</f>
        <v>70</v>
      </c>
      <c r="AG95">
        <v>7.0000000000000007E-2</v>
      </c>
      <c r="AH95"/>
      <c r="AI95"/>
    </row>
    <row r="96" spans="1:36" s="2" customFormat="1" x14ac:dyDescent="0.25">
      <c r="A96" t="s">
        <v>180</v>
      </c>
      <c r="B96">
        <v>1</v>
      </c>
      <c r="C96" t="s">
        <v>237</v>
      </c>
      <c r="D96" t="s">
        <v>238</v>
      </c>
      <c r="E96" t="s">
        <v>16</v>
      </c>
      <c r="F96" t="s">
        <v>24</v>
      </c>
      <c r="H96" s="24">
        <f>ROUND(MAX(H42,H69),2)</f>
        <v>0.95</v>
      </c>
      <c r="I96" s="24">
        <f>ROUND(MAX(I42,I69),2)</f>
        <v>0.95</v>
      </c>
      <c r="J96" s="24">
        <f>ROUND(MAX(J42,J69),2)</f>
        <v>0.95</v>
      </c>
      <c r="K96" s="24">
        <f>ROUND(MAX(K42,K69),2)</f>
        <v>1</v>
      </c>
      <c r="L96"/>
      <c r="M96"/>
      <c r="N96" s="24">
        <f>ROUND(MAX(N42,N69),2)</f>
        <v>6.3</v>
      </c>
      <c r="O96" s="24">
        <f>ROUNDUP(MAX(O42,O69),0)</f>
        <v>96</v>
      </c>
      <c r="P96" s="24">
        <f>ROUNDUP(MAX(P42,P69),0)</f>
        <v>96</v>
      </c>
      <c r="Q96" s="24">
        <f t="shared" ref="Q96:V96" si="121">ROUND(MAX(Q42,Q69),2)</f>
        <v>1.95</v>
      </c>
      <c r="R96" s="24">
        <f t="shared" si="121"/>
        <v>50</v>
      </c>
      <c r="S96" s="24">
        <f t="shared" si="121"/>
        <v>3.89</v>
      </c>
      <c r="T96" s="24">
        <f t="shared" si="121"/>
        <v>1000</v>
      </c>
      <c r="U96" s="24">
        <f t="shared" si="121"/>
        <v>0.98</v>
      </c>
      <c r="V96" s="24">
        <f t="shared" si="121"/>
        <v>25</v>
      </c>
      <c r="W96" s="24">
        <f>ROUNDUP(MAX(W42,W69),0)</f>
        <v>36</v>
      </c>
      <c r="X96" s="24">
        <f>ROUNDUP(MAX(X42,X69),0)</f>
        <v>144</v>
      </c>
      <c r="Y96" s="24">
        <f>ROUND(MAX(Y42,Y69),2)</f>
        <v>0.1</v>
      </c>
      <c r="Z96" s="24">
        <f>ROUND(MAX(Z42,Z69),2)</f>
        <v>0.2</v>
      </c>
      <c r="AA96" s="24">
        <f>ROUNDUP(MAX(AA42,AA69),0)</f>
        <v>300</v>
      </c>
      <c r="AB96" s="24">
        <f>ROUND(MAX(AB42,AB69),2)</f>
        <v>1000</v>
      </c>
      <c r="AC96" s="24">
        <f>ROUNDUP(MAX(AC42,AC69),0)</f>
        <v>67500</v>
      </c>
      <c r="AD96" s="24">
        <f>ROUNDUP(MAX(AD42,AD69),0)</f>
        <v>2250000</v>
      </c>
      <c r="AE96" s="28">
        <f>-PMT(AG96,AF96,1)</f>
        <v>7.0313571760871663E-2</v>
      </c>
      <c r="AF96" s="24">
        <f>ROUNDUP(MAX(AF42,AF69),0)</f>
        <v>80</v>
      </c>
      <c r="AG96">
        <v>7.0000000000000007E-2</v>
      </c>
    </row>
    <row r="97" spans="1:36" x14ac:dyDescent="0.25">
      <c r="A97" t="s">
        <v>246</v>
      </c>
      <c r="B97">
        <v>1</v>
      </c>
      <c r="C97" t="s">
        <v>237</v>
      </c>
      <c r="D97" t="s">
        <v>238</v>
      </c>
      <c r="E97" t="s">
        <v>16</v>
      </c>
      <c r="F97" t="s">
        <v>24</v>
      </c>
      <c r="H97" s="24">
        <f>H92</f>
        <v>0.81</v>
      </c>
      <c r="I97" s="24">
        <f>I92</f>
        <v>0.81</v>
      </c>
      <c r="J97" s="24">
        <f>J96</f>
        <v>0.95</v>
      </c>
      <c r="K97" s="24">
        <f>K96</f>
        <v>1</v>
      </c>
      <c r="N97" s="24">
        <f>N96</f>
        <v>6.3</v>
      </c>
      <c r="O97" s="24">
        <f>O96</f>
        <v>96</v>
      </c>
      <c r="P97" s="24">
        <f>P96</f>
        <v>96</v>
      </c>
      <c r="Q97" s="24">
        <f>Q96</f>
        <v>1.95</v>
      </c>
      <c r="R97" s="24">
        <f>R96</f>
        <v>50</v>
      </c>
      <c r="S97" s="24">
        <f>S96</f>
        <v>3.89</v>
      </c>
      <c r="T97" s="24">
        <f>T96</f>
        <v>1000</v>
      </c>
      <c r="U97" s="24">
        <f>U96</f>
        <v>0.98</v>
      </c>
      <c r="V97" s="24">
        <f>V96</f>
        <v>25</v>
      </c>
      <c r="W97" s="24">
        <f>W96</f>
        <v>36</v>
      </c>
      <c r="X97" s="24">
        <f>X96</f>
        <v>144</v>
      </c>
      <c r="Y97" s="24">
        <f>Y92</f>
        <v>0.01</v>
      </c>
      <c r="Z97" s="24">
        <f>Z92</f>
        <v>0.01</v>
      </c>
      <c r="AA97" s="24">
        <f>AA96</f>
        <v>300</v>
      </c>
      <c r="AB97" s="24">
        <f>AB96</f>
        <v>1000</v>
      </c>
      <c r="AC97" s="24">
        <f>AC96</f>
        <v>67500</v>
      </c>
      <c r="AD97" s="24">
        <f>AD96</f>
        <v>2250000</v>
      </c>
      <c r="AE97" s="28">
        <f t="shared" ref="AE97:AE98" si="122">-PMT(AG97,AF97,1)</f>
        <v>7.5009138873610326E-2</v>
      </c>
      <c r="AF97" s="24">
        <f>AF92</f>
        <v>40</v>
      </c>
      <c r="AG97">
        <v>7.0000000000000007E-2</v>
      </c>
      <c r="AJ97" t="s">
        <v>253</v>
      </c>
    </row>
    <row r="98" spans="1:36" x14ac:dyDescent="0.25">
      <c r="A98" t="s">
        <v>247</v>
      </c>
      <c r="B98">
        <v>1</v>
      </c>
      <c r="C98" t="s">
        <v>237</v>
      </c>
      <c r="D98" t="s">
        <v>238</v>
      </c>
      <c r="E98" t="s">
        <v>16</v>
      </c>
      <c r="F98" t="s">
        <v>24</v>
      </c>
      <c r="G98" s="2"/>
      <c r="H98" s="24">
        <f>H93</f>
        <v>0.86</v>
      </c>
      <c r="I98" s="24">
        <f>I93</f>
        <v>0.86</v>
      </c>
      <c r="J98" s="24">
        <f>J95</f>
        <v>0.68</v>
      </c>
      <c r="K98" s="24">
        <f>K95</f>
        <v>1</v>
      </c>
      <c r="N98" s="24">
        <f>N95</f>
        <v>3.65</v>
      </c>
      <c r="O98" s="24">
        <f>O95</f>
        <v>51</v>
      </c>
      <c r="P98" s="24">
        <f>P95</f>
        <v>53</v>
      </c>
      <c r="Q98" s="24">
        <f>Q95</f>
        <v>1.95</v>
      </c>
      <c r="R98" s="24">
        <f>R95</f>
        <v>30.5</v>
      </c>
      <c r="S98" s="24">
        <f>S95</f>
        <v>3.89</v>
      </c>
      <c r="T98" s="24">
        <f>T95</f>
        <v>625</v>
      </c>
      <c r="U98" s="24">
        <f>U95</f>
        <v>0.98</v>
      </c>
      <c r="V98" s="24">
        <f>V95</f>
        <v>15.25</v>
      </c>
      <c r="W98" s="24">
        <f>W95</f>
        <v>32</v>
      </c>
      <c r="X98" s="24">
        <f>X95</f>
        <v>126</v>
      </c>
      <c r="Y98" s="24">
        <f>Y93</f>
        <v>0.02</v>
      </c>
      <c r="Z98" s="24">
        <f>Z93</f>
        <v>0.02</v>
      </c>
      <c r="AA98" s="24">
        <f>AA95</f>
        <v>194</v>
      </c>
      <c r="AB98" s="24">
        <f>AB95</f>
        <v>625</v>
      </c>
      <c r="AC98" s="24">
        <f>AC95</f>
        <v>50250</v>
      </c>
      <c r="AD98" s="24">
        <f>AD95</f>
        <v>1614000</v>
      </c>
      <c r="AE98" s="28">
        <f t="shared" si="122"/>
        <v>7.2459849539607671E-2</v>
      </c>
      <c r="AF98" s="24">
        <f>AF93</f>
        <v>50</v>
      </c>
      <c r="AG98">
        <v>7.0000000000000007E-2</v>
      </c>
      <c r="AJ98" t="s">
        <v>254</v>
      </c>
    </row>
    <row r="99" spans="1:36" x14ac:dyDescent="0.25">
      <c r="A99" t="s">
        <v>243</v>
      </c>
      <c r="B99">
        <v>1</v>
      </c>
      <c r="C99" t="s">
        <v>237</v>
      </c>
      <c r="D99" t="s">
        <v>238</v>
      </c>
      <c r="E99" t="s">
        <v>16</v>
      </c>
      <c r="F99" t="s">
        <v>24</v>
      </c>
      <c r="H99" s="24">
        <f>H95</f>
        <v>0.93</v>
      </c>
      <c r="I99" s="24">
        <f>I95</f>
        <v>0.93</v>
      </c>
      <c r="J99" s="24">
        <f>J93</f>
        <v>0.28000000000000003</v>
      </c>
      <c r="K99" s="24">
        <f>K95</f>
        <v>1</v>
      </c>
      <c r="N99" s="24">
        <f>N93</f>
        <v>0.5</v>
      </c>
      <c r="O99" s="24">
        <f t="shared" ref="O99:P99" si="123">O93</f>
        <v>3</v>
      </c>
      <c r="P99" s="24">
        <f t="shared" si="123"/>
        <v>5</v>
      </c>
      <c r="Q99" s="24">
        <f>Q93</f>
        <v>1.95</v>
      </c>
      <c r="R99" s="24">
        <f>R93</f>
        <v>6</v>
      </c>
      <c r="S99" s="24">
        <f t="shared" ref="S99:X99" si="124">S93</f>
        <v>3.89</v>
      </c>
      <c r="T99" s="24">
        <f t="shared" si="124"/>
        <v>150</v>
      </c>
      <c r="U99" s="24">
        <f t="shared" si="124"/>
        <v>0.98</v>
      </c>
      <c r="V99" s="24">
        <f t="shared" si="124"/>
        <v>3</v>
      </c>
      <c r="W99" s="24">
        <f t="shared" si="124"/>
        <v>22</v>
      </c>
      <c r="X99" s="24">
        <f t="shared" si="124"/>
        <v>90</v>
      </c>
      <c r="Y99" s="24">
        <f>Y95</f>
        <v>7.0000000000000007E-2</v>
      </c>
      <c r="Z99" s="24">
        <f>Z95</f>
        <v>0.12</v>
      </c>
      <c r="AA99" s="24">
        <f>AA93</f>
        <v>44</v>
      </c>
      <c r="AB99" s="24">
        <f>AB93</f>
        <v>150</v>
      </c>
      <c r="AC99" s="24">
        <f>AC93</f>
        <v>20160</v>
      </c>
      <c r="AD99" s="24">
        <f>AD93</f>
        <v>611000</v>
      </c>
      <c r="AE99" s="28">
        <f t="shared" ref="AE99:AE100" si="125">-PMT(AG99,AF99,1)</f>
        <v>7.0619527184264883E-2</v>
      </c>
      <c r="AF99" s="24">
        <f>AF95</f>
        <v>70</v>
      </c>
      <c r="AG99">
        <v>7.0000000000000007E-2</v>
      </c>
      <c r="AJ99" t="s">
        <v>244</v>
      </c>
    </row>
    <row r="100" spans="1:36" x14ac:dyDescent="0.25">
      <c r="A100" t="s">
        <v>242</v>
      </c>
      <c r="B100">
        <v>1</v>
      </c>
      <c r="C100" t="s">
        <v>237</v>
      </c>
      <c r="D100" t="s">
        <v>238</v>
      </c>
      <c r="E100" t="s">
        <v>16</v>
      </c>
      <c r="F100" t="s">
        <v>24</v>
      </c>
      <c r="G100" s="2"/>
      <c r="H100" s="24">
        <f>H96</f>
        <v>0.95</v>
      </c>
      <c r="I100" s="24">
        <f>I96</f>
        <v>0.95</v>
      </c>
      <c r="J100" s="24">
        <f>J92</f>
        <v>0.15</v>
      </c>
      <c r="K100" s="24">
        <f>K96</f>
        <v>1</v>
      </c>
      <c r="N100" s="24">
        <f>N92</f>
        <v>0</v>
      </c>
      <c r="O100" s="24">
        <f t="shared" ref="O100:P100" si="126">O92</f>
        <v>1</v>
      </c>
      <c r="P100" s="24">
        <f t="shared" si="126"/>
        <v>1</v>
      </c>
      <c r="Q100" s="24">
        <f t="shared" ref="Q100:X100" si="127">Q92</f>
        <v>1.95</v>
      </c>
      <c r="R100" s="24">
        <f t="shared" si="127"/>
        <v>1</v>
      </c>
      <c r="S100" s="24">
        <f t="shared" si="127"/>
        <v>3.89</v>
      </c>
      <c r="T100" s="24">
        <f t="shared" si="127"/>
        <v>50</v>
      </c>
      <c r="U100" s="24">
        <f t="shared" si="127"/>
        <v>0.98</v>
      </c>
      <c r="V100" s="24">
        <f t="shared" si="127"/>
        <v>0.5</v>
      </c>
      <c r="W100" s="24">
        <f t="shared" si="127"/>
        <v>18</v>
      </c>
      <c r="X100" s="24">
        <f t="shared" si="127"/>
        <v>72</v>
      </c>
      <c r="Y100" s="24">
        <f>Y96</f>
        <v>0.1</v>
      </c>
      <c r="Z100" s="24">
        <f>Z96</f>
        <v>0.2</v>
      </c>
      <c r="AA100" s="24">
        <f>AA92</f>
        <v>1</v>
      </c>
      <c r="AB100" s="24">
        <f>AB92</f>
        <v>50</v>
      </c>
      <c r="AC100" s="24">
        <f>AC92</f>
        <v>7320</v>
      </c>
      <c r="AD100" s="24">
        <f>AD92</f>
        <v>244000</v>
      </c>
      <c r="AE100" s="28">
        <f t="shared" si="125"/>
        <v>7.0313571760871663E-2</v>
      </c>
      <c r="AF100" s="24">
        <f>AF96</f>
        <v>80</v>
      </c>
      <c r="AG100">
        <v>7.0000000000000007E-2</v>
      </c>
      <c r="AJ100" t="s">
        <v>245</v>
      </c>
    </row>
    <row r="101" spans="1:36" x14ac:dyDescent="0.25">
      <c r="A101" s="8"/>
      <c r="E101" s="2"/>
      <c r="G101" s="2"/>
      <c r="H101" s="2"/>
      <c r="I101" s="2"/>
      <c r="J101" s="2"/>
      <c r="N101" s="2"/>
      <c r="O101" s="2"/>
      <c r="P101" s="2"/>
      <c r="Q101" s="2"/>
      <c r="R101" s="2"/>
      <c r="S101" s="2"/>
      <c r="T101" s="2"/>
      <c r="U101" s="2"/>
      <c r="V101" s="2"/>
      <c r="W101" s="2"/>
      <c r="X101" s="2"/>
      <c r="Y101" s="2"/>
      <c r="Z101" s="2"/>
      <c r="AA101" s="2"/>
      <c r="AB101" s="2"/>
      <c r="AC101" s="2"/>
      <c r="AD101" s="2"/>
      <c r="AE101" s="2"/>
      <c r="AF101" s="2"/>
      <c r="AG101" s="2"/>
      <c r="AH101" s="2"/>
      <c r="AI101" s="2"/>
    </row>
    <row r="102" spans="1:36" s="3" customFormat="1" x14ac:dyDescent="0.25">
      <c r="A102" s="8"/>
      <c r="B102"/>
      <c r="C102"/>
      <c r="D102"/>
      <c r="E102"/>
      <c r="F102"/>
      <c r="G102"/>
      <c r="H102"/>
      <c r="I102"/>
      <c r="J102"/>
      <c r="K102"/>
      <c r="L102"/>
      <c r="M102"/>
      <c r="N102"/>
      <c r="O102"/>
      <c r="P102"/>
      <c r="Q102"/>
      <c r="R102"/>
      <c r="S102"/>
      <c r="T102"/>
      <c r="U102"/>
      <c r="V102"/>
      <c r="W102"/>
      <c r="X102"/>
      <c r="Y102"/>
      <c r="Z102"/>
      <c r="AA102"/>
      <c r="AB102"/>
      <c r="AC102"/>
      <c r="AD102"/>
      <c r="AE102"/>
      <c r="AF102"/>
      <c r="AG102"/>
      <c r="AH102"/>
      <c r="AI102"/>
    </row>
    <row r="103" spans="1:36" s="3" customFormat="1" x14ac:dyDescent="0.25">
      <c r="A103" s="8"/>
      <c r="B103"/>
      <c r="C103"/>
      <c r="D103"/>
      <c r="E103" s="2"/>
      <c r="F103"/>
      <c r="G103" s="2"/>
      <c r="H103" s="2"/>
      <c r="I103" s="2"/>
      <c r="J103" s="2"/>
      <c r="K103"/>
      <c r="L103"/>
      <c r="M103"/>
      <c r="N103" s="2"/>
      <c r="O103" s="2"/>
      <c r="P103" s="2"/>
      <c r="Q103" s="2"/>
      <c r="R103" s="2"/>
      <c r="S103" s="2"/>
      <c r="T103" s="2"/>
      <c r="U103" s="2"/>
      <c r="V103" s="2"/>
      <c r="W103" s="2"/>
      <c r="X103" s="2"/>
      <c r="Y103" s="2"/>
      <c r="Z103" s="2"/>
      <c r="AA103" s="2"/>
      <c r="AB103" s="2"/>
      <c r="AC103" s="2"/>
      <c r="AD103" s="2"/>
      <c r="AE103" s="2"/>
      <c r="AF103" s="2"/>
      <c r="AG103" s="2"/>
      <c r="AH103" s="2"/>
      <c r="AI103" s="2"/>
    </row>
    <row r="104" spans="1:36" s="2" customFormat="1" x14ac:dyDescent="0.25">
      <c r="A104" s="8"/>
      <c r="B104"/>
      <c r="C104"/>
      <c r="D104"/>
      <c r="E104" s="3"/>
      <c r="F104" s="3"/>
      <c r="G104" s="3"/>
      <c r="H104" s="3"/>
      <c r="I104" s="3"/>
      <c r="J104" s="3"/>
      <c r="K104"/>
      <c r="L104"/>
      <c r="M104"/>
      <c r="N104" s="3"/>
      <c r="O104" s="3"/>
      <c r="P104" s="3"/>
      <c r="Q104" s="3"/>
      <c r="R104" s="3"/>
      <c r="S104" s="3"/>
      <c r="T104" s="3"/>
      <c r="U104" s="3"/>
      <c r="V104" s="3"/>
      <c r="W104" s="3"/>
      <c r="X104" s="3"/>
      <c r="Y104" s="3"/>
      <c r="Z104" s="3"/>
      <c r="AA104" s="3"/>
      <c r="AB104" s="3"/>
      <c r="AC104" s="3"/>
      <c r="AD104" s="3"/>
      <c r="AE104" s="3"/>
      <c r="AF104" s="3"/>
      <c r="AG104" s="3"/>
      <c r="AH104" s="3"/>
      <c r="AI104" s="3"/>
    </row>
    <row r="105" spans="1:36" s="3" customFormat="1" x14ac:dyDescent="0.25">
      <c r="A105" s="8"/>
      <c r="B105"/>
      <c r="C105"/>
      <c r="D105"/>
      <c r="K105"/>
      <c r="L105"/>
      <c r="M105"/>
    </row>
    <row r="106" spans="1:36" s="2" customFormat="1" x14ac:dyDescent="0.25">
      <c r="A106" s="8"/>
      <c r="B106"/>
      <c r="C106"/>
      <c r="D106"/>
      <c r="K106"/>
      <c r="L106"/>
      <c r="M106"/>
    </row>
    <row r="107" spans="1:36" s="2" customFormat="1" x14ac:dyDescent="0.25">
      <c r="A107" s="8"/>
      <c r="B107"/>
      <c r="C107"/>
      <c r="D107"/>
      <c r="K107"/>
      <c r="L107"/>
      <c r="M107"/>
    </row>
    <row r="108" spans="1:36" s="2" customFormat="1" x14ac:dyDescent="0.25">
      <c r="A108" s="8"/>
      <c r="B108"/>
      <c r="C108"/>
      <c r="D108"/>
      <c r="E108"/>
      <c r="F108"/>
      <c r="G108"/>
      <c r="H108" s="1"/>
      <c r="I108" s="1"/>
      <c r="J108"/>
      <c r="K108"/>
      <c r="L108"/>
      <c r="M108"/>
      <c r="N108" s="1"/>
      <c r="O108" s="1"/>
      <c r="P108" s="1"/>
      <c r="Q108" s="1"/>
      <c r="R108" s="1"/>
      <c r="S108" s="1"/>
      <c r="T108" s="1"/>
      <c r="U108" s="1"/>
      <c r="V108" s="1"/>
      <c r="W108" s="1"/>
      <c r="X108" s="1"/>
      <c r="Y108"/>
      <c r="Z108"/>
      <c r="AA108"/>
      <c r="AB108" s="1"/>
      <c r="AC108"/>
      <c r="AD108"/>
      <c r="AE108"/>
      <c r="AF108"/>
      <c r="AG108"/>
      <c r="AH108"/>
      <c r="AI108"/>
    </row>
    <row r="109" spans="1:36" s="3" customFormat="1" x14ac:dyDescent="0.25">
      <c r="A109" s="8"/>
      <c r="B109"/>
      <c r="C109"/>
      <c r="D109"/>
      <c r="E109" s="6"/>
      <c r="F109"/>
      <c r="G109"/>
      <c r="H109"/>
      <c r="I109"/>
      <c r="J109"/>
      <c r="K109"/>
      <c r="L109"/>
      <c r="M109"/>
      <c r="N109"/>
      <c r="O109"/>
      <c r="P109"/>
      <c r="Q109"/>
      <c r="R109"/>
      <c r="S109"/>
      <c r="T109"/>
      <c r="U109"/>
      <c r="V109"/>
      <c r="W109"/>
      <c r="X109"/>
      <c r="Y109"/>
      <c r="Z109"/>
      <c r="AA109"/>
      <c r="AB109"/>
      <c r="AC109"/>
      <c r="AD109"/>
      <c r="AE109"/>
      <c r="AF109"/>
      <c r="AG109"/>
      <c r="AH109"/>
      <c r="AI109"/>
    </row>
    <row r="110" spans="1:36" s="3" customFormat="1" x14ac:dyDescent="0.25">
      <c r="A110" s="8"/>
      <c r="B110"/>
      <c r="C110"/>
      <c r="D110"/>
      <c r="E110" s="6"/>
      <c r="F110"/>
      <c r="G110" s="6"/>
      <c r="H110" s="6"/>
      <c r="I110" s="6"/>
      <c r="J110" s="6"/>
      <c r="K110"/>
      <c r="L110"/>
      <c r="M110"/>
      <c r="N110" s="6"/>
      <c r="O110" s="6"/>
      <c r="P110" s="6"/>
      <c r="Q110" s="6"/>
      <c r="R110" s="6"/>
      <c r="S110" s="6"/>
      <c r="T110" s="6"/>
      <c r="U110" s="6"/>
      <c r="V110" s="6"/>
      <c r="W110" s="6"/>
      <c r="X110" s="6"/>
      <c r="Y110" s="6"/>
      <c r="Z110" s="6"/>
      <c r="AA110" s="6"/>
      <c r="AB110" s="6"/>
      <c r="AC110" s="6"/>
      <c r="AD110" s="6"/>
      <c r="AE110" s="6"/>
      <c r="AF110" s="6"/>
      <c r="AG110" s="6"/>
      <c r="AH110" s="6"/>
      <c r="AI110" s="6"/>
    </row>
    <row r="111" spans="1:36" s="3" customFormat="1" x14ac:dyDescent="0.25">
      <c r="A111" s="8"/>
      <c r="B111"/>
      <c r="C111"/>
      <c r="D111"/>
      <c r="E111" s="2"/>
      <c r="F111"/>
      <c r="G111" s="2"/>
      <c r="H111" s="2"/>
      <c r="I111" s="2"/>
      <c r="J111" s="2"/>
      <c r="K111"/>
      <c r="L111"/>
      <c r="M111"/>
      <c r="N111" s="2"/>
      <c r="O111" s="2"/>
      <c r="P111" s="2"/>
      <c r="Q111" s="2"/>
      <c r="R111" s="2"/>
      <c r="S111" s="2"/>
      <c r="T111" s="2"/>
      <c r="U111" s="2"/>
      <c r="V111" s="2"/>
      <c r="W111" s="2"/>
      <c r="X111" s="2"/>
      <c r="Y111" s="2"/>
      <c r="Z111" s="2"/>
      <c r="AA111" s="2"/>
      <c r="AB111" s="2"/>
      <c r="AC111" s="2"/>
      <c r="AD111" s="2"/>
      <c r="AE111" s="2"/>
      <c r="AF111" s="2"/>
      <c r="AG111" s="2"/>
      <c r="AH111" s="2"/>
      <c r="AI111" s="2"/>
    </row>
    <row r="112" spans="1:36" s="3" customFormat="1" x14ac:dyDescent="0.25">
      <c r="A112" s="8"/>
      <c r="B112"/>
      <c r="C112"/>
      <c r="D112"/>
      <c r="E112" s="2"/>
      <c r="F112"/>
      <c r="G112"/>
      <c r="H112"/>
      <c r="I112"/>
      <c r="J112"/>
      <c r="K112"/>
      <c r="L112"/>
      <c r="M112"/>
      <c r="N112"/>
      <c r="O112"/>
      <c r="P112"/>
      <c r="Q112"/>
      <c r="R112"/>
      <c r="S112"/>
      <c r="T112"/>
      <c r="U112"/>
      <c r="V112"/>
      <c r="W112"/>
      <c r="X112"/>
      <c r="Y112"/>
      <c r="Z112"/>
      <c r="AA112"/>
      <c r="AB112"/>
      <c r="AC112"/>
      <c r="AD112"/>
      <c r="AE112"/>
      <c r="AF112"/>
      <c r="AG112"/>
      <c r="AH112"/>
      <c r="AI112"/>
    </row>
    <row r="113" spans="1:38" x14ac:dyDescent="0.25">
      <c r="A113" s="8"/>
      <c r="C113" s="2"/>
      <c r="E113" s="2"/>
      <c r="G113" s="2"/>
      <c r="H113" s="2"/>
      <c r="I113" s="2"/>
      <c r="J113" s="2"/>
      <c r="N113" s="2"/>
      <c r="O113" s="2"/>
      <c r="P113" s="2"/>
      <c r="Q113" s="2"/>
      <c r="R113" s="2"/>
      <c r="S113" s="2"/>
      <c r="T113" s="2"/>
      <c r="U113" s="2"/>
      <c r="V113" s="2"/>
      <c r="W113" s="2"/>
      <c r="X113" s="2"/>
      <c r="Y113" s="2"/>
      <c r="Z113" s="2"/>
      <c r="AA113" s="2"/>
      <c r="AB113" s="2"/>
      <c r="AC113" s="2"/>
      <c r="AD113" s="2"/>
      <c r="AE113" s="2"/>
      <c r="AF113" s="2"/>
      <c r="AG113" s="2"/>
      <c r="AH113" s="2"/>
      <c r="AI113" s="2"/>
      <c r="AJ113" s="3"/>
      <c r="AK113" s="3"/>
      <c r="AL113" s="3"/>
    </row>
    <row r="114" spans="1:38" x14ac:dyDescent="0.25">
      <c r="A114" s="8"/>
      <c r="E114" s="6"/>
      <c r="AC114" s="2"/>
      <c r="AD114" s="2"/>
      <c r="AE114" s="2"/>
      <c r="AF114" s="2"/>
      <c r="AG114" s="2"/>
      <c r="AH114" s="2"/>
      <c r="AI114" s="2"/>
    </row>
    <row r="115" spans="1:38" s="2" customFormat="1" x14ac:dyDescent="0.25">
      <c r="A115" s="8"/>
      <c r="B115"/>
      <c r="C115"/>
      <c r="D115"/>
      <c r="E115"/>
      <c r="F115"/>
      <c r="G115"/>
      <c r="H115"/>
      <c r="I115"/>
      <c r="J115"/>
      <c r="K115"/>
      <c r="L115"/>
      <c r="M115"/>
      <c r="N115"/>
      <c r="O115"/>
      <c r="P115"/>
      <c r="Q115"/>
      <c r="R115"/>
      <c r="S115"/>
      <c r="T115"/>
      <c r="U115"/>
      <c r="V115"/>
      <c r="W115"/>
      <c r="X115"/>
      <c r="Y115"/>
      <c r="Z115"/>
      <c r="AA115"/>
      <c r="AB115"/>
      <c r="AC115"/>
      <c r="AD115"/>
      <c r="AE115"/>
      <c r="AF115"/>
      <c r="AG115"/>
      <c r="AH115"/>
      <c r="AI115"/>
    </row>
    <row r="116" spans="1:38" s="2" customFormat="1" x14ac:dyDescent="0.25">
      <c r="A116" s="8"/>
      <c r="B116"/>
      <c r="C116"/>
      <c r="D116"/>
      <c r="E116"/>
      <c r="F116"/>
      <c r="G116"/>
      <c r="H116"/>
      <c r="I116"/>
      <c r="J116"/>
      <c r="K116"/>
      <c r="L116"/>
      <c r="M116"/>
      <c r="N116"/>
      <c r="O116"/>
      <c r="P116"/>
      <c r="Q116"/>
      <c r="R116"/>
      <c r="S116"/>
      <c r="T116"/>
      <c r="U116"/>
      <c r="V116"/>
      <c r="W116"/>
      <c r="X116"/>
      <c r="Y116"/>
      <c r="Z116"/>
      <c r="AA116"/>
      <c r="AB116"/>
      <c r="AC116"/>
      <c r="AD116"/>
      <c r="AE116"/>
      <c r="AF116"/>
      <c r="AG116"/>
      <c r="AH116"/>
      <c r="AI116"/>
    </row>
    <row r="117" spans="1:38" s="2" customFormat="1" x14ac:dyDescent="0.25">
      <c r="A117" s="8"/>
      <c r="B117"/>
      <c r="C117" s="3"/>
      <c r="D117"/>
      <c r="E117" s="3"/>
      <c r="F117" s="3"/>
      <c r="G117" s="3"/>
      <c r="H117" s="3"/>
      <c r="I117" s="3"/>
      <c r="J117" s="3"/>
      <c r="K117"/>
      <c r="L117"/>
      <c r="M117"/>
      <c r="N117" s="3"/>
      <c r="O117" s="3"/>
      <c r="P117" s="3"/>
      <c r="Q117" s="3"/>
      <c r="R117" s="3"/>
      <c r="S117" s="3"/>
      <c r="T117" s="3"/>
      <c r="U117" s="3"/>
      <c r="V117" s="3"/>
      <c r="W117" s="3"/>
      <c r="X117" s="3"/>
      <c r="Y117" s="3"/>
      <c r="Z117" s="3"/>
      <c r="AA117" s="3"/>
      <c r="AB117" s="3"/>
      <c r="AC117" s="3"/>
      <c r="AD117" s="3"/>
      <c r="AE117" s="3"/>
      <c r="AF117" s="3"/>
      <c r="AG117" s="3"/>
      <c r="AH117" s="3"/>
      <c r="AI117" s="3"/>
    </row>
    <row r="118" spans="1:38" x14ac:dyDescent="0.25">
      <c r="A118" s="8"/>
      <c r="C118" s="3"/>
      <c r="E118" s="3"/>
      <c r="G118" s="3"/>
      <c r="H118" s="3"/>
      <c r="I118" s="3"/>
      <c r="J118" s="3"/>
      <c r="N118" s="3"/>
      <c r="O118" s="3"/>
      <c r="P118" s="3"/>
      <c r="Q118" s="3"/>
      <c r="R118" s="3"/>
      <c r="S118" s="3"/>
      <c r="T118" s="3"/>
      <c r="U118" s="3"/>
      <c r="V118" s="3"/>
      <c r="W118" s="3"/>
      <c r="X118" s="3"/>
      <c r="Y118" s="3"/>
      <c r="Z118" s="3"/>
      <c r="AA118" s="3"/>
      <c r="AB118" s="3"/>
      <c r="AC118" s="3"/>
      <c r="AD118" s="3"/>
      <c r="AE118" s="3"/>
      <c r="AF118" s="3"/>
      <c r="AG118" s="3"/>
      <c r="AH118" s="3"/>
      <c r="AI118" s="3"/>
    </row>
    <row r="119" spans="1:38" x14ac:dyDescent="0.25">
      <c r="A119" s="8"/>
    </row>
    <row r="120" spans="1:38" x14ac:dyDescent="0.25">
      <c r="A120" s="8"/>
      <c r="F120" s="2"/>
    </row>
    <row r="121" spans="1:38" s="2" customFormat="1" x14ac:dyDescent="0.25">
      <c r="A121" s="8"/>
      <c r="B121"/>
      <c r="C121"/>
      <c r="D121"/>
      <c r="E121"/>
      <c r="G121"/>
      <c r="H121"/>
      <c r="I121"/>
      <c r="J121"/>
      <c r="K121"/>
      <c r="L121"/>
      <c r="M121"/>
      <c r="N121"/>
      <c r="O121"/>
      <c r="P121"/>
      <c r="Q121"/>
      <c r="R121"/>
      <c r="S121"/>
      <c r="T121"/>
      <c r="U121"/>
      <c r="V121"/>
      <c r="W121"/>
      <c r="X121"/>
      <c r="Y121"/>
      <c r="Z121"/>
      <c r="AA121"/>
      <c r="AB121"/>
      <c r="AC121"/>
      <c r="AD121"/>
      <c r="AE121"/>
      <c r="AF121"/>
      <c r="AG121"/>
      <c r="AH121"/>
      <c r="AI121"/>
    </row>
    <row r="122" spans="1:38" s="2" customFormat="1" x14ac:dyDescent="0.25">
      <c r="A122" s="8"/>
      <c r="B122"/>
      <c r="C122"/>
      <c r="D122"/>
      <c r="E122"/>
      <c r="G122"/>
      <c r="H122"/>
      <c r="I122"/>
      <c r="J122"/>
      <c r="K122"/>
      <c r="L122"/>
      <c r="M122"/>
      <c r="N122"/>
      <c r="O122"/>
      <c r="P122"/>
      <c r="Q122"/>
      <c r="R122"/>
      <c r="S122"/>
      <c r="T122"/>
      <c r="U122"/>
      <c r="V122"/>
      <c r="W122"/>
      <c r="X122"/>
      <c r="Y122"/>
      <c r="Z122"/>
      <c r="AA122"/>
      <c r="AB122"/>
      <c r="AC122"/>
      <c r="AD122"/>
      <c r="AE122"/>
      <c r="AF122"/>
      <c r="AG122"/>
      <c r="AH122"/>
      <c r="AI122"/>
    </row>
    <row r="123" spans="1:38" s="5" customFormat="1" x14ac:dyDescent="0.25">
      <c r="A123" s="8"/>
      <c r="B123"/>
      <c r="C123"/>
      <c r="D123"/>
      <c r="E123"/>
      <c r="F123"/>
      <c r="G123"/>
      <c r="H123"/>
      <c r="I123"/>
      <c r="J123"/>
      <c r="K123"/>
      <c r="L123"/>
      <c r="M123"/>
      <c r="N123"/>
      <c r="O123"/>
      <c r="P123"/>
      <c r="Q123"/>
      <c r="R123"/>
      <c r="S123"/>
      <c r="T123"/>
      <c r="U123"/>
      <c r="V123"/>
      <c r="W123"/>
      <c r="X123"/>
      <c r="Y123"/>
      <c r="Z123"/>
      <c r="AA123"/>
      <c r="AB123"/>
      <c r="AC123"/>
      <c r="AD123"/>
      <c r="AE123"/>
      <c r="AF123"/>
      <c r="AG123"/>
      <c r="AH123"/>
      <c r="AI123"/>
    </row>
    <row r="124" spans="1:38" s="5" customFormat="1" x14ac:dyDescent="0.25">
      <c r="A124" s="8"/>
      <c r="B124"/>
      <c r="D124"/>
      <c r="K124"/>
      <c r="L124"/>
      <c r="M124"/>
    </row>
    <row r="125" spans="1:38" s="5" customFormat="1" x14ac:dyDescent="0.25">
      <c r="A125" s="8"/>
      <c r="B125" s="8"/>
      <c r="D125"/>
      <c r="K125"/>
      <c r="L125"/>
      <c r="M125"/>
    </row>
    <row r="126" spans="1:38" s="5" customFormat="1" x14ac:dyDescent="0.25">
      <c r="A126" s="8"/>
      <c r="B126" s="8"/>
      <c r="C126" s="3"/>
      <c r="D126"/>
      <c r="E126" s="3"/>
      <c r="F126" s="3"/>
      <c r="G126" s="3"/>
      <c r="H126" s="3"/>
      <c r="I126" s="3"/>
      <c r="J126" s="3"/>
      <c r="K126"/>
      <c r="L126"/>
      <c r="M126"/>
      <c r="N126" s="3"/>
      <c r="O126" s="3"/>
      <c r="P126" s="3"/>
      <c r="Q126" s="3"/>
      <c r="R126" s="3"/>
      <c r="S126" s="3"/>
      <c r="T126" s="3"/>
      <c r="U126" s="3"/>
      <c r="V126" s="3"/>
      <c r="W126" s="3"/>
      <c r="X126" s="3"/>
      <c r="Y126" s="3"/>
      <c r="Z126" s="3"/>
      <c r="AA126" s="3"/>
      <c r="AB126" s="3"/>
      <c r="AC126" s="3"/>
      <c r="AD126" s="3"/>
      <c r="AE126" s="3"/>
      <c r="AF126" s="3"/>
      <c r="AG126" s="3"/>
      <c r="AH126" s="3"/>
      <c r="AI126" s="3"/>
    </row>
    <row r="127" spans="1:38" s="5" customFormat="1" x14ac:dyDescent="0.25">
      <c r="A127" s="8"/>
      <c r="B127" s="8"/>
      <c r="C127" s="3"/>
      <c r="D127"/>
      <c r="E127" s="3"/>
      <c r="F127" s="3"/>
      <c r="G127" s="3"/>
      <c r="H127" s="3"/>
      <c r="I127" s="3"/>
      <c r="J127" s="3"/>
      <c r="K127"/>
      <c r="L127"/>
      <c r="M127"/>
      <c r="N127" s="3"/>
      <c r="O127" s="3"/>
      <c r="P127" s="3"/>
      <c r="Q127" s="3"/>
      <c r="R127" s="3"/>
      <c r="S127" s="3"/>
      <c r="T127" s="3"/>
      <c r="U127" s="3"/>
      <c r="V127" s="3"/>
      <c r="W127" s="3"/>
      <c r="X127" s="3"/>
      <c r="Y127" s="3"/>
      <c r="Z127" s="3"/>
      <c r="AA127" s="3"/>
      <c r="AB127" s="3"/>
      <c r="AC127" s="3"/>
      <c r="AD127" s="3"/>
      <c r="AE127" s="3"/>
      <c r="AF127" s="3"/>
      <c r="AG127" s="3"/>
      <c r="AH127" s="3"/>
      <c r="AI127" s="3"/>
    </row>
    <row r="128" spans="1:38" s="5" customFormat="1" x14ac:dyDescent="0.25">
      <c r="A128" s="8"/>
      <c r="B128" s="8"/>
      <c r="C128"/>
      <c r="D128"/>
      <c r="E128" s="6"/>
      <c r="F128"/>
      <c r="G128"/>
      <c r="H128"/>
      <c r="I128"/>
      <c r="J128"/>
      <c r="K128"/>
      <c r="L128"/>
      <c r="M128"/>
      <c r="N128"/>
      <c r="O128"/>
      <c r="P128"/>
      <c r="Q128"/>
      <c r="R128"/>
      <c r="S128"/>
      <c r="T128"/>
      <c r="U128"/>
      <c r="V128"/>
      <c r="W128"/>
      <c r="X128"/>
      <c r="Y128"/>
      <c r="Z128"/>
      <c r="AA128"/>
      <c r="AB128"/>
      <c r="AC128"/>
      <c r="AD128"/>
      <c r="AE128"/>
      <c r="AF128"/>
      <c r="AG128"/>
      <c r="AH128"/>
      <c r="AI128"/>
    </row>
    <row r="129" spans="1:35" x14ac:dyDescent="0.25">
      <c r="A129" s="8"/>
      <c r="B129" s="8"/>
      <c r="C129" s="5"/>
      <c r="E129" s="5"/>
      <c r="F129" s="5"/>
      <c r="H129" s="5"/>
      <c r="I129" s="5"/>
      <c r="J129" s="5"/>
    </row>
    <row r="130" spans="1:35" x14ac:dyDescent="0.25">
      <c r="A130" s="8"/>
      <c r="B130" s="8"/>
      <c r="C130" s="2"/>
      <c r="E130" s="2"/>
      <c r="F130" s="2"/>
      <c r="G130" s="2"/>
      <c r="H130" s="2"/>
      <c r="I130" s="2"/>
      <c r="J130" s="2"/>
      <c r="N130" s="2"/>
      <c r="O130" s="2"/>
      <c r="P130" s="2"/>
      <c r="Q130" s="2"/>
      <c r="R130" s="2"/>
      <c r="S130" s="2"/>
      <c r="T130" s="2"/>
      <c r="U130" s="2"/>
      <c r="V130" s="2"/>
      <c r="W130" s="2"/>
      <c r="X130" s="2"/>
      <c r="Y130" s="2"/>
      <c r="Z130" s="2"/>
      <c r="AA130" s="2"/>
      <c r="AB130" s="2"/>
      <c r="AC130" s="2"/>
      <c r="AD130" s="2"/>
      <c r="AE130" s="2"/>
      <c r="AF130" s="2"/>
      <c r="AG130" s="2"/>
      <c r="AH130" s="2"/>
      <c r="AI130" s="2"/>
    </row>
    <row r="131" spans="1:35" x14ac:dyDescent="0.25">
      <c r="A131" s="8"/>
      <c r="B131" s="8"/>
      <c r="C131" s="6"/>
      <c r="E131" s="6"/>
      <c r="G131" s="6"/>
      <c r="H131" s="6"/>
      <c r="I131" s="6"/>
      <c r="J131" s="6"/>
      <c r="N131" s="6"/>
      <c r="O131" s="6"/>
      <c r="P131" s="6"/>
      <c r="Q131" s="6"/>
      <c r="R131" s="6"/>
      <c r="S131" s="6"/>
      <c r="T131" s="6"/>
      <c r="U131" s="6"/>
      <c r="V131" s="6"/>
      <c r="W131" s="6"/>
      <c r="X131" s="6"/>
      <c r="Y131" s="6"/>
      <c r="Z131" s="6"/>
      <c r="AA131" s="6"/>
      <c r="AB131" s="6"/>
      <c r="AC131" s="6"/>
      <c r="AD131" s="6"/>
      <c r="AE131" s="6"/>
      <c r="AF131" s="6"/>
      <c r="AG131" s="6"/>
      <c r="AH131" s="6"/>
      <c r="AI131" s="6"/>
    </row>
    <row r="132" spans="1:35" x14ac:dyDescent="0.25">
      <c r="A132" s="8"/>
      <c r="B132" s="8"/>
      <c r="C132" s="5"/>
      <c r="E132" s="5"/>
      <c r="G132" s="5"/>
      <c r="H132" s="5"/>
      <c r="I132" s="5"/>
      <c r="J132" s="5"/>
      <c r="N132" s="5"/>
      <c r="O132" s="5"/>
      <c r="P132" s="5"/>
      <c r="Q132" s="5"/>
      <c r="R132" s="5"/>
      <c r="S132" s="5"/>
      <c r="T132" s="5"/>
      <c r="U132" s="5"/>
      <c r="V132" s="5"/>
      <c r="W132" s="5"/>
      <c r="X132" s="5"/>
      <c r="Y132" s="5"/>
      <c r="Z132" s="5"/>
      <c r="AA132" s="5"/>
      <c r="AB132" s="5"/>
      <c r="AC132" s="5"/>
      <c r="AD132" s="5"/>
      <c r="AE132" s="5"/>
      <c r="AF132" s="5"/>
      <c r="AG132" s="5"/>
      <c r="AH132" s="5"/>
      <c r="AI132" s="5"/>
    </row>
    <row r="133" spans="1:35" x14ac:dyDescent="0.25">
      <c r="A133" s="8"/>
      <c r="B133" s="8"/>
      <c r="C133" s="3"/>
      <c r="E133" s="4"/>
      <c r="G133" s="4"/>
      <c r="H133" s="3"/>
      <c r="I133" s="3"/>
      <c r="J133" s="3"/>
      <c r="N133" s="3"/>
      <c r="O133" s="3"/>
      <c r="P133" s="3"/>
      <c r="Q133" s="3"/>
      <c r="R133" s="3"/>
      <c r="S133" s="3"/>
      <c r="T133" s="3"/>
      <c r="U133" s="3"/>
      <c r="V133" s="3"/>
      <c r="W133" s="3"/>
      <c r="X133" s="3"/>
      <c r="Y133" s="3"/>
      <c r="Z133" s="3"/>
      <c r="AA133" s="3"/>
      <c r="AB133" s="3"/>
      <c r="AC133" s="2"/>
      <c r="AD133" s="2"/>
      <c r="AE133" s="2"/>
      <c r="AF133" s="2"/>
      <c r="AG133" s="2"/>
      <c r="AH133" s="2"/>
      <c r="AI133" s="2"/>
    </row>
  </sheetData>
  <autoFilter ref="A1:AJ69" xr:uid="{00000000-0001-0000-0000-000000000000}"/>
  <pageMargins left="0.7" right="0.7" top="0.75" bottom="0.75" header="0.511811023622047" footer="0.511811023622047"/>
  <pageSetup paperSize="9" orientation="portrait" horizontalDpi="300" verticalDpi="300" r:id="rId1"/>
  <legacyDrawing r:id="rId2"/>
</worksheet>
</file>

<file path=docProps/app.xml><?xml version="1.0" encoding="utf-8"?>
<Properties xmlns="http://schemas.openxmlformats.org/officeDocument/2006/extended-properties" xmlns:vt="http://schemas.openxmlformats.org/officeDocument/2006/docPropsVTypes">
  <Template/>
  <TotalTime>11435</TotalTime>
  <Application>Microsoft Excel</Application>
  <DocSecurity>0</DocSecurity>
  <ScaleCrop>false</ScaleCrop>
  <HeadingPairs>
    <vt:vector size="2" baseType="variant">
      <vt:variant>
        <vt:lpstr>Worksheets</vt:lpstr>
      </vt:variant>
      <vt:variant>
        <vt:i4>3</vt:i4>
      </vt:variant>
    </vt:vector>
  </HeadingPairs>
  <TitlesOfParts>
    <vt:vector size="3" baseType="lpstr">
      <vt:lpstr>Overview</vt:lpstr>
      <vt:lpstr>sources</vt:lpstr>
      <vt:lpstr>unittypedata</vt:lpstr>
    </vt:vector>
  </TitlesOfParts>
  <Company>VTT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Ikäheimo Jussi</dc:creator>
  <dc:description/>
  <cp:lastModifiedBy>Rasku Topi</cp:lastModifiedBy>
  <cp:revision>92</cp:revision>
  <dcterms:created xsi:type="dcterms:W3CDTF">2022-03-22T09:20:16Z</dcterms:created>
  <dcterms:modified xsi:type="dcterms:W3CDTF">2025-09-18T10:10:47Z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0x0101002FD1B2F89F852E499A2B763E84397209</vt:lpwstr>
  </property>
</Properties>
</file>