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BD55E7C9-7839-4E1A-BACF-93BCEDF82BDE}" xr6:coauthVersionLast="43" xr6:coauthVersionMax="43" xr10:uidLastSave="{00000000-0000-0000-0000-000000000000}"/>
  <bookViews>
    <workbookView xWindow="86280" yWindow="-120" windowWidth="29040" windowHeight="15840" tabRatio="895" activeTab="3" xr2:uid="{00000000-000D-0000-FFFF-FFFF00000000}"/>
  </bookViews>
  <sheets>
    <sheet name="Sheet2" sheetId="26" r:id="rId1"/>
    <sheet name="Build" sheetId="17" r:id="rId2"/>
    <sheet name="Global Settings" sheetId="20" r:id="rId3"/>
    <sheet name="ESXHosts" sheetId="14" r:id="rId4"/>
    <sheet name="esx02.tataoui.com" sheetId="16" r:id="rId5"/>
    <sheet name="esx03.tataoui.com" sheetId="24" r:id="rId6"/>
    <sheet name="esx04.tataoui.com" sheetId="19" r:id="rId7"/>
    <sheet name="Software Depot" sheetId="9" r:id="rId8"/>
    <sheet name="Email" sheetId="12" r:id="rId9"/>
    <sheet name="VCSA Information" sheetId="11" r:id="rId10"/>
    <sheet name="VCSA Information (2)" sheetId="21" r:id="rId11"/>
    <sheet name="NSX-T Information" sheetId="25" r:id="rId12"/>
    <sheet name="NSX Information" sheetId="1" r:id="rId13"/>
    <sheet name="IP Pools" sheetId="3" r:id="rId14"/>
    <sheet name="Exclusion List" sheetId="4" r:id="rId15"/>
    <sheet name="Logical Switches" sheetId="5" r:id="rId16"/>
    <sheet name="Distributed Logical Routers - 1" sheetId="8" r:id="rId17"/>
    <sheet name="Distributed Logical Routers - 2" sheetId="13" r:id="rId18"/>
    <sheet name="Edge Services Gateways" sheetId="6" r:id="rId19"/>
    <sheet name="Edge Services Gateways (2)" sheetId="15" r:id="rId20"/>
    <sheet name="Options" sheetId="7" r:id="rId21"/>
  </sheets>
  <definedNames>
    <definedName name="_xlnm._FilterDatabase" localSheetId="18" hidden="1">'Edge Services Gateways'!$A$1:$K$2</definedName>
    <definedName name="_xlnm._FilterDatabase" localSheetId="19" hidden="1">'Edge Services Gateways (2)'!$A$1:$K$2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5" i="14" l="1"/>
  <c r="V4" i="14"/>
  <c r="V3" i="14"/>
  <c r="U5" i="14"/>
  <c r="U4" i="14"/>
  <c r="U3" i="14"/>
  <c r="T5" i="14"/>
  <c r="T4" i="14"/>
  <c r="T3" i="14"/>
  <c r="R5" i="14"/>
  <c r="R4" i="14"/>
  <c r="R3" i="14"/>
  <c r="Q5" i="14"/>
  <c r="Q4" i="14"/>
  <c r="Q3" i="14"/>
  <c r="P5" i="14"/>
  <c r="P4" i="14"/>
  <c r="P3" i="14"/>
  <c r="O5" i="14"/>
  <c r="O4" i="14"/>
  <c r="O3" i="14"/>
  <c r="N5" i="14"/>
  <c r="N4" i="14"/>
  <c r="N3" i="14"/>
  <c r="M5" i="14"/>
  <c r="M4" i="14"/>
  <c r="M3" i="14"/>
  <c r="L5" i="14"/>
  <c r="L4" i="14"/>
  <c r="L3" i="14"/>
  <c r="J5" i="14"/>
  <c r="J4" i="14"/>
  <c r="J3" i="14"/>
  <c r="G5" i="14"/>
  <c r="G4" i="14"/>
  <c r="G3" i="14"/>
  <c r="E5" i="14"/>
  <c r="E4" i="14"/>
  <c r="E3" i="14"/>
  <c r="D3" i="14"/>
  <c r="D4" i="14"/>
  <c r="D5" i="14"/>
  <c r="C5" i="14"/>
  <c r="C4" i="14"/>
  <c r="C3" i="14"/>
  <c r="H2" i="20"/>
  <c r="H4" i="26" l="1"/>
  <c r="A21" i="25" l="1"/>
  <c r="F6" i="25" l="1"/>
  <c r="D6" i="25"/>
  <c r="B6" i="25"/>
  <c r="A17" i="25"/>
  <c r="D13" i="25"/>
  <c r="D17" i="25"/>
  <c r="H3" i="25"/>
  <c r="G3" i="25"/>
  <c r="F3" i="25"/>
  <c r="F10" i="11" l="1"/>
  <c r="E10" i="11"/>
  <c r="G3" i="11" l="1"/>
  <c r="B2" i="17"/>
  <c r="V4" i="24"/>
  <c r="O4" i="24"/>
  <c r="N4" i="24"/>
  <c r="M4" i="24"/>
  <c r="L4" i="24"/>
  <c r="X3" i="24"/>
  <c r="V3" i="24"/>
  <c r="O3" i="24"/>
  <c r="N3" i="24"/>
  <c r="M3" i="24"/>
  <c r="L3" i="24"/>
  <c r="X2" i="24"/>
  <c r="V2" i="24"/>
  <c r="X1" i="24" s="1"/>
  <c r="O2" i="24"/>
  <c r="N2" i="24"/>
  <c r="M2" i="24"/>
  <c r="L2" i="24"/>
  <c r="E3" i="11"/>
  <c r="B7" i="11"/>
  <c r="D3" i="11"/>
  <c r="I10" i="11"/>
  <c r="H10" i="11"/>
  <c r="G10" i="11"/>
  <c r="C16" i="11"/>
  <c r="H26" i="11"/>
  <c r="G26" i="11"/>
  <c r="F26" i="11"/>
  <c r="L10" i="21"/>
  <c r="F3" i="11"/>
  <c r="A7" i="11"/>
  <c r="A26" i="11"/>
  <c r="Z4" i="14"/>
  <c r="Z3" i="14"/>
  <c r="D26" i="11"/>
  <c r="Z5" i="14"/>
  <c r="C26" i="11"/>
  <c r="AA3" i="14"/>
  <c r="E26" i="11"/>
  <c r="AA4" i="14"/>
  <c r="B26" i="11"/>
  <c r="A13" i="25" l="1"/>
  <c r="D10" i="11"/>
  <c r="K10" i="21"/>
  <c r="J10" i="21"/>
  <c r="X3" i="16"/>
  <c r="I13" i="21"/>
  <c r="H13" i="21"/>
  <c r="G13" i="21"/>
  <c r="F13" i="21"/>
  <c r="E13" i="21"/>
  <c r="I7" i="21"/>
  <c r="H7" i="21"/>
  <c r="G7" i="21"/>
  <c r="B3" i="21"/>
  <c r="D17" i="21"/>
  <c r="F3" i="21" l="1"/>
  <c r="E3" i="21"/>
  <c r="R2" i="14" l="1"/>
  <c r="D2" i="12"/>
  <c r="I7" i="11"/>
  <c r="H7" i="11"/>
  <c r="C10" i="1" l="1"/>
  <c r="C13" i="25"/>
  <c r="G7" i="11"/>
  <c r="AB2" i="14"/>
  <c r="I2" i="19"/>
  <c r="I3" i="19"/>
  <c r="I4" i="19"/>
  <c r="H4" i="19"/>
  <c r="H3" i="19"/>
  <c r="G4" i="19"/>
  <c r="G3" i="19"/>
  <c r="H2" i="19"/>
  <c r="G2" i="19"/>
  <c r="J4" i="19"/>
  <c r="J3" i="19"/>
  <c r="J2" i="19"/>
  <c r="M4" i="16"/>
  <c r="M3" i="16"/>
  <c r="M2" i="16"/>
  <c r="L4" i="16"/>
  <c r="L3" i="16"/>
  <c r="L2" i="16"/>
  <c r="O4" i="16"/>
  <c r="O3" i="16"/>
  <c r="O2" i="16"/>
  <c r="N2" i="16"/>
  <c r="N3" i="16"/>
  <c r="N4" i="16"/>
  <c r="T2" i="14"/>
  <c r="D3" i="21"/>
  <c r="Q2" i="14"/>
  <c r="P2" i="14"/>
  <c r="S2" i="19"/>
  <c r="X2" i="16"/>
  <c r="AA2" i="14"/>
  <c r="E17" i="21"/>
  <c r="AA5" i="14"/>
  <c r="F17" i="21"/>
  <c r="B16" i="11" l="1"/>
  <c r="A7" i="21"/>
  <c r="D7" i="21" s="1"/>
  <c r="B7" i="21"/>
  <c r="D7" i="11"/>
  <c r="C2" i="6"/>
  <c r="C2" i="13"/>
  <c r="C2" i="8"/>
  <c r="E2" i="8"/>
  <c r="F3" i="3"/>
  <c r="E3" i="3"/>
  <c r="F2" i="3"/>
  <c r="E2" i="3"/>
  <c r="G3" i="3"/>
  <c r="G2" i="3"/>
  <c r="A14" i="1"/>
  <c r="A18" i="1"/>
  <c r="D10" i="1"/>
  <c r="F3" i="1"/>
  <c r="H3" i="1"/>
  <c r="G3" i="1"/>
  <c r="D14" i="1"/>
  <c r="B6" i="1"/>
  <c r="A6" i="1"/>
  <c r="A10" i="1" l="1"/>
  <c r="G2" i="17" l="1"/>
  <c r="A4" i="4"/>
  <c r="A3" i="4"/>
  <c r="E2" i="13"/>
  <c r="E2" i="15"/>
  <c r="E2" i="6"/>
  <c r="Q4" i="19" l="1"/>
  <c r="Q3" i="19"/>
  <c r="Q2" i="19"/>
  <c r="AC2" i="14"/>
  <c r="AC3" i="14"/>
  <c r="AC4" i="14"/>
  <c r="AC5" i="14"/>
  <c r="Z2" i="14" l="1"/>
  <c r="S1" i="19"/>
  <c r="B36" i="9"/>
  <c r="B35" i="9" s="1"/>
  <c r="I8" i="7"/>
  <c r="I9" i="7" s="1"/>
  <c r="I10" i="7" s="1"/>
  <c r="V4" i="16"/>
  <c r="V3" i="16"/>
  <c r="V2" i="16"/>
  <c r="X1" i="16" s="1"/>
  <c r="A16" i="11" l="1"/>
  <c r="I11" i="7"/>
  <c r="I12" i="7" s="1"/>
  <c r="B34" i="9"/>
  <c r="G8" i="7"/>
  <c r="G9" i="7" s="1"/>
  <c r="G10" i="7" s="1"/>
  <c r="B31" i="9"/>
  <c r="B33" i="9"/>
  <c r="E8" i="7"/>
  <c r="E9" i="7" s="1"/>
  <c r="C8" i="7"/>
  <c r="C9" i="7" s="1"/>
  <c r="C10" i="7" s="1"/>
  <c r="B32" i="9" l="1"/>
  <c r="B6" i="9"/>
  <c r="G11" i="7"/>
  <c r="G12" i="7" s="1"/>
  <c r="E10" i="7"/>
  <c r="C11" i="7"/>
  <c r="C12" i="7" s="1"/>
  <c r="C14" i="7"/>
  <c r="E11" i="7" l="1"/>
  <c r="E12" i="7" s="1"/>
  <c r="C15" i="7"/>
  <c r="B3" i="11"/>
  <c r="C2"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1" authorId="0" shapeId="0" xr:uid="{19DFB5B5-6E07-4F24-908A-C10AD748AF4C}">
      <text>
        <r>
          <rPr>
            <b/>
            <sz val="9"/>
            <color indexed="81"/>
            <rFont val="Tahoma"/>
            <family val="2"/>
          </rPr>
          <t>Author:</t>
        </r>
        <r>
          <rPr>
            <sz val="9"/>
            <color indexed="81"/>
            <rFont val="Tahoma"/>
            <family val="2"/>
          </rPr>
          <t xml:space="preserve">
This is where the NSX Manager appliance will be deployed and run</t>
        </r>
      </text>
    </comment>
    <comment ref="A15" authorId="0" shapeId="0" xr:uid="{79967756-B1D6-4C20-B766-CECBDA0DA89E}">
      <text>
        <r>
          <rPr>
            <b/>
            <sz val="9"/>
            <color indexed="81"/>
            <rFont val="Tahoma"/>
            <family val="2"/>
          </rPr>
          <t>Author:</t>
        </r>
        <r>
          <rPr>
            <sz val="9"/>
            <color indexed="81"/>
            <rFont val="Tahoma"/>
            <family val="2"/>
          </rPr>
          <t xml:space="preserve">
Deployment config for the NSX controllers</t>
        </r>
      </text>
    </comment>
    <comment ref="E16" authorId="0" shapeId="0" xr:uid="{3A44A6B6-2D68-464D-A385-C3F583860797}">
      <text>
        <r>
          <rPr>
            <b/>
            <sz val="9"/>
            <color indexed="81"/>
            <rFont val="Tahoma"/>
            <family val="2"/>
          </rPr>
          <t>Author:</t>
        </r>
        <r>
          <rPr>
            <sz val="9"/>
            <color indexed="81"/>
            <rFont val="Tahoma"/>
            <family val="2"/>
          </rPr>
          <t xml:space="preserve">
The amount of controllers, 1 or 3</t>
        </r>
      </text>
    </comment>
    <comment ref="B23" authorId="0" shapeId="0" xr:uid="{8184D5A5-839D-48A6-A810-7EFDE439110B}">
      <text>
        <r>
          <rPr>
            <b/>
            <sz val="9"/>
            <color indexed="81"/>
            <rFont val="Tahoma"/>
            <family val="2"/>
          </rPr>
          <t>Author:</t>
        </r>
        <r>
          <rPr>
            <sz val="9"/>
            <color indexed="81"/>
            <rFont val="Tahoma"/>
            <family val="2"/>
          </rPr>
          <t xml:space="preserve">
Minimum of 1600</t>
        </r>
      </text>
    </comment>
    <comment ref="A24" authorId="0" shapeId="0" xr:uid="{886845EB-FD13-4362-B393-264C267899D5}">
      <text>
        <r>
          <rPr>
            <b/>
            <sz val="9"/>
            <color indexed="81"/>
            <rFont val="Tahoma"/>
            <family val="2"/>
          </rPr>
          <t>Author:</t>
        </r>
        <r>
          <rPr>
            <sz val="9"/>
            <color indexed="81"/>
            <rFont val="Tahoma"/>
            <family val="2"/>
          </rPr>
          <t xml:space="preserve">
Options: FAILOVER_ORDER, ETHER_CHANNEL, LACP_ACTIVE, LACP_PASSIVE, LOADBALANCE_LOADBASED, LOADBALANCE_SRCID, LOADBALANCE_SRCMAC, LACP_V2</t>
        </r>
      </text>
    </comment>
    <comment ref="B27" authorId="0" shapeId="0" xr:uid="{C37A7844-54DB-48E1-97FC-CBB8C515B554}">
      <text>
        <r>
          <rPr>
            <b/>
            <sz val="9"/>
            <color indexed="81"/>
            <rFont val="Tahoma"/>
            <family val="2"/>
          </rPr>
          <t>Author:</t>
        </r>
        <r>
          <rPr>
            <sz val="9"/>
            <color indexed="81"/>
            <rFont val="Tahoma"/>
            <family val="2"/>
          </rPr>
          <t xml:space="preserve">
Options: UNICAST_MODE, MULTICAST_MODE &amp; HYBRID_MODE</t>
        </r>
      </text>
    </comment>
    <comment ref="B31" authorId="0" shapeId="0" xr:uid="{87DB1EBF-89E2-4C9F-AD34-5F48848E4C9B}">
      <text>
        <r>
          <rPr>
            <b/>
            <sz val="9"/>
            <color indexed="81"/>
            <rFont val="Tahoma"/>
            <family val="2"/>
          </rPr>
          <t>Author:</t>
        </r>
        <r>
          <rPr>
            <sz val="9"/>
            <color indexed="81"/>
            <rFont val="Tahoma"/>
            <family val="2"/>
          </rPr>
          <t xml:space="preserve">
Options: UNICAST_MODE, MULTICAST_MODE &amp; HYBRID_MODE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8" authorId="0" shapeId="0" xr:uid="{00000000-0006-0000-0000-000001000000}">
      <text>
        <r>
          <rPr>
            <b/>
            <sz val="9"/>
            <color indexed="81"/>
            <rFont val="Tahoma"/>
            <family val="2"/>
          </rPr>
          <t>Author:</t>
        </r>
        <r>
          <rPr>
            <sz val="9"/>
            <color indexed="81"/>
            <rFont val="Tahoma"/>
            <family val="2"/>
          </rPr>
          <t xml:space="preserve">
This is where the NSX Manager appliance will be deployed and run</t>
        </r>
      </text>
    </comment>
    <comment ref="A12" authorId="0" shapeId="0" xr:uid="{00000000-0006-0000-0000-000003000000}">
      <text>
        <r>
          <rPr>
            <b/>
            <sz val="9"/>
            <color indexed="81"/>
            <rFont val="Tahoma"/>
            <family val="2"/>
          </rPr>
          <t>Author:</t>
        </r>
        <r>
          <rPr>
            <sz val="9"/>
            <color indexed="81"/>
            <rFont val="Tahoma"/>
            <family val="2"/>
          </rPr>
          <t xml:space="preserve">
Deployment config for the NSX controllers</t>
        </r>
      </text>
    </comment>
    <comment ref="E13" authorId="0" shapeId="0" xr:uid="{00000000-0006-0000-0000-000004000000}">
      <text>
        <r>
          <rPr>
            <b/>
            <sz val="9"/>
            <color indexed="81"/>
            <rFont val="Tahoma"/>
            <family val="2"/>
          </rPr>
          <t>Author:</t>
        </r>
        <r>
          <rPr>
            <sz val="9"/>
            <color indexed="81"/>
            <rFont val="Tahoma"/>
            <family val="2"/>
          </rPr>
          <t xml:space="preserve">
The amount of controllers, 1 or 3</t>
        </r>
      </text>
    </comment>
    <comment ref="B20" authorId="0" shapeId="0" xr:uid="{00000000-0006-0000-0000-000005000000}">
      <text>
        <r>
          <rPr>
            <b/>
            <sz val="9"/>
            <color indexed="81"/>
            <rFont val="Tahoma"/>
            <family val="2"/>
          </rPr>
          <t>Author:</t>
        </r>
        <r>
          <rPr>
            <sz val="9"/>
            <color indexed="81"/>
            <rFont val="Tahoma"/>
            <family val="2"/>
          </rPr>
          <t xml:space="preserve">
Minimum of 1600</t>
        </r>
      </text>
    </comment>
    <comment ref="A21" authorId="0" shapeId="0" xr:uid="{00000000-0006-0000-0000-000006000000}">
      <text>
        <r>
          <rPr>
            <b/>
            <sz val="9"/>
            <color indexed="81"/>
            <rFont val="Tahoma"/>
            <family val="2"/>
          </rPr>
          <t>Author:</t>
        </r>
        <r>
          <rPr>
            <sz val="9"/>
            <color indexed="81"/>
            <rFont val="Tahoma"/>
            <family val="2"/>
          </rPr>
          <t xml:space="preserve">
Options: FAILOVER_ORDER, ETHER_CHANNEL, LACP_ACTIVE, LACP_PASSIVE, LOADBALANCE_LOADBASED, LOADBALANCE_SRCID, LOADBALANCE_SRCMAC, LACP_V2</t>
        </r>
      </text>
    </comment>
    <comment ref="B24" authorId="0" shapeId="0" xr:uid="{00000000-0006-0000-0000-000007000000}">
      <text>
        <r>
          <rPr>
            <b/>
            <sz val="9"/>
            <color indexed="81"/>
            <rFont val="Tahoma"/>
            <family val="2"/>
          </rPr>
          <t>Author:</t>
        </r>
        <r>
          <rPr>
            <sz val="9"/>
            <color indexed="81"/>
            <rFont val="Tahoma"/>
            <family val="2"/>
          </rPr>
          <t xml:space="preserve">
Options: UNICAST_MODE, MULTICAST_MODE &amp; HYBRID_MODE</t>
        </r>
      </text>
    </comment>
    <comment ref="B28" authorId="0" shapeId="0" xr:uid="{590D0FA6-D582-488C-AD38-D4E4BAEC6320}">
      <text>
        <r>
          <rPr>
            <b/>
            <sz val="9"/>
            <color indexed="81"/>
            <rFont val="Tahoma"/>
            <family val="2"/>
          </rPr>
          <t>Author:</t>
        </r>
        <r>
          <rPr>
            <sz val="9"/>
            <color indexed="81"/>
            <rFont val="Tahoma"/>
            <family val="2"/>
          </rPr>
          <t xml:space="preserve">
Options: UNICAST_MODE, MULTICAST_MODE &amp; HYBRID_MODE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1" authorId="0" shapeId="0" xr:uid="{00000000-0006-0000-0500-000001000000}">
      <text>
        <r>
          <rPr>
            <b/>
            <sz val="9"/>
            <color indexed="81"/>
            <rFont val="Tahoma"/>
            <family val="2"/>
          </rPr>
          <t>Author:</t>
        </r>
        <r>
          <rPr>
            <sz val="9"/>
            <color indexed="81"/>
            <rFont val="Tahoma"/>
            <family val="2"/>
          </rPr>
          <t xml:space="preserve">
Currently only 1 VNIC is supported</t>
        </r>
      </text>
    </comment>
    <comment ref="A5" authorId="0" shapeId="0" xr:uid="{AB9C452E-C56B-4C50-A311-0EA2845B843B}">
      <text>
        <r>
          <rPr>
            <b/>
            <sz val="9"/>
            <color indexed="81"/>
            <rFont val="Tahoma"/>
            <family val="2"/>
          </rPr>
          <t>Dominic Chan:
- use interface that is talking BGP</t>
        </r>
        <r>
          <rPr>
            <sz val="9"/>
            <color indexed="81"/>
            <rFont val="Tahoma"/>
            <family val="2"/>
          </rPr>
          <t xml:space="preserve">
</t>
        </r>
      </text>
    </comment>
    <comment ref="C5" authorId="0" shapeId="0" xr:uid="{2BE4A600-2DD5-48BD-8408-A3B7443DDA5F}">
      <text>
        <r>
          <rPr>
            <b/>
            <sz val="9"/>
            <color indexed="81"/>
            <rFont val="Tahoma"/>
            <family val="2"/>
          </rPr>
          <t>Author:</t>
        </r>
        <r>
          <rPr>
            <sz val="9"/>
            <color indexed="81"/>
            <rFont val="Tahoma"/>
            <family val="2"/>
          </rPr>
          <t xml:space="preserve">
- north bound interface IP to uplink LIF (e.g. transit)</t>
        </r>
      </text>
    </comment>
    <comment ref="D5" authorId="0" shapeId="0" xr:uid="{515D5966-74A0-47E1-8337-D48DE52FD7AC}">
      <text>
        <r>
          <rPr>
            <b/>
            <sz val="9"/>
            <color indexed="81"/>
            <rFont val="Tahoma"/>
            <family val="2"/>
          </rPr>
          <t>Author:</t>
        </r>
        <r>
          <rPr>
            <sz val="9"/>
            <color indexed="81"/>
            <rFont val="Tahoma"/>
            <family val="2"/>
          </rPr>
          <t xml:space="preserve">
- IP address of the neighbor (ESG), or the address to the south bound interface on the ESG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1" authorId="0" shapeId="0" xr:uid="{6D9328AF-A3C9-46CC-B42B-20272A1338BA}">
      <text>
        <r>
          <rPr>
            <b/>
            <sz val="9"/>
            <color indexed="81"/>
            <rFont val="Tahoma"/>
            <family val="2"/>
          </rPr>
          <t>Author:</t>
        </r>
        <r>
          <rPr>
            <sz val="9"/>
            <color indexed="81"/>
            <rFont val="Tahoma"/>
            <family val="2"/>
          </rPr>
          <t xml:space="preserve">
Currently only 1 VNIC is supported</t>
        </r>
      </text>
    </comment>
    <comment ref="A5" authorId="0" shapeId="0" xr:uid="{0CE2C917-F57A-46F3-B086-ABAD5952AEB5}">
      <text>
        <r>
          <rPr>
            <b/>
            <sz val="9"/>
            <color indexed="81"/>
            <rFont val="Tahoma"/>
            <family val="2"/>
          </rPr>
          <t>Dominic Chan:
- use interface that is talking BGP</t>
        </r>
        <r>
          <rPr>
            <sz val="9"/>
            <color indexed="81"/>
            <rFont val="Tahoma"/>
            <family val="2"/>
          </rPr>
          <t xml:space="preserve">
</t>
        </r>
      </text>
    </comment>
    <comment ref="C5" authorId="0" shapeId="0" xr:uid="{DE5A5240-51E9-4C2B-A509-5EF5230BFDA0}">
      <text>
        <r>
          <rPr>
            <b/>
            <sz val="9"/>
            <color indexed="81"/>
            <rFont val="Tahoma"/>
            <family val="2"/>
          </rPr>
          <t>Author:</t>
        </r>
        <r>
          <rPr>
            <sz val="9"/>
            <color indexed="81"/>
            <rFont val="Tahoma"/>
            <family val="2"/>
          </rPr>
          <t xml:space="preserve">
- north bound interface IP to uplink LIF (e.g. transit)</t>
        </r>
      </text>
    </comment>
    <comment ref="D5" authorId="0" shapeId="0" xr:uid="{806415A2-6336-4501-9835-DA9D44E47998}">
      <text>
        <r>
          <rPr>
            <b/>
            <sz val="9"/>
            <color indexed="81"/>
            <rFont val="Tahoma"/>
            <family val="2"/>
          </rPr>
          <t>Author:</t>
        </r>
        <r>
          <rPr>
            <sz val="9"/>
            <color indexed="81"/>
            <rFont val="Tahoma"/>
            <family val="2"/>
          </rPr>
          <t xml:space="preserve">
- IP address of the neighbor (ESG), or the address to the south bound interface on the ESG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1" authorId="0" shapeId="0" xr:uid="{00000000-0006-0000-0400-000001000000}">
      <text>
        <r>
          <rPr>
            <b/>
            <sz val="9"/>
            <color indexed="81"/>
            <rFont val="Tahoma"/>
            <family val="2"/>
          </rPr>
          <t>Author:</t>
        </r>
        <r>
          <rPr>
            <sz val="9"/>
            <color indexed="81"/>
            <rFont val="Tahoma"/>
            <family val="2"/>
          </rPr>
          <t xml:space="preserve">
Currently only 1 VNIC is supported</t>
        </r>
      </text>
    </comment>
    <comment ref="E4" authorId="0" shapeId="0" xr:uid="{ECF862CF-E2C5-4AFD-873D-D3DCAB497B61}">
      <text>
        <r>
          <rPr>
            <b/>
            <sz val="9"/>
            <color indexed="81"/>
            <rFont val="Tahoma"/>
            <family val="2"/>
          </rPr>
          <t>Author:</t>
        </r>
        <r>
          <rPr>
            <sz val="9"/>
            <color indexed="81"/>
            <rFont val="Tahoma"/>
            <family val="2"/>
          </rPr>
          <t xml:space="preserve">
Logical Switch or Distributed Portgroup</t>
        </r>
      </text>
    </comment>
    <comment ref="A11" authorId="0" shapeId="0" xr:uid="{9D63E993-D140-4233-B03E-37A0ED9B587B}">
      <text>
        <r>
          <rPr>
            <b/>
            <sz val="9"/>
            <color indexed="81"/>
            <rFont val="Tahoma"/>
            <family val="2"/>
          </rPr>
          <t>Dominic Chan:
- use interface that is talking BGP</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1" authorId="0" shapeId="0" xr:uid="{B04A1852-A7AB-42D5-9EDA-A6428DA4508D}">
      <text>
        <r>
          <rPr>
            <b/>
            <sz val="9"/>
            <color indexed="81"/>
            <rFont val="Tahoma"/>
            <family val="2"/>
          </rPr>
          <t>Author:</t>
        </r>
        <r>
          <rPr>
            <sz val="9"/>
            <color indexed="81"/>
            <rFont val="Tahoma"/>
            <family val="2"/>
          </rPr>
          <t xml:space="preserve">
Currently only 1 VNIC is supported</t>
        </r>
      </text>
    </comment>
    <comment ref="E4" authorId="0" shapeId="0" xr:uid="{EF0C3DCE-E675-482F-87F3-D7D1F21CB197}">
      <text>
        <r>
          <rPr>
            <b/>
            <sz val="9"/>
            <color indexed="81"/>
            <rFont val="Tahoma"/>
            <family val="2"/>
          </rPr>
          <t>Author:</t>
        </r>
        <r>
          <rPr>
            <sz val="9"/>
            <color indexed="81"/>
            <rFont val="Tahoma"/>
            <family val="2"/>
          </rPr>
          <t xml:space="preserve">
Logical Switch or Distributed Portgroup</t>
        </r>
      </text>
    </comment>
  </commentList>
</comments>
</file>

<file path=xl/sharedStrings.xml><?xml version="1.0" encoding="utf-8"?>
<sst xmlns="http://schemas.openxmlformats.org/spreadsheetml/2006/main" count="1009" uniqueCount="524">
  <si>
    <t>NSX Manager information</t>
  </si>
  <si>
    <t>Name</t>
  </si>
  <si>
    <t>vSphere Cluster Name</t>
  </si>
  <si>
    <t>Network</t>
  </si>
  <si>
    <t>Datastore</t>
  </si>
  <si>
    <t>vSphere Folder</t>
  </si>
  <si>
    <t>CLI Password</t>
  </si>
  <si>
    <t>Hostname</t>
  </si>
  <si>
    <t>IP Address</t>
  </si>
  <si>
    <t>Netmask</t>
  </si>
  <si>
    <t>Gateway IP</t>
  </si>
  <si>
    <t>DNS Server</t>
  </si>
  <si>
    <t>DNS Domain</t>
  </si>
  <si>
    <t>NTP Server</t>
  </si>
  <si>
    <t>Deployment information</t>
  </si>
  <si>
    <t>vCenter IP</t>
  </si>
  <si>
    <t>vCenter Login</t>
  </si>
  <si>
    <t>vCenter Password</t>
  </si>
  <si>
    <t>255.255.255.0</t>
  </si>
  <si>
    <t>administrator@vsphere.local</t>
  </si>
  <si>
    <r>
      <t xml:space="preserve">The </t>
    </r>
    <r>
      <rPr>
        <b/>
        <sz val="11"/>
        <color theme="1"/>
        <rFont val="Calibri"/>
        <family val="2"/>
        <scheme val="minor"/>
      </rPr>
      <t>vCenter Connection Information</t>
    </r>
    <r>
      <rPr>
        <sz val="11"/>
        <color theme="1"/>
        <rFont val="Calibri"/>
        <family val="2"/>
        <scheme val="minor"/>
      </rPr>
      <t xml:space="preserve"> can be different from the </t>
    </r>
    <r>
      <rPr>
        <b/>
        <sz val="11"/>
        <color theme="1"/>
        <rFont val="Calibri"/>
        <family val="2"/>
        <scheme val="minor"/>
      </rPr>
      <t>Deployment Information</t>
    </r>
    <r>
      <rPr>
        <sz val="11"/>
        <color theme="1"/>
        <rFont val="Calibri"/>
        <family val="2"/>
        <scheme val="minor"/>
      </rPr>
      <t xml:space="preserve"> if the NSX Manager is not being deployed in the same vCenter as it will connect to (think nested environments).</t>
    </r>
  </si>
  <si>
    <t>Notes</t>
  </si>
  <si>
    <t>NSX Controllers information</t>
  </si>
  <si>
    <t>Gateway</t>
  </si>
  <si>
    <t>Prefix</t>
  </si>
  <si>
    <t>DNS Server 1</t>
  </si>
  <si>
    <t>DNS Server 2</t>
  </si>
  <si>
    <t>DNS Suffix</t>
  </si>
  <si>
    <t>IPP_NSX_Controllers</t>
  </si>
  <si>
    <t>vSphere Cluster</t>
  </si>
  <si>
    <t>Cluster</t>
  </si>
  <si>
    <t xml:space="preserve">DVSwitch Portgroup </t>
  </si>
  <si>
    <t>Controller Password</t>
  </si>
  <si>
    <t>Controllers</t>
  </si>
  <si>
    <t>NSX</t>
  </si>
  <si>
    <t>vSphere Distributed Switch</t>
  </si>
  <si>
    <t>IPP_NSX_VXLAN</t>
  </si>
  <si>
    <t>Purpose</t>
  </si>
  <si>
    <t>VXLAN</t>
  </si>
  <si>
    <t>VLAN ID</t>
  </si>
  <si>
    <t>VTEP Count</t>
  </si>
  <si>
    <t>Virtual Machine Name</t>
  </si>
  <si>
    <t>Segment ID Pool Begin</t>
  </si>
  <si>
    <t>Segment ID Pool End</t>
  </si>
  <si>
    <t>Multicast Range Begin</t>
  </si>
  <si>
    <t>Multicast Range End</t>
  </si>
  <si>
    <t>239.0.1.1</t>
  </si>
  <si>
    <t>Transport Zone</t>
  </si>
  <si>
    <t>Mode</t>
  </si>
  <si>
    <t>TZ_Testlab</t>
  </si>
  <si>
    <t>Description (optional)</t>
  </si>
  <si>
    <t>Web</t>
  </si>
  <si>
    <t>App</t>
  </si>
  <si>
    <t>DB</t>
  </si>
  <si>
    <t>Webservers</t>
  </si>
  <si>
    <t>Application servers</t>
  </si>
  <si>
    <t>Database servers</t>
  </si>
  <si>
    <t>FAILOVER_ORDER</t>
  </si>
  <si>
    <t>Uplink Failover Mode</t>
  </si>
  <si>
    <t>MTU Size</t>
  </si>
  <si>
    <t>Edge Name</t>
  </si>
  <si>
    <t>Password</t>
  </si>
  <si>
    <t>Form Factor</t>
  </si>
  <si>
    <t>Yes</t>
  </si>
  <si>
    <t>No</t>
  </si>
  <si>
    <t>VNIC0 Name</t>
  </si>
  <si>
    <t>VNIC0 IP Address</t>
  </si>
  <si>
    <t>VNIC0 IP Prefix</t>
  </si>
  <si>
    <t>compact</t>
  </si>
  <si>
    <t>large</t>
  </si>
  <si>
    <t>xlarge</t>
  </si>
  <si>
    <t>quadlarge</t>
  </si>
  <si>
    <t>Edge Form Factors</t>
  </si>
  <si>
    <t>test-edge-1</t>
  </si>
  <si>
    <t>Uplink</t>
  </si>
  <si>
    <t>VNIC PortGroup</t>
  </si>
  <si>
    <t>DLR Name</t>
  </si>
  <si>
    <t>Management PortGroup</t>
  </si>
  <si>
    <t>The installation script is not forgiving when it comes to the configuration in this Excel file. Make sure you fill everything out and don't move any cells around. Anything not in bold is a configuration parameter</t>
  </si>
  <si>
    <t>239.0.200.254</t>
  </si>
  <si>
    <t>License</t>
  </si>
  <si>
    <t>192.168.10.51</t>
  </si>
  <si>
    <t>192.168.10.2</t>
  </si>
  <si>
    <t>192.168.30.2</t>
  </si>
  <si>
    <t>VMware1!</t>
  </si>
  <si>
    <t>tataoui.com</t>
  </si>
  <si>
    <t>SSD_VM</t>
  </si>
  <si>
    <t>vSphere-Host-Cluster</t>
  </si>
  <si>
    <t>Management Network</t>
  </si>
  <si>
    <t>pool.ntp.org</t>
  </si>
  <si>
    <t>vmk0</t>
  </si>
  <si>
    <t>192.168.10.21</t>
  </si>
  <si>
    <t>vtep - vmk1</t>
  </si>
  <si>
    <t>192.168.11.22</t>
  </si>
  <si>
    <t>vmnic0, vmnic1</t>
  </si>
  <si>
    <t>UI Password</t>
  </si>
  <si>
    <t>vCPU</t>
  </si>
  <si>
    <t>vMem</t>
  </si>
  <si>
    <t>192.168.15.1</t>
  </si>
  <si>
    <t>192.168.10.35</t>
  </si>
  <si>
    <t>192.168.10.39</t>
  </si>
  <si>
    <t>192.168.15.20</t>
  </si>
  <si>
    <t>192.168.15.23</t>
  </si>
  <si>
    <t>SSH Enable</t>
  </si>
  <si>
    <t>CEIP Enable</t>
  </si>
  <si>
    <t>nsx64-8</t>
  </si>
  <si>
    <t>nsx64.tataoui.com</t>
  </si>
  <si>
    <t>VMw@re123!NSX</t>
  </si>
  <si>
    <t>VDS-6.7</t>
  </si>
  <si>
    <t>UNICAST_MODE</t>
  </si>
  <si>
    <t>Logical Switch Name</t>
  </si>
  <si>
    <t>1M2V5-8A241-Q8079-0JA2K-152PL</t>
  </si>
  <si>
    <t># of Controllers</t>
  </si>
  <si>
    <t>NSX VXLAN Cluster</t>
  </si>
  <si>
    <t>Start Address</t>
  </si>
  <si>
    <t>End Address</t>
  </si>
  <si>
    <t>High Availability</t>
  </si>
  <si>
    <t>Transit</t>
  </si>
  <si>
    <t>show ip bgp neighbors summary</t>
  </si>
  <si>
    <t>https://www.slimjet.com/chrome/google-chrome-old-version.php</t>
  </si>
  <si>
    <t>10.10.20.2</t>
  </si>
  <si>
    <t>Transit2</t>
  </si>
  <si>
    <t>Interface Name</t>
  </si>
  <si>
    <t>Interface Address</t>
  </si>
  <si>
    <t>Subnet Prefix</t>
  </si>
  <si>
    <t>Logical Switch</t>
  </si>
  <si>
    <t>10.10.11.1</t>
  </si>
  <si>
    <t>10.10.12.1</t>
  </si>
  <si>
    <t>Distributed Logical Routers Internal Interface</t>
  </si>
  <si>
    <t>Route ID</t>
  </si>
  <si>
    <t>Tenant</t>
  </si>
  <si>
    <t>Tataoui</t>
  </si>
  <si>
    <t>Protocol Address</t>
  </si>
  <si>
    <t>Forwarding Address</t>
  </si>
  <si>
    <t>Local AS</t>
  </si>
  <si>
    <t>10.10.20.4</t>
  </si>
  <si>
    <t>Remote AS</t>
  </si>
  <si>
    <t>KeepAlive</t>
  </si>
  <si>
    <t>HoldDown</t>
  </si>
  <si>
    <t>10.10.20.3</t>
  </si>
  <si>
    <t>DLR routing configuration</t>
  </si>
  <si>
    <t>Virtual machines that are exempt from NSX Distributed Firewall</t>
  </si>
  <si>
    <t>Distributed Firewall Exclusion List</t>
  </si>
  <si>
    <t>10.10.10.4</t>
  </si>
  <si>
    <t>Enable SSH</t>
  </si>
  <si>
    <t>HA Dead Time</t>
  </si>
  <si>
    <t>VNIC0 IP Address2</t>
  </si>
  <si>
    <t>VNIC0 MTU</t>
  </si>
  <si>
    <t>Enable Firewall</t>
  </si>
  <si>
    <t>Auto Generate Rules</t>
  </si>
  <si>
    <t>Firewall Logging</t>
  </si>
  <si>
    <t>Default Policy Allow</t>
  </si>
  <si>
    <t>Enabled Syslog</t>
  </si>
  <si>
    <t>Syslog Server</t>
  </si>
  <si>
    <t>Syslog Protocol</t>
  </si>
  <si>
    <t>TCP</t>
  </si>
  <si>
    <t>Edge Service Gateway Internal Interface</t>
  </si>
  <si>
    <t>syslog.tataoui.com</t>
  </si>
  <si>
    <t>10.10.13.1</t>
  </si>
  <si>
    <t>10.10.10.2</t>
  </si>
  <si>
    <t>10.10.10.3</t>
  </si>
  <si>
    <t>ESG routing configuration</t>
  </si>
  <si>
    <t>Default Gateway</t>
  </si>
  <si>
    <t>vNic</t>
  </si>
  <si>
    <t>Admin Distance</t>
  </si>
  <si>
    <t>Path</t>
  </si>
  <si>
    <t>Description</t>
  </si>
  <si>
    <t>D:\VMware\VMware-VCSA-all-6.7.0-15132721</t>
  </si>
  <si>
    <t>D:\VMware\ova\VMware-NSX-Manager-6.4.9-17267008.ova</t>
  </si>
  <si>
    <t>D:\VMware\ova\VMware NSX-T Data Center 2.5.2.2\nsx-unified-appliance-2.5.2.2.0.17003656.ova</t>
  </si>
  <si>
    <t>D:\VMware\ova\VMware NSX-T Data Center 2.5.2.2\nsx-edge-2.5.2.2.0.17003662.ova</t>
  </si>
  <si>
    <t>6.4.9</t>
  </si>
  <si>
    <t>2.5.2.2</t>
  </si>
  <si>
    <t>$NSX_Mgr_OVA</t>
  </si>
  <si>
    <t>$NSXTManagerOVA</t>
  </si>
  <si>
    <t>$NSXTEdgeOVA</t>
  </si>
  <si>
    <t>$VCSAInstallerPath</t>
  </si>
  <si>
    <t>VMware NSX-T Manager</t>
  </si>
  <si>
    <t>VMware NSX-T Edge</t>
  </si>
  <si>
    <t>VirtualSwitchType</t>
  </si>
  <si>
    <t>VCSA_VM_Network</t>
  </si>
  <si>
    <t>VCSA_VM_Subnet</t>
  </si>
  <si>
    <t>VCSA_VM_GW</t>
  </si>
  <si>
    <t>VCSA_VM_DNS</t>
  </si>
  <si>
    <t>VCSA_VM_NTP</t>
  </si>
  <si>
    <t>VCSA_VM_Password</t>
  </si>
  <si>
    <t>VCSA_VM_Domain</t>
  </si>
  <si>
    <t>VCSA_VM_Syslog</t>
  </si>
  <si>
    <t>VCSA_VM_DS</t>
  </si>
  <si>
    <t>VCSA_Datacenter</t>
  </si>
  <si>
    <t>VCSA_Cluster</t>
  </si>
  <si>
    <t>DeployVDS</t>
  </si>
  <si>
    <t>VDS_Name</t>
  </si>
  <si>
    <t>VDS_Mgmt_Net</t>
  </si>
  <si>
    <t>VDS_VM_Net</t>
  </si>
  <si>
    <t>VDS_Trunk_Net</t>
  </si>
  <si>
    <t>DeployNSX</t>
  </si>
  <si>
    <t>PrivateVXLAN</t>
  </si>
  <si>
    <t>VXLAN_DVPortgroup</t>
  </si>
  <si>
    <t>VXLAN_Subnet</t>
  </si>
  <si>
    <t>VXLAN_Mask</t>
  </si>
  <si>
    <t>SetupNewVC</t>
  </si>
  <si>
    <t>SetupVXLAN</t>
  </si>
  <si>
    <t>ConfigureNSX</t>
  </si>
  <si>
    <t>root</t>
  </si>
  <si>
    <t>0-4094</t>
  </si>
  <si>
    <t>tiny</t>
  </si>
  <si>
    <t>vsphere.local</t>
  </si>
  <si>
    <t>VSS</t>
  </si>
  <si>
    <t>VM Network</t>
  </si>
  <si>
    <t>Datacenter-HQ</t>
  </si>
  <si>
    <t>Trunk Network</t>
  </si>
  <si>
    <t>dv-private-network</t>
  </si>
  <si>
    <t>172.16.66.</t>
  </si>
  <si>
    <t>Repo</t>
  </si>
  <si>
    <t>F:\ISO</t>
  </si>
  <si>
    <t>Content Library</t>
  </si>
  <si>
    <t>Content Library Enable</t>
  </si>
  <si>
    <t>Content Library Name</t>
  </si>
  <si>
    <t>Content Library Datastore</t>
  </si>
  <si>
    <t>ISO Path to Upload</t>
  </si>
  <si>
    <t>VCSA Deployment Options</t>
  </si>
  <si>
    <t>VCSA Deployment Target</t>
  </si>
  <si>
    <t>ESX Host</t>
  </si>
  <si>
    <t>ESX Username</t>
  </si>
  <si>
    <t>ESX Password</t>
  </si>
  <si>
    <t>Deployment Target</t>
  </si>
  <si>
    <t>VCSA Configuration</t>
  </si>
  <si>
    <t>VCSA Resource Location</t>
  </si>
  <si>
    <t>SMTP Server</t>
  </si>
  <si>
    <t>SMTP Port</t>
  </si>
  <si>
    <t>SMTP Username</t>
  </si>
  <si>
    <t>SMTP Password</t>
  </si>
  <si>
    <t>Recipient</t>
  </si>
  <si>
    <t>smtp.office365.com</t>
  </si>
  <si>
    <t>dominic.chan@tataoui.com</t>
  </si>
  <si>
    <t>dwchan69@gmail.com</t>
  </si>
  <si>
    <t>VCSA Hostname</t>
  </si>
  <si>
    <t>VCSA IP Address</t>
  </si>
  <si>
    <t>VCSA Size</t>
  </si>
  <si>
    <t>VCSA Display Name</t>
  </si>
  <si>
    <t>VCSA Subnet Prefix</t>
  </si>
  <si>
    <t>VCSA Domain</t>
  </si>
  <si>
    <t>VCSA SSO SiteName</t>
  </si>
  <si>
    <t>VCSA SSO Password</t>
  </si>
  <si>
    <t>VCSA Root Password</t>
  </si>
  <si>
    <t>VCSA Enable SSH</t>
  </si>
  <si>
    <t>Management VLAN</t>
  </si>
  <si>
    <t>Trunk VLAN</t>
  </si>
  <si>
    <t>Virtual Machine VLAN</t>
  </si>
  <si>
    <t>VDS Configuration</t>
  </si>
  <si>
    <t>Pre Check VCSA Source</t>
  </si>
  <si>
    <t>Option to review Settings</t>
  </si>
  <si>
    <t/>
  </si>
  <si>
    <t>Pop up console</t>
  </si>
  <si>
    <t>Deploy VCSA OVA</t>
  </si>
  <si>
    <t>Add ESX Host by DNS</t>
  </si>
  <si>
    <t>Enable vMotion</t>
  </si>
  <si>
    <t>Add ESXi Hosts to VC</t>
  </si>
  <si>
    <t>$PrivateVXLANVMNetwork</t>
  </si>
  <si>
    <t>$VXLANDVPortgroup</t>
  </si>
  <si>
    <t>$VXLANSubnet</t>
  </si>
  <si>
    <t>$VXLANNetmask</t>
  </si>
  <si>
    <t>Services to Deploy</t>
  </si>
  <si>
    <t>Number of DLR</t>
  </si>
  <si>
    <t>Number of ESG</t>
  </si>
  <si>
    <t>VCSA Sizes</t>
  </si>
  <si>
    <t>small</t>
  </si>
  <si>
    <t>medium</t>
  </si>
  <si>
    <t>forwarding address, interface to uplink LIF</t>
  </si>
  <si>
    <t>ip address - ip address of the neighbor (ESG), or the address to the south bound interface on the ESG</t>
  </si>
  <si>
    <t>Protocol Address - only seem with vmware</t>
  </si>
  <si>
    <t>RouteID - use interface that is talking BGP</t>
  </si>
  <si>
    <t>ESXHostname</t>
  </si>
  <si>
    <t>HostIP</t>
  </si>
  <si>
    <t>HostSubnet</t>
  </si>
  <si>
    <t>HostGW</t>
  </si>
  <si>
    <t>HostMgmtVLAN</t>
  </si>
  <si>
    <t>HostDNS1</t>
  </si>
  <si>
    <t>HostDNS2</t>
  </si>
  <si>
    <t>HostPW</t>
  </si>
  <si>
    <t>DriveHW</t>
  </si>
  <si>
    <t>HostDomain</t>
  </si>
  <si>
    <t>LocalUser</t>
  </si>
  <si>
    <t>LocalPW</t>
  </si>
  <si>
    <t>VCSAIPAddr</t>
  </si>
  <si>
    <t>ListOfPhysicalDrives</t>
  </si>
  <si>
    <t>esx01.tataoui.com</t>
  </si>
  <si>
    <t>192.168.10.20</t>
  </si>
  <si>
    <t>192.168.30.3</t>
  </si>
  <si>
    <t>mpx.vmhba33:C0:T0:L0</t>
  </si>
  <si>
    <t>dwcadmin</t>
  </si>
  <si>
    <t>SATA_SSD-SSD_VM_AD Samsung-SSD_VM_VMware TOSHIBA-HDD_VM</t>
  </si>
  <si>
    <t>esx02.tataoui.com</t>
  </si>
  <si>
    <t>SATA_SSD-SSD_VM Samsung-SSD_VSAN HGST-HDD_VSAN</t>
  </si>
  <si>
    <t>esx03.tataoui.com</t>
  </si>
  <si>
    <t>SATA_SSD-SSD_VM Samsung-SSD_VSAN HITACHI-HDD_VSAN</t>
  </si>
  <si>
    <t>esx04.tataoui.com</t>
  </si>
  <si>
    <t>192.168.10.23</t>
  </si>
  <si>
    <t>Manage ESX Hosts</t>
  </si>
  <si>
    <t>IP assign to NSX Controllers</t>
  </si>
  <si>
    <t>IP assign to VTEP on ESX hosts</t>
  </si>
  <si>
    <t>Workload</t>
  </si>
  <si>
    <t>Test-DLR</t>
  </si>
  <si>
    <t>VMware1!VMware1!</t>
  </si>
  <si>
    <t>Test-DLR2</t>
  </si>
  <si>
    <t>DLR 1 Uplinks</t>
  </si>
  <si>
    <t>DLR 2 Uplinks</t>
  </si>
  <si>
    <t>172.16.10.21</t>
  </si>
  <si>
    <t>172.16.10.22</t>
  </si>
  <si>
    <t>$NestedESXiApplianceOVA</t>
  </si>
  <si>
    <t>D:\VMware\ova\Nested_ESXi6.7u3_Appliance_Template_v1.ova</t>
  </si>
  <si>
    <t>6.3.7</t>
  </si>
  <si>
    <t>D:\VMware\ova\VMware-NSX-Manager-6.3.7-10667122.ova</t>
  </si>
  <si>
    <t>Workloads</t>
  </si>
  <si>
    <t>Manager</t>
  </si>
  <si>
    <t>Worker</t>
  </si>
  <si>
    <t>6.4.5</t>
  </si>
  <si>
    <t>D:\VMware\ova\VMware-NSX-Manager-6.4.5-13282012.ova</t>
  </si>
  <si>
    <t>Physical Host</t>
  </si>
  <si>
    <t>Nested_Hostname</t>
  </si>
  <si>
    <t>Nested_CPU</t>
  </si>
  <si>
    <t>Nested_Mem</t>
  </si>
  <si>
    <t>Nested_CacheDisk</t>
  </si>
  <si>
    <t>Nested_IP</t>
  </si>
  <si>
    <t>Nested_Subnet</t>
  </si>
  <si>
    <t>Nested_GW</t>
  </si>
  <si>
    <t>Nested_MgmtVLAN</t>
  </si>
  <si>
    <t>Nested_DNS1</t>
  </si>
  <si>
    <t>Nested_DNS2</t>
  </si>
  <si>
    <t>Nested_PW</t>
  </si>
  <si>
    <t>Nested_Domain</t>
  </si>
  <si>
    <t>Nested_LocalPW</t>
  </si>
  <si>
    <t>Nested_LocalUser</t>
  </si>
  <si>
    <t>Nested_CapacityDisk</t>
  </si>
  <si>
    <t>$NestedESXiApplianceOVF</t>
  </si>
  <si>
    <t>7.0U1</t>
  </si>
  <si>
    <t>ESXi 7.0 Update 1 Virtual Appliance</t>
  </si>
  <si>
    <t>ESXi 6.7 Update 3 Virtual Appliance</t>
  </si>
  <si>
    <t>6.7U3</t>
  </si>
  <si>
    <t>ESXi 7.0 Virtual Appliance</t>
  </si>
  <si>
    <t>D:\VMware\ova\Nested_ESXi7.0u1_Appliance_Template_v1.ova</t>
  </si>
  <si>
    <t>VCSA Version</t>
  </si>
  <si>
    <t>Version</t>
  </si>
  <si>
    <t>D:\VMware\ova\Nested_ESXi6.7u3_Appliance_Template_v1\Nested_ESXi6.7u3_Appliance_Template_v1.ovf</t>
  </si>
  <si>
    <t>File Type</t>
  </si>
  <si>
    <t>OVF</t>
  </si>
  <si>
    <t>OVA</t>
  </si>
  <si>
    <t>D:\VMware\ova\Nested_ESXi7.0_Appliance_Template_v1\Nested_ESXi7.0_Appliance_Template_v1.ovf</t>
  </si>
  <si>
    <t>D:\VMware\ova\Nested_ESXi7.0u1_Appliance_Template_v1\Nested_ESXi7.0u1_Appliance_Template_v1.ovf</t>
  </si>
  <si>
    <t>7.0</t>
  </si>
  <si>
    <t>VMware ESX Software Repository</t>
  </si>
  <si>
    <t>ESX Versions</t>
  </si>
  <si>
    <t>VMware VCSA Software Repository</t>
  </si>
  <si>
    <t>VMware vCenter Server Appliance 7.0</t>
  </si>
  <si>
    <t>D:\VMware\VMware-VCSA-all-7.0.0</t>
  </si>
  <si>
    <t>ESX</t>
  </si>
  <si>
    <t>VCSA</t>
  </si>
  <si>
    <t>VMware vCenter Server Appliance 7.0 Update 1</t>
  </si>
  <si>
    <t>VMware vCenter Server Appliance 6.7 Update 3</t>
  </si>
  <si>
    <t>ISO</t>
  </si>
  <si>
    <t>D:\VMware\VMware-VCSA-all-7.0.1</t>
  </si>
  <si>
    <t>VMware NSX-V Manager 6.3.7</t>
  </si>
  <si>
    <t>VMware NSX-V Manager 6.4.5</t>
  </si>
  <si>
    <t>VMware NSX-V Manager 6.4.9</t>
  </si>
  <si>
    <t>VMware NSX-V Software Repository</t>
  </si>
  <si>
    <t>VMware NSX-T Software Repository</t>
  </si>
  <si>
    <t>NSX-V Version</t>
  </si>
  <si>
    <t>NSX-T Version</t>
  </si>
  <si>
    <t>esx201.tataoui.com</t>
  </si>
  <si>
    <t>esx202.tataoui.com</t>
  </si>
  <si>
    <t>esx203.tataoui.com</t>
  </si>
  <si>
    <t>Nested_Hidden</t>
  </si>
  <si>
    <t>NSX-T</t>
  </si>
  <si>
    <t>NSX-V</t>
  </si>
  <si>
    <t>esx301.tataoui.com</t>
  </si>
  <si>
    <t>esx302.tataoui.com</t>
  </si>
  <si>
    <t>esx303.tataoui.com</t>
  </si>
  <si>
    <t>172.16.20.20</t>
  </si>
  <si>
    <t>172.16.20.1</t>
  </si>
  <si>
    <t>172.16.20.21</t>
  </si>
  <si>
    <t>172.16.20.22</t>
  </si>
  <si>
    <t>Host_Hidden</t>
  </si>
  <si>
    <t>ManagerESXHosts</t>
  </si>
  <si>
    <t>esx401.tataoui.com</t>
  </si>
  <si>
    <t>esx402.tataoui.com</t>
  </si>
  <si>
    <t>esx403.tataoui.com</t>
  </si>
  <si>
    <t>172.16.30.20</t>
  </si>
  <si>
    <t>172.16.30.21</t>
  </si>
  <si>
    <t>172.16.30.22</t>
  </si>
  <si>
    <t>172.16.30.1</t>
  </si>
  <si>
    <t>vmnic0, vmnic1 - routable</t>
  </si>
  <si>
    <t>172.16.10.1</t>
  </si>
  <si>
    <t>172.16.10.23</t>
  </si>
  <si>
    <t>172.16.20.23</t>
  </si>
  <si>
    <t>172.16.30.23</t>
  </si>
  <si>
    <t>vcsa.tataoui.com</t>
  </si>
  <si>
    <t>vcsa20.tataoui.com</t>
  </si>
  <si>
    <t>vcsa30.tataoui.com</t>
  </si>
  <si>
    <t>Syslog</t>
  </si>
  <si>
    <t>NTP</t>
  </si>
  <si>
    <t>192.168.10.24</t>
  </si>
  <si>
    <t>VCSAHostname</t>
  </si>
  <si>
    <t>DNS 1</t>
  </si>
  <si>
    <t>DNS 2</t>
  </si>
  <si>
    <t>Domain</t>
  </si>
  <si>
    <t>iSCSI Target</t>
  </si>
  <si>
    <t>iSCSI Target Name</t>
  </si>
  <si>
    <t>CHAP</t>
  </si>
  <si>
    <t>Mutual CHAP</t>
  </si>
  <si>
    <t>ESX IP Address</t>
  </si>
  <si>
    <t>VDS_vMotion_Net</t>
  </si>
  <si>
    <t>vMotion</t>
  </si>
  <si>
    <t>esx02=192.168.10.21</t>
  </si>
  <si>
    <t>192.168.10.18</t>
  </si>
  <si>
    <t>VMware-Test</t>
  </si>
  <si>
    <t>10,20</t>
  </si>
  <si>
    <t>VDS_iSCSI_net</t>
  </si>
  <si>
    <t>iSCSI Network</t>
  </si>
  <si>
    <t>Nested_vMotion_IP</t>
  </si>
  <si>
    <t>172.16.11.21</t>
  </si>
  <si>
    <t>172.16.11.22</t>
  </si>
  <si>
    <t>172.16.11.23</t>
  </si>
  <si>
    <t>172.16.21.22</t>
  </si>
  <si>
    <t>172.16.21.23</t>
  </si>
  <si>
    <t>172.16.31.21</t>
  </si>
  <si>
    <t>172.16.31.22</t>
  </si>
  <si>
    <t>172.16.31.23</t>
  </si>
  <si>
    <t>NSX Password</t>
  </si>
  <si>
    <t>VCSA Password</t>
  </si>
  <si>
    <t>vMotion IP</t>
  </si>
  <si>
    <t>iSCSI IP</t>
  </si>
  <si>
    <t>HostvMotionIP</t>
  </si>
  <si>
    <t>HostiSCSIIP</t>
  </si>
  <si>
    <t>192.168.15.21</t>
  </si>
  <si>
    <t>192.168.15.24</t>
  </si>
  <si>
    <t>192.168.200.21</t>
  </si>
  <si>
    <t>192.168.200.23</t>
  </si>
  <si>
    <t>192.168.200.24</t>
  </si>
  <si>
    <t>192.168.10.31</t>
  </si>
  <si>
    <t>ManagevMotionIP</t>
  </si>
  <si>
    <t>ManageiSCSIIP</t>
  </si>
  <si>
    <t>iSCSI Enable</t>
  </si>
  <si>
    <t>vMotion VLAN</t>
  </si>
  <si>
    <t>iSCSI VLAN</t>
  </si>
  <si>
    <t>172.16.21.21</t>
  </si>
  <si>
    <t>vSAN VLAN</t>
  </si>
  <si>
    <t>VM VLAN</t>
  </si>
  <si>
    <t>DVS</t>
  </si>
  <si>
    <t>192.168.200.22</t>
  </si>
  <si>
    <t>Management</t>
  </si>
  <si>
    <t>VM</t>
  </si>
  <si>
    <t>vcsa10.tataoui.com</t>
  </si>
  <si>
    <t>172.16.10.20</t>
  </si>
  <si>
    <t>HostvMotionVLAN</t>
  </si>
  <si>
    <t>172.16.12.21</t>
  </si>
  <si>
    <t>172.16.12.22</t>
  </si>
  <si>
    <t>172.16.12.23</t>
  </si>
  <si>
    <t>HostiSCSIVLAN</t>
  </si>
  <si>
    <t>HostTrunkVLAN</t>
  </si>
  <si>
    <t>0 - 4094</t>
  </si>
  <si>
    <t>30,40,50,60</t>
  </si>
  <si>
    <t>HostvSANIP</t>
  </si>
  <si>
    <t>HostvSANVLAN</t>
  </si>
  <si>
    <t>HostTrunk2VLAN</t>
  </si>
  <si>
    <t>HostTrunk1VLAN</t>
  </si>
  <si>
    <t>HostVMVLAN</t>
  </si>
  <si>
    <t>Trunk 1</t>
  </si>
  <si>
    <t>Trunk 2</t>
  </si>
  <si>
    <t>VLAN Trunk</t>
  </si>
  <si>
    <t>vSAN Portgroup Name</t>
  </si>
  <si>
    <t>vMotion Portgroup Name</t>
  </si>
  <si>
    <t>Mgmt Portgroup Name</t>
  </si>
  <si>
    <t>VM Portgroup Name</t>
  </si>
  <si>
    <t>iSCSI Portgroup Name</t>
  </si>
  <si>
    <t>Trunk Portgroup Name</t>
  </si>
  <si>
    <t>vSAN</t>
  </si>
  <si>
    <t>iSCSI</t>
  </si>
  <si>
    <t>VLAN Back</t>
  </si>
  <si>
    <t>Host Management IP</t>
  </si>
  <si>
    <t>Trunk1 Portgroup Name</t>
  </si>
  <si>
    <t>Trunk2 Portgroup Name</t>
  </si>
  <si>
    <t>vMotion_VLAN</t>
  </si>
  <si>
    <t>vMotion_IP</t>
  </si>
  <si>
    <t>Mgmt_VLAN</t>
  </si>
  <si>
    <t>vSAN_IP</t>
  </si>
  <si>
    <t>vSAN_VLAN</t>
  </si>
  <si>
    <t>VM_VLAN</t>
  </si>
  <si>
    <t>iSCSI_VLAN</t>
  </si>
  <si>
    <t>172.16.22.21</t>
  </si>
  <si>
    <t>172.16.22.22</t>
  </si>
  <si>
    <t>172.16.22.23</t>
  </si>
  <si>
    <t>Date</t>
  </si>
  <si>
    <t>Mon 22</t>
  </si>
  <si>
    <t>Tue 23</t>
  </si>
  <si>
    <t>Wed 24</t>
  </si>
  <si>
    <t>Thu 25</t>
  </si>
  <si>
    <t>Fri 26</t>
  </si>
  <si>
    <t>Non-Project</t>
  </si>
  <si>
    <t>Admin</t>
  </si>
  <si>
    <t>Sales Support</t>
  </si>
  <si>
    <t>Wells Fargo</t>
  </si>
  <si>
    <t>Project</t>
  </si>
  <si>
    <t>NSX-T Manager information</t>
  </si>
  <si>
    <t>nsxt30.tataoui.com</t>
  </si>
  <si>
    <t>NSX Manager</t>
  </si>
  <si>
    <t>Role Name</t>
  </si>
  <si>
    <t>Deployment Size</t>
  </si>
  <si>
    <t>Small</t>
  </si>
  <si>
    <t>Root Login  Enable</t>
  </si>
  <si>
    <t>Root Password</t>
  </si>
  <si>
    <t>Admin Username</t>
  </si>
  <si>
    <t>admin</t>
  </si>
  <si>
    <t>Admin Password</t>
  </si>
  <si>
    <t>Audit Username</t>
  </si>
  <si>
    <t>Audit Password</t>
  </si>
  <si>
    <t>audit</t>
  </si>
  <si>
    <t>Setup New VCSA</t>
  </si>
  <si>
    <t>Move VM to vAPP</t>
  </si>
  <si>
    <t>vApp Name</t>
  </si>
  <si>
    <t>VCSA Folders</t>
  </si>
  <si>
    <t>dwc</t>
  </si>
  <si>
    <t>vApp Test</t>
  </si>
  <si>
    <t>VCSA - Mgmt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</si>
</sst>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b/>
      <sz val="12"/>
      <name val="Calibri"/>
      <family val="2"/>
      <scheme val="minor"/>
    </font>
    <font>
      <b/>
      <sz val="14"/>
      <color theme="1"/>
      <name val="Calibri"/>
      <family val="2"/>
      <scheme val="minor"/>
    </font>
    <font>
      <sz val="8"/>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7"/>
        <bgColor indexed="64"/>
      </patternFill>
    </fill>
    <fill>
      <patternFill patternType="solid">
        <fgColor theme="9" tint="0.39997558519241921"/>
        <bgColor indexed="64"/>
      </patternFill>
    </fill>
    <fill>
      <patternFill patternType="solid">
        <fgColor rgb="FFFFFFCC"/>
        <bgColor indexed="64"/>
      </patternFill>
    </fill>
  </fills>
  <borders count="8">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op>
      <bottom style="thin">
        <color theme="0"/>
      </bottom>
      <diagonal/>
    </border>
    <border>
      <left/>
      <right/>
      <top style="thin">
        <color indexed="64"/>
      </top>
      <bottom/>
      <diagonal/>
    </border>
    <border>
      <left/>
      <right/>
      <top style="thin">
        <color theme="1"/>
      </top>
      <bottom style="thin">
        <color theme="0"/>
      </bottom>
      <diagonal/>
    </border>
    <border>
      <left style="thin">
        <color theme="9"/>
      </left>
      <right style="thin">
        <color theme="9"/>
      </right>
      <top style="thin">
        <color indexed="64"/>
      </top>
      <bottom style="thin">
        <color indexed="64"/>
      </bottom>
      <diagonal/>
    </border>
    <border>
      <left style="thin">
        <color theme="9"/>
      </left>
      <right style="thin">
        <color theme="9"/>
      </right>
      <top/>
      <bottom style="thin">
        <color indexed="64"/>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xf numFmtId="0" fontId="1" fillId="0" borderId="0" xfId="0" applyFont="1"/>
    <xf numFmtId="0" fontId="2" fillId="0" borderId="0" xfId="1"/>
    <xf numFmtId="0" fontId="0" fillId="0" borderId="0" xfId="0" applyFont="1"/>
    <xf numFmtId="0" fontId="0" fillId="0" borderId="0" xfId="0" applyAlignment="1">
      <alignment horizontal="right"/>
    </xf>
    <xf numFmtId="0" fontId="5" fillId="0" borderId="0" xfId="1" applyFont="1"/>
    <xf numFmtId="0" fontId="6" fillId="2" borderId="1" xfId="0" applyFont="1" applyFill="1" applyBorder="1"/>
    <xf numFmtId="0" fontId="7" fillId="3" borderId="1" xfId="0" applyFont="1" applyFill="1" applyBorder="1"/>
    <xf numFmtId="0" fontId="8" fillId="4" borderId="2" xfId="0" applyFont="1" applyFill="1" applyBorder="1"/>
    <xf numFmtId="0" fontId="7" fillId="3" borderId="1" xfId="0" applyFont="1" applyFill="1" applyBorder="1" applyAlignment="1">
      <alignment vertical="center"/>
    </xf>
    <xf numFmtId="0" fontId="0" fillId="0" borderId="0" xfId="0" applyAlignment="1">
      <alignment vertical="center"/>
    </xf>
    <xf numFmtId="0" fontId="6" fillId="2" borderId="1" xfId="0" applyFont="1" applyFill="1" applyBorder="1" applyAlignment="1">
      <alignment vertical="center"/>
    </xf>
    <xf numFmtId="0" fontId="0" fillId="0" borderId="0" xfId="0" applyAlignment="1">
      <alignment horizontal="left" vertical="center"/>
    </xf>
    <xf numFmtId="0" fontId="0" fillId="0" borderId="0" xfId="0" applyAlignment="1">
      <alignment wrapText="1"/>
    </xf>
    <xf numFmtId="0" fontId="0" fillId="0" borderId="0" xfId="0" quotePrefix="1"/>
    <xf numFmtId="0" fontId="6" fillId="2" borderId="1" xfId="0" applyFont="1" applyFill="1" applyBorder="1" applyProtection="1">
      <protection locked="0"/>
    </xf>
    <xf numFmtId="0" fontId="6" fillId="2" borderId="4" xfId="0" applyFont="1" applyFill="1" applyBorder="1"/>
    <xf numFmtId="0" fontId="7" fillId="3" borderId="3" xfId="0" applyFont="1" applyFill="1" applyBorder="1"/>
    <xf numFmtId="0" fontId="7" fillId="3" borderId="5" xfId="0" applyFont="1" applyFill="1" applyBorder="1"/>
    <xf numFmtId="0" fontId="0" fillId="0" borderId="0" xfId="0" applyAlignment="1">
      <alignment horizontal="center" vertical="center"/>
    </xf>
    <xf numFmtId="0" fontId="0" fillId="0" borderId="0" xfId="0" applyAlignment="1">
      <alignment horizontal="center"/>
    </xf>
    <xf numFmtId="0" fontId="1" fillId="0" borderId="0" xfId="0" applyFont="1" applyAlignment="1">
      <alignment horizontal="left" vertical="center"/>
    </xf>
    <xf numFmtId="49" fontId="0" fillId="0" borderId="0" xfId="0" applyNumberFormat="1" applyAlignment="1">
      <alignment horizontal="left" vertical="center"/>
    </xf>
    <xf numFmtId="0" fontId="0" fillId="5" borderId="0" xfId="0" applyFont="1" applyFill="1" applyAlignment="1">
      <alignment horizontal="left" vertical="center"/>
    </xf>
    <xf numFmtId="0" fontId="6" fillId="2" borderId="6" xfId="0" applyFont="1" applyFill="1" applyBorder="1" applyAlignment="1">
      <alignment vertical="center"/>
    </xf>
    <xf numFmtId="0" fontId="6" fillId="2" borderId="7" xfId="0" applyFont="1" applyFill="1" applyBorder="1" applyAlignment="1">
      <alignment vertical="center"/>
    </xf>
    <xf numFmtId="49" fontId="0" fillId="0" borderId="0" xfId="0" applyNumberFormat="1"/>
    <xf numFmtId="0" fontId="1" fillId="0" borderId="0" xfId="0" applyFont="1" applyProtection="1">
      <protection hidden="1"/>
    </xf>
    <xf numFmtId="0" fontId="0" fillId="0" borderId="0" xfId="0" applyProtection="1">
      <protection hidden="1"/>
    </xf>
    <xf numFmtId="0" fontId="0" fillId="0" borderId="0" xfId="0" applyAlignment="1">
      <alignment horizontal="right" vertical="center"/>
    </xf>
    <xf numFmtId="0" fontId="0" fillId="0" borderId="0" xfId="0" applyFont="1" applyAlignment="1">
      <alignment horizontal="right" vertical="center"/>
    </xf>
    <xf numFmtId="0" fontId="0" fillId="0" borderId="0" xfId="0" applyFont="1" applyAlignment="1">
      <alignment horizontal="left" vertical="center"/>
    </xf>
    <xf numFmtId="0" fontId="0" fillId="0" borderId="0" xfId="0" applyAlignment="1"/>
    <xf numFmtId="0" fontId="0" fillId="0" borderId="0" xfId="0" applyFont="1" applyAlignment="1">
      <alignment horizontal="right"/>
    </xf>
    <xf numFmtId="0" fontId="0" fillId="0" borderId="0" xfId="0" applyAlignment="1">
      <alignment vertical="center" wrapText="1"/>
    </xf>
    <xf numFmtId="0" fontId="0" fillId="0" borderId="0" xfId="0" applyAlignment="1">
      <alignment horizontal="left" vertical="center" wrapText="1"/>
    </xf>
    <xf numFmtId="0" fontId="1" fillId="0" borderId="0" xfId="0" applyFont="1" applyAlignment="1">
      <alignment vertical="center"/>
    </xf>
    <xf numFmtId="0" fontId="1" fillId="0" borderId="0" xfId="0" applyFont="1" applyAlignment="1" applyProtection="1">
      <alignment vertical="center"/>
      <protection hidden="1"/>
    </xf>
    <xf numFmtId="0" fontId="0" fillId="0" borderId="0" xfId="0" applyAlignment="1" applyProtection="1">
      <alignment vertical="center"/>
      <protection hidden="1"/>
    </xf>
  </cellXfs>
  <cellStyles count="2">
    <cellStyle name="Hyperlink" xfId="1" builtinId="8"/>
    <cellStyle name="Normal" xfId="0" builtinId="0"/>
  </cellStyles>
  <dxfs count="81">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center" textRotation="0" wrapText="0" indent="0" justifyLastLine="0" shrinkToFit="0" readingOrder="0"/>
    </dxf>
    <dxf>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2" tint="-0.249977111117893"/>
        </patternFill>
      </fill>
      <alignment horizontal="general" vertical="center" textRotation="0" wrapText="0" indent="0" justifyLastLine="0" shrinkToFit="0" readingOrder="0"/>
      <border diagonalUp="0" diagonalDown="0" outline="0">
        <left style="thin">
          <color theme="9"/>
        </left>
        <right style="thin">
          <color theme="9"/>
        </right>
        <top/>
        <bottom/>
      </border>
    </dxf>
    <dxf>
      <alignment horizontal="general" vertical="center" textRotation="0" wrapText="0" indent="0" justifyLastLine="0" shrinkToFit="0" readingOrder="0"/>
    </dxf>
    <dxf>
      <alignment horizontal="left" vertical="center" textRotation="0" wrapText="0" indent="0" justifyLastLine="0" shrinkToFit="0" readingOrder="0"/>
    </dxf>
    <dxf>
      <border outline="0">
        <top style="thin">
          <color indexed="64"/>
        </top>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2" tint="-0.249977111117893"/>
        </patternFill>
      </fill>
      <alignment horizontal="general" vertical="center" textRotation="0" wrapText="0" indent="0" justifyLastLine="0" shrinkToFit="0" readingOrder="0"/>
      <border diagonalUp="0" diagonalDown="0" outline="0">
        <left style="thin">
          <color theme="9"/>
        </left>
        <right style="thin">
          <color theme="9"/>
        </right>
        <top/>
        <bottom/>
      </border>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2" tint="-0.249977111117893"/>
        </patternFill>
      </fill>
      <alignment horizontal="general" vertical="center" textRotation="0" wrapText="0" indent="0" justifyLastLine="0" shrinkToFit="0" readingOrder="0"/>
      <border diagonalUp="0" diagonalDown="0" outline="0">
        <left style="thin">
          <color theme="9"/>
        </left>
        <right style="thin">
          <color theme="9"/>
        </right>
        <top/>
        <bottom/>
      </border>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30" formatCode="@"/>
      <alignment horizontal="left"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2" tint="-0.249977111117893"/>
        </patternFill>
      </fill>
      <alignment horizontal="general" vertical="center" textRotation="0" wrapText="0" indent="0" justifyLastLine="0" shrinkToFit="0" readingOrder="0"/>
    </dxf>
    <dxf>
      <protection locked="1" hidden="1"/>
    </dxf>
    <dxf>
      <numFmt numFmtId="0" formatCode="General"/>
    </dxf>
    <dxf>
      <font>
        <b/>
        <i val="0"/>
        <strike val="0"/>
        <condense val="0"/>
        <extend val="0"/>
        <outline val="0"/>
        <shadow val="0"/>
        <u val="none"/>
        <vertAlign val="baseline"/>
        <sz val="11"/>
        <color theme="1"/>
        <name val="Calibri"/>
        <family val="2"/>
        <scheme val="minor"/>
      </font>
    </dxf>
    <dxf>
      <alignment horizontal="general" vertical="center" textRotation="0" wrapText="0" indent="0" justifyLastLine="0" shrinkToFit="0" readingOrder="0"/>
      <protection locked="1" hidden="1"/>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alignment horizontal="general" vertical="center" textRotation="0" wrapText="0" indent="0" justifyLastLine="0" shrinkToFit="0" readingOrder="0"/>
      <protection locked="1" hidden="1"/>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1354455</xdr:colOff>
      <xdr:row>23</xdr:row>
      <xdr:rowOff>11430</xdr:rowOff>
    </xdr:from>
    <xdr:to>
      <xdr:col>5</xdr:col>
      <xdr:colOff>1424729</xdr:colOff>
      <xdr:row>24</xdr:row>
      <xdr:rowOff>121073</xdr:rowOff>
    </xdr:to>
    <xdr:sp macro="" textlink="">
      <xdr:nvSpPr>
        <xdr:cNvPr id="4" name="TextBox 3">
          <a:extLst>
            <a:ext uri="{FF2B5EF4-FFF2-40B4-BE49-F238E27FC236}">
              <a16:creationId xmlns:a16="http://schemas.microsoft.com/office/drawing/2014/main" id="{7D4F6EB4-2740-4CB7-86C1-3AE636D8C344}"/>
            </a:ext>
          </a:extLst>
        </xdr:cNvPr>
        <xdr:cNvSpPr txBox="1"/>
      </xdr:nvSpPr>
      <xdr:spPr>
        <a:xfrm>
          <a:off x="5385435" y="4404360"/>
          <a:ext cx="4539404" cy="300143"/>
        </a:xfrm>
        <a:prstGeom prst="rect">
          <a:avLst/>
        </a:prstGeom>
        <a:solidFill>
          <a:srgbClr val="C0504D"/>
        </a:solidFill>
        <a:ln w="38100" cap="flat" cmpd="sng" algn="ctr">
          <a:solidFill>
            <a:sysClr val="window" lastClr="FFFFFF"/>
          </a:solidFill>
          <a:prstDash val="solid"/>
        </a:ln>
        <a:effectLst>
          <a:outerShdw blurRad="40000" dist="20000" dir="5400000" rotWithShape="0">
            <a:srgbClr val="000000">
              <a:alpha val="38000"/>
            </a:srgbClr>
          </a:outerShdw>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rPr>
            <a:t>All settings pretain to NSX-V</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692B6E-EAF9-4386-B7C6-17FC0E8D5C50}" name="tbl_ESXHosts" displayName="tbl_ESXHosts" ref="A1:AD5" totalsRowShown="0" headerRowDxfId="80">
  <autoFilter ref="A1:AD5" xr:uid="{A3E2D497-6B2D-4C20-8A7F-ED4F65898C4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autoFilter>
  <tableColumns count="30">
    <tableColumn id="1" xr3:uid="{8BC439EB-7E94-4252-B878-3905A7691C21}" name="ESXHostname"/>
    <tableColumn id="2" xr3:uid="{342D5F6B-C169-4AA5-A3FB-1DE566704466}" name="HostIP"/>
    <tableColumn id="3" xr3:uid="{164F665E-372C-44B3-A823-5EF6BF1927B4}" name="HostSubnet"/>
    <tableColumn id="4" xr3:uid="{C4C25B00-84E7-4418-B280-67382828CB4C}" name="HostGW"/>
    <tableColumn id="5" xr3:uid="{51C186A6-8A22-4AE8-BCFE-DE040F1C8321}" name="HostMgmtVLAN"/>
    <tableColumn id="20" xr3:uid="{EB074644-6C66-47F8-A358-5FCDC1F65134}" name="HostvMotionIP"/>
    <tableColumn id="17" xr3:uid="{A261E665-C82D-4433-950E-B9BFF3B0B7A7}" name="HostvMotionVLAN"/>
    <tableColumn id="29" xr3:uid="{7D0B06A2-277A-4969-B2D2-47FCFBE5DEA1}" name="HostvSANIP"/>
    <tableColumn id="28" xr3:uid="{73FAA410-A5B0-41A3-85A5-AA6D892F547F}" name="HostvSANVLAN"/>
    <tableColumn id="30" xr3:uid="{6437E8D7-C5BF-4C55-892B-484B05F2355C}" name="HostVMVLAN"/>
    <tableColumn id="21" xr3:uid="{52753D23-66C7-4EEF-B85B-B302D2A48751}" name="HostiSCSIIP"/>
    <tableColumn id="24" xr3:uid="{78AC794F-3B61-45F5-A163-1DCE32652D58}" name="HostiSCSIVLAN"/>
    <tableColumn id="25" xr3:uid="{20BEA87C-64F9-4F55-B4C9-26E0B9F3BA8F}" name="HostTrunkVLAN" dataDxfId="79"/>
    <tableColumn id="26" xr3:uid="{B6CECDA4-5708-4FF7-A9F0-D2E405E9FBED}" name="HostTrunk1VLAN" dataDxfId="78"/>
    <tableColumn id="27" xr3:uid="{89FAF865-2209-43ED-B8D8-ACEBF96712D9}" name="HostTrunk2VLAN" dataDxfId="77"/>
    <tableColumn id="6" xr3:uid="{C666D3E1-50F7-4A01-98EB-3F58A059B68B}" name="HostDNS1"/>
    <tableColumn id="7" xr3:uid="{C8650098-4A75-475E-AEC2-AE28271E9D64}" name="HostDNS2"/>
    <tableColumn id="8" xr3:uid="{995F0C4F-95C5-4AD6-802F-6E785CF7BF67}" name="HostPW" dataDxfId="76">
      <calculatedColumnFormula>'Global Settings'!$A$2</calculatedColumnFormula>
    </tableColumn>
    <tableColumn id="9" xr3:uid="{AAE96A85-766C-4BB7-9D84-A37EA60572F6}" name="DriveHW"/>
    <tableColumn id="10" xr3:uid="{557B1461-B6E0-45B2-9548-A94284645019}" name="HostDomain"/>
    <tableColumn id="11" xr3:uid="{28AEC66E-30B6-4567-834E-86D558509240}" name="LocalUser"/>
    <tableColumn id="12" xr3:uid="{65488AC1-C65F-43DB-9C03-1A83C3C835B1}" name="LocalPW"/>
    <tableColumn id="19" xr3:uid="{AC414F04-6B2B-49A2-B4DB-BD21E1C52B3C}" name="VCSAHostname"/>
    <tableColumn id="13" xr3:uid="{A66A4AAE-2AEC-4BA7-82FF-193CF6E24353}" name="VCSAIPAddr"/>
    <tableColumn id="14" xr3:uid="{6A09E0F9-50C1-4415-A3E3-2A31129CEBB8}" name="ListOfPhysicalDrives"/>
    <tableColumn id="16" xr3:uid="{58124B20-E609-4F53-9201-4E1B90547BCE}" name="ManagerESXHosts" dataDxfId="75">
      <calculatedColumnFormula>ADDRESS($A$2,$A$2,1,1,"Build")</calculatedColumnFormula>
    </tableColumn>
    <tableColumn id="22" xr3:uid="{4E10E715-463F-4A00-A75D-A3CCA8F0C1D5}" name="ManagevMotionIP" dataDxfId="74">
      <calculatedColumnFormula>_xlfn.TEXTJOIN(",",TRUE,tbl_ESXHosts[HostvMotionIP])</calculatedColumnFormula>
    </tableColumn>
    <tableColumn id="23" xr3:uid="{6C299A14-7798-40D3-B700-C5784D5386A7}" name="ManageiSCSIIP" dataDxfId="73">
      <calculatedColumnFormula>IF(#REF!=TRUE,_xlfn.TEXTJOIN(",",TRUE,tbl_ESXHosts[HostiSCSIIP]),”None”)</calculatedColumnFormula>
    </tableColumn>
    <tableColumn id="18" xr3:uid="{73B2914B-6827-4EC0-9D15-70B055FD6D73}" name="Host_Hidden" dataDxfId="72">
      <calculatedColumnFormula>CONCATENATE(LEFT(A2,(FIND(".",A2)-1)),"=",B2)</calculatedColumnFormula>
    </tableColumn>
    <tableColumn id="15" xr3:uid="{2D7FCA2A-FC68-492B-ADE4-3B4C73C03A94}" name="Workload"/>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5B2B98-7C53-49C8-AB16-961E388539B1}" name="tbl_NestedESX1" displayName="tbl_NestedESX1" ref="A1:V4" totalsRowShown="0" headerRowDxfId="71" dataDxfId="70">
  <autoFilter ref="A1:V4" xr:uid="{A3E2D497-6B2D-4C20-8A7F-ED4F65898C4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9" xr3:uid="{2B70E6D1-CD89-42D6-9E46-F7D75D78DC1E}" name="Nested_Hostname" dataDxfId="69"/>
    <tableColumn id="2" xr3:uid="{AD49F018-B5FE-4D2B-AC3D-89D8E41FA00D}" name="Nested_IP" dataDxfId="68"/>
    <tableColumn id="3" xr3:uid="{5DB91555-0972-469E-B4A4-7EBC3115A865}" name="Nested_Subnet" dataDxfId="67"/>
    <tableColumn id="4" xr3:uid="{BC4BA5B1-C947-443E-A52F-DFEBD52F8A36}" name="Nested_GW" dataDxfId="66"/>
    <tableColumn id="5" xr3:uid="{79AED2B5-24F5-47E4-8AAB-09516275A49D}" name="Mgmt_VLAN" dataDxfId="65"/>
    <tableColumn id="19" xr3:uid="{DB15CBA6-DFAB-4C60-B59E-83E5A00244E4}" name="vMotion_IP" dataDxfId="64"/>
    <tableColumn id="1" xr3:uid="{CFD370C8-C81D-4FCF-B4E6-9069C15C929A}" name="vMotion_VLAN" dataDxfId="63"/>
    <tableColumn id="25" xr3:uid="{0C0047AE-9D58-4EE2-BC0E-78796865023E}" name="vSAN_IP" dataDxfId="62"/>
    <tableColumn id="18" xr3:uid="{9717EBBE-7D7C-4FE9-8006-C60873FF3641}" name="vSAN_VLAN" dataDxfId="61"/>
    <tableColumn id="20" xr3:uid="{C2A956CC-4405-423A-9DC6-38BDE56F6153}" name="VM_VLAN" dataDxfId="60"/>
    <tableColumn id="26" xr3:uid="{1FC12A54-3DDF-49D0-97A1-A7851E21F351}" name="iSCSI_VLAN" dataDxfId="59"/>
    <tableColumn id="6" xr3:uid="{A96DA9BE-63BC-414A-81C9-BEEAC92AF36B}" name="Nested_DNS1" dataDxfId="58"/>
    <tableColumn id="7" xr3:uid="{1832FD6C-5F6D-4381-A965-2BA82B968ABE}" name="Nested_DNS2" dataDxfId="57"/>
    <tableColumn id="8" xr3:uid="{AE0B865C-528A-464F-B429-2ACE5433DA3F}" name="Nested_PW" dataDxfId="56">
      <calculatedColumnFormula>'Global Settings'!$A$2</calculatedColumnFormula>
    </tableColumn>
    <tableColumn id="10" xr3:uid="{57E4FFB6-D067-4503-BABB-2372AB98800D}" name="Nested_Domain" dataDxfId="55"/>
    <tableColumn id="11" xr3:uid="{90550669-4A5F-4722-AA1E-21CF337A7C5F}" name="Nested_LocalUser" dataDxfId="54"/>
    <tableColumn id="12" xr3:uid="{4DC8E613-B2B7-48A8-9724-45B25CEA97C6}" name="Nested_LocalPW" dataDxfId="53"/>
    <tableColumn id="14" xr3:uid="{64C1172A-6C6D-4E86-8212-C3739324BB41}" name="Nested_CPU" dataDxfId="52"/>
    <tableColumn id="15" xr3:uid="{40873A2C-0FEC-44FB-A5E2-670E61D3683F}" name="Nested_Mem" dataDxfId="51"/>
    <tableColumn id="17" xr3:uid="{16B340C0-929F-40CA-BD58-EA8188E78087}" name="Nested_CacheDisk" dataDxfId="50"/>
    <tableColumn id="16" xr3:uid="{0035EE0B-54ED-4436-A240-B104CFF83058}" name="Nested_CapacityDisk" dataDxfId="49"/>
    <tableColumn id="13" xr3:uid="{755603E9-6A96-4C34-8BCA-4FF90A4D8AFC}" name="Nested_Hidden" dataDxfId="4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58D0338-82E5-4DCA-B687-118AE4F591DB}" name="tbl_NestedESX111" displayName="tbl_NestedESX111" ref="A1:V4" totalsRowShown="0" headerRowDxfId="47" dataDxfId="46">
  <autoFilter ref="A1:V4" xr:uid="{A3E2D497-6B2D-4C20-8A7F-ED4F65898C4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9" xr3:uid="{5DEEE5A3-5440-4804-94EA-9961E23A50E6}" name="Nested_Hostname" dataDxfId="45"/>
    <tableColumn id="2" xr3:uid="{F6C00464-4AA7-45B6-8A1F-43A6B8A3478E}" name="Nested_IP" dataDxfId="44"/>
    <tableColumn id="3" xr3:uid="{2C84E12E-E661-41E9-85C7-8C0D64AFB4E4}" name="Nested_Subnet" dataDxfId="43"/>
    <tableColumn id="4" xr3:uid="{2D1D397E-1E2B-4172-A892-F25889561314}" name="Nested_GW" dataDxfId="42"/>
    <tableColumn id="5" xr3:uid="{AC7EFF6A-917F-4103-9447-5C7CFCC23F94}" name="Mgmt_VLAN" dataDxfId="41"/>
    <tableColumn id="19" xr3:uid="{61EC1B18-2356-401D-A82C-F68CD7B7F08D}" name="vMotion_IP" dataDxfId="40"/>
    <tableColumn id="1" xr3:uid="{79E93058-EDB7-4436-BE38-3C2CAC22042A}" name="vMotion_VLAN" dataDxfId="39"/>
    <tableColumn id="25" xr3:uid="{E5A423C8-1596-4DFA-9A8F-DE479F2896B4}" name="vSAN_IP" dataDxfId="38"/>
    <tableColumn id="18" xr3:uid="{36FC39C5-BBC5-475D-982F-39AAACBC875B}" name="vSAN_VLAN" dataDxfId="37"/>
    <tableColumn id="20" xr3:uid="{ED351963-835A-4654-8034-FC78CC787993}" name="VM_VLAN" dataDxfId="36"/>
    <tableColumn id="26" xr3:uid="{DDC9C07D-F3F9-47BC-B7F6-5F39C1372BC1}" name="iSCSI_VLAN" dataDxfId="35"/>
    <tableColumn id="6" xr3:uid="{7749E711-6BE6-447C-A35E-43015C3CFBD2}" name="Nested_DNS1" dataDxfId="34">
      <calculatedColumnFormula>'Global Settings'!$D$2</calculatedColumnFormula>
    </tableColumn>
    <tableColumn id="7" xr3:uid="{D4951BF1-CA4A-405B-B083-A6758F050BF2}" name="Nested_DNS2" dataDxfId="33">
      <calculatedColumnFormula>'Global Settings'!$E$2</calculatedColumnFormula>
    </tableColumn>
    <tableColumn id="8" xr3:uid="{141B8B01-7C30-46B0-BAB2-4C2CF49C2CCF}" name="Nested_PW" dataDxfId="32">
      <calculatedColumnFormula>'Global Settings'!$A$2</calculatedColumnFormula>
    </tableColumn>
    <tableColumn id="10" xr3:uid="{6EB33383-2FEE-4D28-8657-B5494752B949}" name="Nested_Domain" dataDxfId="31">
      <calculatedColumnFormula>'Global Settings'!$C$2</calculatedColumnFormula>
    </tableColumn>
    <tableColumn id="11" xr3:uid="{DE819D22-6C7B-4C7D-BE22-A89827C0DBF6}" name="Nested_LocalUser" dataDxfId="30"/>
    <tableColumn id="12" xr3:uid="{4C9BBC23-6D36-4C55-B9B4-E09F7B684CF1}" name="Nested_LocalPW" dataDxfId="29"/>
    <tableColumn id="14" xr3:uid="{4DD87F9D-EC4F-4ACF-9508-84BD9925B8CB}" name="Nested_CPU" dataDxfId="28"/>
    <tableColumn id="15" xr3:uid="{D1D05AE2-AC8E-4EB2-9FD3-641AD78F283E}" name="Nested_Mem" dataDxfId="27"/>
    <tableColumn id="17" xr3:uid="{8F9FF1D2-E6D6-4F20-8AFA-C117B01E1632}" name="Nested_CacheDisk" dataDxfId="26"/>
    <tableColumn id="16" xr3:uid="{5CB2F06A-57C0-416E-A101-0ECF442884BA}" name="Nested_CapacityDisk" dataDxfId="25"/>
    <tableColumn id="13" xr3:uid="{8ABDFB10-99DE-4303-BBA3-7A953CCE407C}" name="Nested_Hidden" dataDxfId="24">
      <calculatedColumnFormula>CONCATENATE(LEFT(A2,(FIND(".",A2)-1)),"=",B2)</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A48E74-20F0-4FD7-87C2-ACBC6AA56355}" name="tbl_NestedESX3" displayName="tbl_NestedESX3" ref="A1:Q4" totalsRowShown="0" headerRowDxfId="23">
  <autoFilter ref="A1:Q4" xr:uid="{A3E2D497-6B2D-4C20-8A7F-ED4F65898C4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9" xr3:uid="{2F1D541E-F470-4DE9-82E6-D49E5D6650C8}" name="Nested_Hostname"/>
    <tableColumn id="2" xr3:uid="{F77AA6F4-927F-4630-9F18-B54943BD9123}" name="Nested_IP"/>
    <tableColumn id="3" xr3:uid="{AB2FE684-0532-48B4-A6DF-AAEBE087EE9E}" name="Nested_Subnet"/>
    <tableColumn id="4" xr3:uid="{AE0D1337-F9F3-4869-BC1E-2AF3AC352848}" name="Nested_GW"/>
    <tableColumn id="5" xr3:uid="{2BEF455F-CDC2-4A6F-A6A3-950A78F81B79}" name="Nested_MgmtVLAN"/>
    <tableColumn id="1" xr3:uid="{4FFDBC2A-DD3F-45EB-A455-DB14E8F8E95D}" name="Nested_vMotion_IP"/>
    <tableColumn id="6" xr3:uid="{937D8C63-444B-43C1-8A8D-CCA1D357CB4E}" name="Nested_DNS1"/>
    <tableColumn id="7" xr3:uid="{1BEBF011-2714-4982-893B-83D064B23007}" name="Nested_DNS2"/>
    <tableColumn id="8" xr3:uid="{9F8CFCAE-E3B2-4C7E-B553-1AA23CB298AD}" name="Nested_PW" dataDxfId="22">
      <calculatedColumnFormula>'Global Settings'!$A$2</calculatedColumnFormula>
    </tableColumn>
    <tableColumn id="10" xr3:uid="{DE42D05B-FAFF-4663-B353-FD5B0BE7FA9B}" name="Nested_Domain"/>
    <tableColumn id="11" xr3:uid="{6156899A-38E7-41E4-A0ED-57EC0DA3AACF}" name="Nested_LocalUser"/>
    <tableColumn id="12" xr3:uid="{0FB91379-C978-4031-A0BD-795441FCA6AE}" name="Nested_LocalPW"/>
    <tableColumn id="14" xr3:uid="{C7815FB5-7F3B-435F-B8D4-859764665E39}" name="Nested_CPU"/>
    <tableColumn id="15" xr3:uid="{FBDBD2BF-B4D1-4329-99CD-9CEC8E7D54F5}" name="Nested_Mem"/>
    <tableColumn id="17" xr3:uid="{3A603810-E6FF-4373-90D6-DDCC39379BCE}" name="Nested_CacheDisk"/>
    <tableColumn id="16" xr3:uid="{1D49DAFF-4B4B-42FA-90AF-D364400306DC}" name="Nested_CapacityDisk"/>
    <tableColumn id="13" xr3:uid="{BA403811-2DED-4E15-9E47-99D8B7415923}" name="Nested_Hidden" dataDxfId="21">
      <calculatedColumnFormula>CONCATENATE(LEFT(A2,(FIND(".",A2)-1)),"=",B2)</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CD019B2-D9F0-46E2-B21C-E04848F1EE05}" name="tbl_ESXVersion" displayName="tbl_ESXVersion" ref="A2:D8" totalsRowShown="0" headerRowDxfId="20" dataDxfId="19">
  <autoFilter ref="A2:D8" xr:uid="{513D61BF-14E4-4ACA-9E66-D61ADF82DDD2}"/>
  <tableColumns count="4">
    <tableColumn id="1" xr3:uid="{5B81C04A-D87D-4699-B145-A219F0817F46}" name="Version" dataDxfId="18"/>
    <tableColumn id="2" xr3:uid="{920800F4-C7E7-46BD-A3B2-7AAA3E3D18BF}" name="Path" dataDxfId="17"/>
    <tableColumn id="3" xr3:uid="{08FE5E23-5567-4F23-A2F2-92181541C654}" name="Description" dataDxfId="16"/>
    <tableColumn id="4" xr3:uid="{05835816-3C7C-4B75-9895-6E7F9DFF9BA4}" name="File Type" dataDxfId="15"/>
  </tableColumns>
  <tableStyleInfo name="TableStyleLight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912018-9BE5-4C5B-A020-E79EC6298206}" name="tbl_VCSAVersion" displayName="tbl_VCSAVersion" ref="A12:D15" totalsRowShown="0" headerRowDxfId="14" dataDxfId="13">
  <autoFilter ref="A12:D15" xr:uid="{8DE64112-0F82-4139-94BB-405F477B0D3D}"/>
  <tableColumns count="4">
    <tableColumn id="1" xr3:uid="{3B4E56E0-AB58-4DF7-AF43-7831FE33DF0E}" name="Version"/>
    <tableColumn id="2" xr3:uid="{AE0D402E-358D-4DC2-977D-24FE35826E52}" name="Path" dataDxfId="12"/>
    <tableColumn id="3" xr3:uid="{068AAFE1-2859-448A-8420-70A9996B296C}" name="Description" dataDxfId="11"/>
    <tableColumn id="4" xr3:uid="{7F9F40B5-7D7D-4E84-A6C9-88623A8D478A}" name="File Typ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14832F-C8DB-4501-9629-CB3964858FBF}" name="tbl_NSXVersion" displayName="tbl_NSXVersion" ref="A19:D22" totalsRowShown="0" headerRowDxfId="10" headerRowBorderDxfId="9" tableBorderDxfId="8">
  <autoFilter ref="A19:D22" xr:uid="{E486CD7B-3167-45F3-9E71-65A529779434}"/>
  <tableColumns count="4">
    <tableColumn id="1" xr3:uid="{B9B808F3-CEED-4DD4-8C88-48EADB703936}" name="Version" dataDxfId="7"/>
    <tableColumn id="2" xr3:uid="{6060960A-7710-47CD-A0E3-0A5F65B4069E}" name="Path"/>
    <tableColumn id="3" xr3:uid="{4A0A6386-5CC5-4EDF-895C-0F319A57F730}" name="Description" dataDxfId="6"/>
    <tableColumn id="4" xr3:uid="{66F550B6-710E-43D0-BF03-C5A167049D99}" name="File Type"/>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BB84FA-5D1C-47DC-9E14-92934CE2FD06}" name="tbl_NSXTVersion" displayName="tbl_NSXTVersion" ref="A26:D28" totalsRowShown="0" headerRowDxfId="5" dataDxfId="3" headerRowBorderDxfId="4">
  <autoFilter ref="A26:D28" xr:uid="{51C4F33D-8793-4D7F-8FF1-C4F432E2A09A}"/>
  <tableColumns count="4">
    <tableColumn id="1" xr3:uid="{00593CEA-4AAF-4F51-9E92-87EED033656A}" name="Version" dataDxfId="2"/>
    <tableColumn id="2" xr3:uid="{B9B63DDE-50BC-4FBB-840E-54BEFC965ABB}" name="Path" dataDxfId="1"/>
    <tableColumn id="3" xr3:uid="{27C65771-3ED5-40B1-A3CC-D7FB0045C5FB}" name="Description" dataDxfId="0"/>
    <tableColumn id="4" xr3:uid="{9D5AFE8A-6F65-4799-B3E6-3AD7D7137B8B}" name="File Type"/>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0.bin"/><Relationship Id="rId1" Type="http://schemas.openxmlformats.org/officeDocument/2006/relationships/hyperlink" Target="mailto:administrator@vsphere.local" TargetMode="External"/><Relationship Id="rId4"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1.bin"/><Relationship Id="rId1" Type="http://schemas.openxmlformats.org/officeDocument/2006/relationships/hyperlink" Target="mailto:administrator@vsphere.loca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mailto:VMw@re123!NSX"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mailto:VMw@re123!NSX"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mailto:VMw@re123!NSX"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hyperlink" Target="mailto:VMw@re123!NSX" TargetMode="External"/><Relationship Id="rId1" Type="http://schemas.openxmlformats.org/officeDocument/2006/relationships/hyperlink" Target="mailto:VMw@re123!NSX" TargetMode="External"/><Relationship Id="rId4" Type="http://schemas.openxmlformats.org/officeDocument/2006/relationships/comments" Target="../comments6.xml"/></Relationships>
</file>

<file path=xl/worksheets/_rels/sheet21.xml.rels><?xml version="1.0" encoding="UTF-8" standalone="yes"?>
<Relationships xmlns="http://schemas.openxmlformats.org/package/2006/relationships"><Relationship Id="rId2" Type="http://schemas.openxmlformats.org/officeDocument/2006/relationships/hyperlink" Target="mailto:VMw@re123!NSX" TargetMode="External"/><Relationship Id="rId1" Type="http://schemas.openxmlformats.org/officeDocument/2006/relationships/hyperlink" Target="https://www.slimjet.com/chrome/google-chrome-old-version.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6.bin"/><Relationship Id="rId5" Type="http://schemas.openxmlformats.org/officeDocument/2006/relationships/table" Target="../tables/table8.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dwchan69@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5A8FB-B11F-4137-90C7-B6645979F6FC}">
  <dimension ref="A1:H4"/>
  <sheetViews>
    <sheetView workbookViewId="0">
      <selection activeCell="L5" sqref="L5"/>
    </sheetView>
  </sheetViews>
  <sheetFormatPr defaultRowHeight="15" x14ac:dyDescent="0.25"/>
  <cols>
    <col min="1" max="1" width="11.7109375" bestFit="1" customWidth="1"/>
    <col min="2" max="2" width="13.140625" bestFit="1" customWidth="1"/>
  </cols>
  <sheetData>
    <row r="1" spans="1:8" x14ac:dyDescent="0.25">
      <c r="A1" t="s">
        <v>492</v>
      </c>
      <c r="C1" t="s">
        <v>493</v>
      </c>
      <c r="D1" t="s">
        <v>494</v>
      </c>
      <c r="E1" t="s">
        <v>495</v>
      </c>
      <c r="F1" t="s">
        <v>496</v>
      </c>
      <c r="G1" t="s">
        <v>497</v>
      </c>
    </row>
    <row r="2" spans="1:8" x14ac:dyDescent="0.25">
      <c r="A2" t="s">
        <v>498</v>
      </c>
      <c r="B2" t="s">
        <v>499</v>
      </c>
      <c r="C2">
        <v>1</v>
      </c>
      <c r="D2">
        <v>1</v>
      </c>
      <c r="F2">
        <v>0.5</v>
      </c>
      <c r="G2">
        <v>1</v>
      </c>
    </row>
    <row r="3" spans="1:8" x14ac:dyDescent="0.25">
      <c r="A3" t="s">
        <v>502</v>
      </c>
      <c r="B3" t="s">
        <v>500</v>
      </c>
      <c r="D3">
        <v>1</v>
      </c>
      <c r="F3">
        <v>0.5</v>
      </c>
    </row>
    <row r="4" spans="1:8" x14ac:dyDescent="0.25">
      <c r="A4" t="s">
        <v>502</v>
      </c>
      <c r="B4" t="s">
        <v>501</v>
      </c>
      <c r="C4">
        <v>6</v>
      </c>
      <c r="D4">
        <v>6</v>
      </c>
      <c r="E4">
        <v>8</v>
      </c>
      <c r="F4">
        <v>7</v>
      </c>
      <c r="G4">
        <v>7</v>
      </c>
      <c r="H4">
        <f>SUM(C4:G4)</f>
        <v>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C08A3-4268-487A-AC3E-D59B5470FA0F}">
  <dimension ref="A1:P46"/>
  <sheetViews>
    <sheetView topLeftCell="A11" workbookViewId="0">
      <selection activeCell="G35" sqref="G35"/>
    </sheetView>
  </sheetViews>
  <sheetFormatPr defaultRowHeight="15" x14ac:dyDescent="0.25"/>
  <cols>
    <col min="1" max="11" width="20.7109375" customWidth="1"/>
    <col min="12" max="12" width="15.7109375" customWidth="1"/>
    <col min="13" max="13" width="15.5703125" customWidth="1"/>
    <col min="14" max="18" width="15.7109375" customWidth="1"/>
  </cols>
  <sheetData>
    <row r="1" spans="1:13" ht="15.75" x14ac:dyDescent="0.25">
      <c r="A1" s="7" t="s">
        <v>222</v>
      </c>
      <c r="B1" s="7"/>
    </row>
    <row r="2" spans="1:13" x14ac:dyDescent="0.25">
      <c r="A2" s="6" t="s">
        <v>223</v>
      </c>
      <c r="B2" s="6" t="s">
        <v>410</v>
      </c>
      <c r="C2" s="6" t="s">
        <v>224</v>
      </c>
      <c r="D2" s="6" t="s">
        <v>225</v>
      </c>
      <c r="E2" s="6" t="s">
        <v>226</v>
      </c>
      <c r="F2" s="6" t="s">
        <v>442</v>
      </c>
    </row>
    <row r="3" spans="1:13" x14ac:dyDescent="0.25">
      <c r="A3" s="10" t="s">
        <v>293</v>
      </c>
      <c r="B3" s="10" t="str">
        <f>VLOOKUP(A3,tbl_ESXHosts[],2,TRUE)</f>
        <v>192.168.10.21</v>
      </c>
      <c r="C3" s="10" t="s">
        <v>204</v>
      </c>
      <c r="D3" s="10" t="str">
        <f>VLOOKUP(A3,tbl_ESXHosts[],18,TRUE)</f>
        <v>VMware1!</v>
      </c>
      <c r="E3" s="10" t="str">
        <f>IF((VLOOKUP(A3,tbl_ESXHosts[],30,TRUE)="Manager"),"ESXI","VCENTER")</f>
        <v>VCENTER</v>
      </c>
      <c r="F3" s="10" t="str">
        <f>IF((VLOOKUP(A3,tbl_ESXHosts[],30,TRUE)="Manager"),"TRUE","FALSE")</f>
        <v>FALSE</v>
      </c>
      <c r="G3" t="str">
        <f>Build!A2</f>
        <v>esx02.tataoui.com</v>
      </c>
    </row>
    <row r="5" spans="1:13" ht="15.75" x14ac:dyDescent="0.25">
      <c r="A5" s="7" t="s">
        <v>227</v>
      </c>
      <c r="B5" s="7"/>
    </row>
    <row r="6" spans="1:13" x14ac:dyDescent="0.25">
      <c r="A6" s="6" t="s">
        <v>237</v>
      </c>
      <c r="B6" s="6" t="s">
        <v>238</v>
      </c>
      <c r="C6" s="6" t="s">
        <v>239</v>
      </c>
      <c r="D6" s="6" t="s">
        <v>240</v>
      </c>
      <c r="E6" s="6" t="s">
        <v>241</v>
      </c>
      <c r="F6" s="6" t="s">
        <v>242</v>
      </c>
      <c r="G6" s="6" t="s">
        <v>243</v>
      </c>
      <c r="H6" s="6" t="s">
        <v>244</v>
      </c>
      <c r="I6" s="6" t="s">
        <v>245</v>
      </c>
      <c r="J6" s="6" t="s">
        <v>246</v>
      </c>
    </row>
    <row r="7" spans="1:13" x14ac:dyDescent="0.25">
      <c r="A7" t="str">
        <f>VLOOKUP(A3,tbl_ESXHosts[],23,TRUE)</f>
        <v>vcsa10.tataoui.com</v>
      </c>
      <c r="B7" t="str">
        <f>VLOOKUP(A3,tbl_ESXHosts[],24,TRUE)</f>
        <v>172.16.10.20</v>
      </c>
      <c r="C7" t="s">
        <v>206</v>
      </c>
      <c r="D7" t="str">
        <f>LEFT(A7,(FIND(".",A7)-1))</f>
        <v>vcsa10</v>
      </c>
      <c r="E7">
        <v>24</v>
      </c>
      <c r="F7" t="s">
        <v>207</v>
      </c>
      <c r="G7" t="str">
        <f>UPPER(LEFT('Global Settings'!$C$2,1))&amp;MID('Global Settings'!$C$2,2,(FIND(".",'Global Settings'!$C$2,1)-2))</f>
        <v>Tataoui</v>
      </c>
      <c r="H7" t="str">
        <f>'Global Settings'!$A$2</f>
        <v>VMware1!</v>
      </c>
      <c r="I7" t="str">
        <f>'Global Settings'!$A$2</f>
        <v>VMware1!</v>
      </c>
      <c r="J7" t="b">
        <v>1</v>
      </c>
    </row>
    <row r="9" spans="1:13" x14ac:dyDescent="0.25">
      <c r="A9" s="6" t="s">
        <v>179</v>
      </c>
      <c r="B9" s="6" t="s">
        <v>180</v>
      </c>
      <c r="C9" s="6" t="s">
        <v>181</v>
      </c>
      <c r="D9" s="6" t="s">
        <v>182</v>
      </c>
      <c r="E9" s="6" t="s">
        <v>183</v>
      </c>
      <c r="F9" s="6" t="s">
        <v>184</v>
      </c>
      <c r="G9" s="6" t="s">
        <v>185</v>
      </c>
      <c r="H9" s="6" t="s">
        <v>186</v>
      </c>
      <c r="I9" s="6" t="s">
        <v>187</v>
      </c>
      <c r="J9" s="6" t="s">
        <v>188</v>
      </c>
    </row>
    <row r="10" spans="1:13" x14ac:dyDescent="0.25">
      <c r="A10" t="s">
        <v>448</v>
      </c>
      <c r="B10" t="s">
        <v>209</v>
      </c>
      <c r="C10" t="s">
        <v>18</v>
      </c>
      <c r="D10" t="str">
        <f>CONCATENATE(LEFT(VLOOKUP(A3,tbl_ESXHosts[],24,TRUE),FIND(CHAR(1),SUBSTITUTE(B7,".",CHAR(1),3))),"1")</f>
        <v>172.16.10.1</v>
      </c>
      <c r="E10" t="str">
        <f>'Global Settings'!$D$2</f>
        <v>192.168.30.2</v>
      </c>
      <c r="F10" t="str">
        <f>'Global Settings'!$F$2</f>
        <v>pool.ntp.org</v>
      </c>
      <c r="G10" t="str">
        <f>'Global Settings'!$A$2</f>
        <v>VMware1!</v>
      </c>
      <c r="H10" t="str">
        <f>'Global Settings'!$C$2</f>
        <v>tataoui.com</v>
      </c>
      <c r="I10" t="str">
        <f>'Global Settings'!$G$2</f>
        <v>192.168.10.20</v>
      </c>
      <c r="J10" t="s">
        <v>86</v>
      </c>
    </row>
    <row r="11" spans="1:13" x14ac:dyDescent="0.25">
      <c r="B11" t="s">
        <v>209</v>
      </c>
    </row>
    <row r="12" spans="1:13" x14ac:dyDescent="0.25">
      <c r="A12" s="6" t="s">
        <v>189</v>
      </c>
      <c r="B12" s="6" t="s">
        <v>190</v>
      </c>
    </row>
    <row r="13" spans="1:13" x14ac:dyDescent="0.25">
      <c r="A13" t="s">
        <v>210</v>
      </c>
      <c r="B13" t="s">
        <v>87</v>
      </c>
    </row>
    <row r="15" spans="1:13" x14ac:dyDescent="0.25">
      <c r="A15" s="6" t="s">
        <v>479</v>
      </c>
      <c r="B15" s="6" t="s">
        <v>430</v>
      </c>
      <c r="C15" s="6" t="s">
        <v>431</v>
      </c>
    </row>
    <row r="16" spans="1:13" ht="45" customHeight="1" x14ac:dyDescent="0.25">
      <c r="A16" s="34" t="str">
        <f ca="1">VLOOKUP(A3,tbl_ESXHosts[],26,TRUE)</f>
        <v>esx201=172.16.10.21,esx202=172.16.10.22,esx203=172.16.10.23</v>
      </c>
      <c r="B16" s="35" t="str">
        <f ca="1">VLOOKUP(A3,tbl_ESXHosts[],27,TRUE)</f>
        <v>172.16.11.21,172.16.11.22,172.16.11.23</v>
      </c>
      <c r="C16" s="35">
        <f>VLOOKUP(A3,tbl_ESXHosts[],28,TRUE)</f>
        <v>0</v>
      </c>
      <c r="D16" s="12"/>
      <c r="E16" s="12"/>
      <c r="F16" s="12"/>
      <c r="G16" s="12"/>
      <c r="H16" s="12"/>
      <c r="I16" s="12"/>
      <c r="J16" s="12"/>
      <c r="K16" s="34"/>
      <c r="L16" s="34"/>
      <c r="M16" s="10"/>
    </row>
    <row r="17" spans="1:16" ht="15" customHeight="1" x14ac:dyDescent="0.25">
      <c r="A17" s="34"/>
      <c r="B17" s="35"/>
      <c r="C17" s="35"/>
      <c r="D17" s="12"/>
      <c r="E17" s="12"/>
      <c r="F17" s="12"/>
      <c r="G17" s="12"/>
      <c r="H17" s="12"/>
      <c r="I17" s="12"/>
      <c r="J17" s="12"/>
      <c r="K17" s="34"/>
      <c r="L17" s="34"/>
      <c r="M17" s="10"/>
      <c r="N17" s="34"/>
      <c r="O17" s="34"/>
      <c r="P17" s="13"/>
    </row>
    <row r="18" spans="1:16" ht="15" customHeight="1" x14ac:dyDescent="0.25">
      <c r="A18" s="7" t="s">
        <v>250</v>
      </c>
      <c r="B18" s="7"/>
      <c r="C18" s="35"/>
      <c r="D18" s="12"/>
      <c r="E18" s="12"/>
      <c r="F18" s="12"/>
      <c r="G18" s="12"/>
      <c r="H18" s="12"/>
      <c r="I18" s="12"/>
      <c r="J18" s="12"/>
      <c r="K18" s="34"/>
      <c r="L18" s="34"/>
      <c r="M18" s="10"/>
      <c r="N18" s="34"/>
      <c r="O18" s="34"/>
      <c r="P18" s="13"/>
    </row>
    <row r="19" spans="1:16" ht="15" customHeight="1" x14ac:dyDescent="0.25">
      <c r="A19" s="6" t="s">
        <v>191</v>
      </c>
      <c r="B19" s="6" t="s">
        <v>192</v>
      </c>
      <c r="C19" s="35"/>
      <c r="D19" s="12"/>
      <c r="E19" s="12"/>
      <c r="F19" s="12"/>
      <c r="G19" s="12"/>
      <c r="H19" s="12"/>
      <c r="I19" s="12"/>
      <c r="J19" s="12"/>
      <c r="K19" s="34"/>
      <c r="L19" s="34"/>
      <c r="M19" s="10"/>
      <c r="N19" s="34"/>
      <c r="O19" s="34"/>
      <c r="P19" s="13"/>
    </row>
    <row r="20" spans="1:16" ht="15" customHeight="1" x14ac:dyDescent="0.25">
      <c r="A20" s="3" t="b">
        <v>1</v>
      </c>
      <c r="B20" t="s">
        <v>108</v>
      </c>
      <c r="C20" s="35"/>
      <c r="D20" s="12"/>
      <c r="E20" s="12"/>
      <c r="F20" s="12"/>
      <c r="G20" s="12"/>
      <c r="H20" s="12"/>
      <c r="I20" s="12"/>
      <c r="J20" s="12"/>
      <c r="K20" s="34"/>
      <c r="L20" s="34"/>
      <c r="M20" s="10"/>
      <c r="N20" s="34"/>
      <c r="O20" s="34"/>
      <c r="P20" s="13"/>
    </row>
    <row r="21" spans="1:16" ht="15" customHeight="1" x14ac:dyDescent="0.25">
      <c r="C21" s="35"/>
      <c r="D21" s="12"/>
      <c r="E21" s="12"/>
      <c r="F21" s="12"/>
      <c r="G21" s="12"/>
      <c r="H21" s="12"/>
      <c r="I21" s="12"/>
      <c r="J21" s="12"/>
      <c r="K21" s="34"/>
      <c r="L21" s="34"/>
      <c r="M21" s="10"/>
      <c r="N21" s="34"/>
      <c r="O21" s="34"/>
      <c r="P21" s="13"/>
    </row>
    <row r="22" spans="1:16" ht="15" customHeight="1" x14ac:dyDescent="0.25">
      <c r="A22" s="6" t="s">
        <v>472</v>
      </c>
      <c r="B22" s="6" t="s">
        <v>471</v>
      </c>
      <c r="C22" s="6" t="s">
        <v>470</v>
      </c>
      <c r="D22" s="6" t="s">
        <v>473</v>
      </c>
      <c r="E22" s="6" t="s">
        <v>474</v>
      </c>
      <c r="F22" s="6" t="s">
        <v>475</v>
      </c>
      <c r="G22" s="6" t="s">
        <v>480</v>
      </c>
      <c r="H22" s="6" t="s">
        <v>481</v>
      </c>
      <c r="I22" s="12"/>
      <c r="J22" s="12"/>
      <c r="K22" s="34"/>
      <c r="L22" s="34"/>
      <c r="M22" s="10"/>
      <c r="N22" s="34"/>
      <c r="O22" s="34"/>
      <c r="P22" s="13"/>
    </row>
    <row r="23" spans="1:16" ht="15" customHeight="1" x14ac:dyDescent="0.25">
      <c r="A23" t="s">
        <v>450</v>
      </c>
      <c r="B23" t="s">
        <v>412</v>
      </c>
      <c r="C23" t="s">
        <v>476</v>
      </c>
      <c r="D23" t="s">
        <v>451</v>
      </c>
      <c r="E23" t="s">
        <v>477</v>
      </c>
      <c r="F23" t="s">
        <v>478</v>
      </c>
      <c r="G23" s="12" t="s">
        <v>467</v>
      </c>
      <c r="H23" s="12" t="s">
        <v>468</v>
      </c>
      <c r="I23" s="12"/>
      <c r="J23" s="12"/>
      <c r="K23" s="34"/>
      <c r="L23" s="34"/>
      <c r="M23" s="10"/>
      <c r="N23" s="34"/>
      <c r="O23" s="34"/>
      <c r="P23" s="13"/>
    </row>
    <row r="24" spans="1:16" ht="15" customHeight="1" x14ac:dyDescent="0.25">
      <c r="A24" s="34"/>
      <c r="B24" s="12"/>
      <c r="C24" s="12"/>
      <c r="D24" s="12"/>
      <c r="E24" s="12"/>
      <c r="F24" s="12"/>
      <c r="G24" s="12"/>
      <c r="H24" s="12"/>
      <c r="I24" s="12"/>
      <c r="J24" s="12"/>
      <c r="K24" s="34"/>
      <c r="L24" s="34"/>
      <c r="M24" s="10"/>
      <c r="N24" s="34"/>
      <c r="O24" s="34"/>
      <c r="P24" s="13"/>
    </row>
    <row r="25" spans="1:16" ht="15" customHeight="1" x14ac:dyDescent="0.25">
      <c r="A25" s="6" t="s">
        <v>247</v>
      </c>
      <c r="B25" s="6" t="s">
        <v>443</v>
      </c>
      <c r="C25" s="6" t="s">
        <v>446</v>
      </c>
      <c r="D25" s="6" t="s">
        <v>249</v>
      </c>
      <c r="E25" s="6" t="s">
        <v>444</v>
      </c>
      <c r="F25" s="6" t="s">
        <v>469</v>
      </c>
      <c r="G25" s="6" t="s">
        <v>467</v>
      </c>
      <c r="H25" s="6" t="s">
        <v>468</v>
      </c>
      <c r="I25" s="12"/>
      <c r="J25" s="12"/>
      <c r="K25" s="34"/>
      <c r="L25" s="34"/>
      <c r="M25" s="10"/>
      <c r="N25" s="34"/>
      <c r="O25" s="34"/>
      <c r="P25" s="13"/>
    </row>
    <row r="26" spans="1:16" ht="15" customHeight="1" x14ac:dyDescent="0.25">
      <c r="A26" s="12">
        <f ca="1">IF(A3=ESXHosts!A2,ESXHosts!E2,(INDIRECT("'[VCSA-NSX-Configure.xlsx]" &amp; A3 &amp; "'!E2")))</f>
        <v>110</v>
      </c>
      <c r="B26" s="12">
        <f ca="1">IF(A3=ESXHosts!A2,ESXHosts!G2,(INDIRECT("'[VCSA-NSX-Configure.xlsx]" &amp; A3 &amp; "'!G2")))</f>
        <v>111</v>
      </c>
      <c r="C26" s="12">
        <f ca="1">IF(A3=ESXHosts!A2,ESXHosts!I2,(INDIRECT("'[VCSA-NSX-Configure.xlsx]" &amp; A3 &amp; "'!I2")))</f>
        <v>112</v>
      </c>
      <c r="D26" s="12">
        <f ca="1">IF(A3=ESXHosts!A2,ESXHosts!J2,(INDIRECT("'[VCSA-NSX-Configure.xlsx]" &amp; A3 &amp; "'!J2")))</f>
        <v>113</v>
      </c>
      <c r="E26" s="12">
        <f ca="1">IF(A3=ESXHosts!A2,ESXHosts!L2,(INDIRECT("'[VCSA-NSX-Configure.xlsx]" &amp; A3 &amp; "'!K2")))</f>
        <v>0</v>
      </c>
      <c r="F26" s="12" t="str">
        <f>IF(A3=ESXHosts!A2,ESXHosts!M2,"")</f>
        <v/>
      </c>
      <c r="G26" s="12" t="str">
        <f>IF(A3=ESXHosts!A2,ESXHosts!N2,"")</f>
        <v/>
      </c>
      <c r="H26" s="12" t="str">
        <f>IF(A3=ESXHosts!A2,ESXHosts!O2,"")</f>
        <v/>
      </c>
      <c r="I26" s="12"/>
      <c r="J26" s="12"/>
      <c r="K26" s="34"/>
      <c r="L26" s="34"/>
      <c r="M26" s="10"/>
      <c r="N26" s="34"/>
      <c r="O26" s="34"/>
      <c r="P26" s="13"/>
    </row>
    <row r="28" spans="1:16" x14ac:dyDescent="0.25">
      <c r="A28" s="6" t="s">
        <v>196</v>
      </c>
      <c r="B28" s="6" t="s">
        <v>197</v>
      </c>
      <c r="C28" s="6" t="s">
        <v>198</v>
      </c>
      <c r="D28" s="6" t="s">
        <v>199</v>
      </c>
      <c r="E28" s="6" t="s">
        <v>200</v>
      </c>
    </row>
    <row r="29" spans="1:16" x14ac:dyDescent="0.25">
      <c r="A29" t="b">
        <v>1</v>
      </c>
      <c r="B29" t="s">
        <v>212</v>
      </c>
      <c r="C29" t="s">
        <v>38</v>
      </c>
      <c r="D29" t="s">
        <v>213</v>
      </c>
      <c r="E29" t="s">
        <v>18</v>
      </c>
    </row>
    <row r="30" spans="1:16" x14ac:dyDescent="0.25">
      <c r="A30" s="3"/>
      <c r="B30" t="s">
        <v>259</v>
      </c>
      <c r="C30" t="s">
        <v>260</v>
      </c>
      <c r="D30" t="s">
        <v>261</v>
      </c>
      <c r="E30" t="s">
        <v>262</v>
      </c>
    </row>
    <row r="31" spans="1:16" ht="15.75" x14ac:dyDescent="0.25">
      <c r="A31" s="7" t="s">
        <v>221</v>
      </c>
      <c r="B31" s="7"/>
      <c r="C31" s="4"/>
      <c r="D31" s="4"/>
      <c r="E31" s="4"/>
      <c r="F31" s="4"/>
      <c r="G31" s="4"/>
      <c r="H31" s="4"/>
      <c r="K31" s="4"/>
      <c r="L31" s="4"/>
    </row>
    <row r="32" spans="1:16" x14ac:dyDescent="0.25">
      <c r="A32" s="6" t="s">
        <v>251</v>
      </c>
      <c r="B32" s="6" t="s">
        <v>252</v>
      </c>
      <c r="C32" s="6" t="s">
        <v>255</v>
      </c>
      <c r="D32" s="6" t="s">
        <v>517</v>
      </c>
      <c r="E32" s="6" t="s">
        <v>256</v>
      </c>
      <c r="F32" s="6" t="s">
        <v>258</v>
      </c>
      <c r="G32" s="6" t="s">
        <v>257</v>
      </c>
      <c r="H32" s="6" t="s">
        <v>202</v>
      </c>
      <c r="I32" s="6" t="s">
        <v>196</v>
      </c>
      <c r="J32" s="6" t="s">
        <v>203</v>
      </c>
      <c r="K32" s="6" t="s">
        <v>254</v>
      </c>
    </row>
    <row r="33" spans="1:11" x14ac:dyDescent="0.25">
      <c r="A33" t="b">
        <v>1</v>
      </c>
      <c r="B33" t="b">
        <v>1</v>
      </c>
      <c r="C33" t="b">
        <v>1</v>
      </c>
      <c r="D33" t="b">
        <v>1</v>
      </c>
      <c r="E33" t="b">
        <v>1</v>
      </c>
      <c r="F33" t="b">
        <v>1</v>
      </c>
      <c r="G33" t="b">
        <v>1</v>
      </c>
      <c r="H33" t="b">
        <v>1</v>
      </c>
      <c r="I33" t="b">
        <v>0</v>
      </c>
      <c r="J33" t="b">
        <v>1</v>
      </c>
      <c r="K33" t="b">
        <v>0</v>
      </c>
    </row>
    <row r="35" spans="1:11" x14ac:dyDescent="0.25">
      <c r="A35" s="6" t="s">
        <v>518</v>
      </c>
      <c r="B35" s="6" t="s">
        <v>519</v>
      </c>
      <c r="C35" s="6" t="s">
        <v>520</v>
      </c>
    </row>
    <row r="36" spans="1:11" x14ac:dyDescent="0.25">
      <c r="A36" t="b">
        <v>0</v>
      </c>
      <c r="B36" t="s">
        <v>522</v>
      </c>
      <c r="C36" t="s">
        <v>521</v>
      </c>
    </row>
    <row r="38" spans="1:11" ht="15.75" x14ac:dyDescent="0.25">
      <c r="A38" s="7" t="s">
        <v>216</v>
      </c>
      <c r="B38" s="1"/>
    </row>
    <row r="39" spans="1:11" x14ac:dyDescent="0.25">
      <c r="A39" s="6" t="s">
        <v>217</v>
      </c>
      <c r="B39" s="6" t="s">
        <v>218</v>
      </c>
      <c r="C39" s="6" t="s">
        <v>219</v>
      </c>
      <c r="D39" s="6" t="s">
        <v>220</v>
      </c>
      <c r="J39" s="14" t="s">
        <v>253</v>
      </c>
    </row>
    <row r="40" spans="1:11" x14ac:dyDescent="0.25">
      <c r="A40" t="b">
        <v>1</v>
      </c>
      <c r="B40" t="s">
        <v>214</v>
      </c>
      <c r="C40" t="s">
        <v>86</v>
      </c>
      <c r="D40" t="s">
        <v>215</v>
      </c>
    </row>
    <row r="44" spans="1:11" ht="18.75" x14ac:dyDescent="0.3">
      <c r="A44" s="8" t="s">
        <v>21</v>
      </c>
    </row>
    <row r="45" spans="1:11" x14ac:dyDescent="0.25">
      <c r="A45" t="s">
        <v>20</v>
      </c>
    </row>
    <row r="46" spans="1:11" x14ac:dyDescent="0.25">
      <c r="A46" s="3" t="s">
        <v>78</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10E13ADF-8CBA-43B7-9338-4E98745FEAB1}">
          <x14:formula1>
            <xm:f>Options!$A$1:$A$2</xm:f>
          </x14:formula1>
          <xm:sqref>A20 A40 A29 J7:J8 A33:K33 A36</xm:sqref>
        </x14:dataValidation>
        <x14:dataValidation type="list" allowBlank="1" showInputMessage="1" showErrorMessage="1" xr:uid="{FD6DB232-AC3E-42FC-AFD5-D2B4F5FE60AA}">
          <x14:formula1>
            <xm:f>Options!$A$15:$A$19</xm:f>
          </x14:formula1>
          <xm:sqref>C7:C8</xm:sqref>
        </x14:dataValidation>
        <x14:dataValidation type="list" allowBlank="1" showInputMessage="1" showErrorMessage="1" xr:uid="{5264DFFC-A571-451D-944F-365F53DE38AA}">
          <x14:formula1>
            <xm:f>ESXHosts!$A$2:$A$5</xm:f>
          </x14:formula1>
          <xm:sqref>A3</xm:sqref>
        </x14:dataValidation>
        <x14:dataValidation type="list" allowBlank="1" showInputMessage="1" showErrorMessage="1" xr:uid="{10F14956-76F2-4248-BE0B-21E12D025CA1}">
          <x14:formula1>
            <xm:f>Options!$C$1:$C$2</xm:f>
          </x14:formula1>
          <xm:sqref>A10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1C17D-B199-488E-8455-4AA43F284EF0}">
  <dimension ref="A1:L34"/>
  <sheetViews>
    <sheetView workbookViewId="0">
      <selection activeCell="M10" sqref="M10"/>
    </sheetView>
  </sheetViews>
  <sheetFormatPr defaultRowHeight="15" x14ac:dyDescent="0.25"/>
  <cols>
    <col min="1" max="3" width="25.7109375" customWidth="1"/>
    <col min="4" max="11" width="20.7109375" customWidth="1"/>
    <col min="12" max="12" width="13" customWidth="1"/>
    <col min="13" max="13" width="15.5703125" customWidth="1"/>
    <col min="14" max="18" width="15.7109375" customWidth="1"/>
  </cols>
  <sheetData>
    <row r="1" spans="1:12" ht="15.75" x14ac:dyDescent="0.25">
      <c r="A1" s="7" t="s">
        <v>222</v>
      </c>
    </row>
    <row r="2" spans="1:12" x14ac:dyDescent="0.25">
      <c r="A2" s="6" t="s">
        <v>223</v>
      </c>
      <c r="B2" s="6" t="s">
        <v>410</v>
      </c>
      <c r="C2" s="6" t="s">
        <v>224</v>
      </c>
      <c r="D2" s="6" t="s">
        <v>225</v>
      </c>
      <c r="E2" s="6" t="s">
        <v>226</v>
      </c>
      <c r="F2" s="6" t="s">
        <v>442</v>
      </c>
    </row>
    <row r="3" spans="1:12" x14ac:dyDescent="0.25">
      <c r="A3" s="10" t="s">
        <v>293</v>
      </c>
      <c r="B3" s="10" t="str">
        <f>VLOOKUP(A3,tbl_ESXHosts[],2,TRUE)</f>
        <v>192.168.10.21</v>
      </c>
      <c r="C3" s="10" t="s">
        <v>204</v>
      </c>
      <c r="D3" s="10">
        <f>VLOOKUP(A3,tbl_ESXHosts[],10,TRUE)</f>
        <v>10</v>
      </c>
      <c r="E3" s="10" t="str">
        <f>IF((VLOOKUP(A3,tbl_ESXHosts[],22,TRUE)="Manager"),"ESXI","VCENTER")</f>
        <v>VCENTER</v>
      </c>
      <c r="F3" s="10" t="str">
        <f>IF((VLOOKUP(A3,tbl_ESXHosts[],22,TRUE)="Manager"),"TRUE","FALSE")</f>
        <v>FALSE</v>
      </c>
    </row>
    <row r="5" spans="1:12" ht="15.75" x14ac:dyDescent="0.25">
      <c r="A5" s="7" t="s">
        <v>227</v>
      </c>
    </row>
    <row r="6" spans="1:12" x14ac:dyDescent="0.25">
      <c r="A6" s="6" t="s">
        <v>237</v>
      </c>
      <c r="B6" s="6" t="s">
        <v>238</v>
      </c>
      <c r="C6" s="6" t="s">
        <v>239</v>
      </c>
      <c r="D6" s="6" t="s">
        <v>240</v>
      </c>
      <c r="E6" s="6" t="s">
        <v>241</v>
      </c>
      <c r="F6" s="6" t="s">
        <v>242</v>
      </c>
      <c r="G6" s="6" t="s">
        <v>243</v>
      </c>
      <c r="H6" s="6" t="s">
        <v>244</v>
      </c>
      <c r="I6" s="6" t="s">
        <v>245</v>
      </c>
      <c r="J6" s="6" t="s">
        <v>246</v>
      </c>
    </row>
    <row r="7" spans="1:12" x14ac:dyDescent="0.25">
      <c r="A7" t="str">
        <f>VLOOKUP(A3,tbl_ESXHosts[],15,TRUE)</f>
        <v>30,40,50,60</v>
      </c>
      <c r="B7" t="str">
        <f>VLOOKUP(A3,tbl_ESXHosts[],16,TRUE)</f>
        <v>192.168.30.2</v>
      </c>
      <c r="C7" t="s">
        <v>206</v>
      </c>
      <c r="D7" t="e">
        <f>LEFT(A7,(FIND(".",A7)-1))</f>
        <v>#VALUE!</v>
      </c>
      <c r="E7">
        <v>24</v>
      </c>
      <c r="F7" t="s">
        <v>207</v>
      </c>
      <c r="G7" t="str">
        <f>UPPER(LEFT('Global Settings'!$C$2,1))&amp;MID('Global Settings'!$C$2,2,(FIND(".",'Global Settings'!$C$2,1)-2))</f>
        <v>Tataoui</v>
      </c>
      <c r="H7" t="str">
        <f>'Global Settings'!$A$2</f>
        <v>VMware1!</v>
      </c>
      <c r="I7" t="str">
        <f>'Global Settings'!$A$2</f>
        <v>VMware1!</v>
      </c>
      <c r="J7" t="b">
        <v>1</v>
      </c>
    </row>
    <row r="9" spans="1:12" x14ac:dyDescent="0.25">
      <c r="A9" s="6" t="s">
        <v>299</v>
      </c>
      <c r="B9" s="6" t="s">
        <v>247</v>
      </c>
      <c r="C9" s="6" t="s">
        <v>443</v>
      </c>
      <c r="D9" s="6" t="s">
        <v>249</v>
      </c>
      <c r="E9" s="6" t="s">
        <v>444</v>
      </c>
      <c r="F9" s="6" t="s">
        <v>248</v>
      </c>
      <c r="G9" s="6" t="s">
        <v>430</v>
      </c>
      <c r="H9" s="6" t="s">
        <v>431</v>
      </c>
      <c r="J9" t="s">
        <v>299</v>
      </c>
      <c r="K9" t="s">
        <v>430</v>
      </c>
      <c r="L9" t="s">
        <v>431</v>
      </c>
    </row>
    <row r="10" spans="1:12" ht="45" customHeight="1" x14ac:dyDescent="0.25">
      <c r="A10" s="10" t="s">
        <v>413</v>
      </c>
      <c r="B10" s="12">
        <v>10</v>
      </c>
      <c r="C10" s="12">
        <v>15</v>
      </c>
      <c r="D10" s="12" t="s">
        <v>416</v>
      </c>
      <c r="E10" s="12">
        <v>200</v>
      </c>
      <c r="F10" s="12" t="s">
        <v>205</v>
      </c>
      <c r="G10" s="34" t="s">
        <v>434</v>
      </c>
      <c r="H10" s="34" t="s">
        <v>439</v>
      </c>
      <c r="I10" s="10"/>
      <c r="J10" s="34" t="str">
        <f ca="1">VLOOKUP(A3,tbl_ESXHosts[],26,TRUE)</f>
        <v>esx201=172.16.10.21,esx202=172.16.10.22,esx203=172.16.10.23</v>
      </c>
      <c r="K10" s="34" t="str">
        <f ca="1">VLOOKUP(A3,tbl_ESXHosts[],27,TRUE)</f>
        <v>172.16.11.21,172.16.11.22,172.16.11.23</v>
      </c>
      <c r="L10" s="13">
        <f>VLOOKUP(A3,tbl_ESXHosts[],28,TRUE)</f>
        <v>0</v>
      </c>
    </row>
    <row r="12" spans="1:12" x14ac:dyDescent="0.25">
      <c r="A12" s="6" t="s">
        <v>179</v>
      </c>
      <c r="B12" s="6" t="s">
        <v>180</v>
      </c>
      <c r="C12" s="6" t="s">
        <v>181</v>
      </c>
      <c r="D12" s="6" t="s">
        <v>182</v>
      </c>
      <c r="E12" s="6" t="s">
        <v>183</v>
      </c>
      <c r="F12" s="6" t="s">
        <v>184</v>
      </c>
      <c r="G12" s="6" t="s">
        <v>185</v>
      </c>
      <c r="H12" s="6" t="s">
        <v>186</v>
      </c>
      <c r="I12" s="6" t="s">
        <v>187</v>
      </c>
      <c r="J12" s="6" t="s">
        <v>188</v>
      </c>
    </row>
    <row r="13" spans="1:12" x14ac:dyDescent="0.25">
      <c r="A13" t="s">
        <v>208</v>
      </c>
      <c r="B13" t="s">
        <v>209</v>
      </c>
      <c r="C13" t="s">
        <v>18</v>
      </c>
      <c r="D13" t="s">
        <v>82</v>
      </c>
      <c r="E13" t="str">
        <f>'Global Settings'!$D$2</f>
        <v>192.168.30.2</v>
      </c>
      <c r="F13" t="str">
        <f>'Global Settings'!$F$2</f>
        <v>pool.ntp.org</v>
      </c>
      <c r="G13" t="str">
        <f>'Global Settings'!$A$2</f>
        <v>VMware1!</v>
      </c>
      <c r="H13" t="str">
        <f>'Global Settings'!$C$2</f>
        <v>tataoui.com</v>
      </c>
      <c r="I13" t="str">
        <f>'Global Settings'!$G$2</f>
        <v>192.168.10.20</v>
      </c>
      <c r="J13" t="s">
        <v>86</v>
      </c>
    </row>
    <row r="15" spans="1:12" ht="15.75" x14ac:dyDescent="0.25">
      <c r="A15" s="7" t="s">
        <v>228</v>
      </c>
    </row>
    <row r="16" spans="1:12" x14ac:dyDescent="0.25">
      <c r="A16" s="6" t="s">
        <v>189</v>
      </c>
      <c r="B16" s="6" t="s">
        <v>190</v>
      </c>
      <c r="C16" s="1"/>
      <c r="D16" s="6" t="s">
        <v>247</v>
      </c>
      <c r="E16" s="6" t="s">
        <v>443</v>
      </c>
      <c r="F16" s="6" t="s">
        <v>446</v>
      </c>
      <c r="G16" s="6" t="s">
        <v>447</v>
      </c>
    </row>
    <row r="17" spans="1:12" x14ac:dyDescent="0.25">
      <c r="A17" t="s">
        <v>210</v>
      </c>
      <c r="B17" t="s">
        <v>87</v>
      </c>
      <c r="C17" s="1"/>
      <c r="D17" s="33">
        <f ca="1">IFERROR(INDIRECT("'[VCSA-NSX-Configure.xlsx]" &amp; A3 &amp; "'!I2"),"N/A")</f>
        <v>112</v>
      </c>
      <c r="E17" s="3">
        <f ca="1">IFERROR(INDIRECT("'[VCSA-NSX-Configure.xlsx]" &amp; A3 &amp; "'!K2"),"N/A")</f>
        <v>0</v>
      </c>
      <c r="F17" s="3" t="str">
        <f ca="1">IFERROR(INDIRECT("'[VCSA-NSX-Configure.xlsx]" &amp; A3 &amp; "'!L2"),"N/A")</f>
        <v>192.168.30.2</v>
      </c>
      <c r="G17">
        <v>113</v>
      </c>
    </row>
    <row r="18" spans="1:12" x14ac:dyDescent="0.25">
      <c r="A18" s="3"/>
      <c r="C18" s="2"/>
      <c r="D18" s="2"/>
    </row>
    <row r="19" spans="1:12" ht="15.75" x14ac:dyDescent="0.25">
      <c r="A19" s="7" t="s">
        <v>250</v>
      </c>
      <c r="C19" s="2"/>
      <c r="D19" s="2"/>
    </row>
    <row r="20" spans="1:12" x14ac:dyDescent="0.25">
      <c r="A20" s="6" t="s">
        <v>191</v>
      </c>
      <c r="B20" s="6" t="s">
        <v>192</v>
      </c>
      <c r="C20" s="6" t="s">
        <v>193</v>
      </c>
      <c r="D20" s="6" t="s">
        <v>411</v>
      </c>
      <c r="E20" s="6" t="s">
        <v>194</v>
      </c>
      <c r="F20" s="6" t="s">
        <v>417</v>
      </c>
      <c r="G20" s="6" t="s">
        <v>195</v>
      </c>
      <c r="H20" s="6" t="s">
        <v>196</v>
      </c>
      <c r="I20" s="6" t="s">
        <v>197</v>
      </c>
      <c r="J20" s="6" t="s">
        <v>198</v>
      </c>
      <c r="K20" s="6" t="s">
        <v>199</v>
      </c>
      <c r="L20" s="6" t="s">
        <v>200</v>
      </c>
    </row>
    <row r="21" spans="1:12" x14ac:dyDescent="0.25">
      <c r="A21" s="3" t="b">
        <v>1</v>
      </c>
      <c r="B21" t="s">
        <v>108</v>
      </c>
      <c r="C21" t="s">
        <v>450</v>
      </c>
      <c r="D21" t="s">
        <v>412</v>
      </c>
      <c r="E21" t="s">
        <v>451</v>
      </c>
      <c r="F21" t="s">
        <v>418</v>
      </c>
      <c r="G21" t="s">
        <v>211</v>
      </c>
      <c r="H21" t="b">
        <v>1</v>
      </c>
      <c r="I21" t="s">
        <v>212</v>
      </c>
      <c r="J21" t="s">
        <v>38</v>
      </c>
      <c r="K21" t="s">
        <v>213</v>
      </c>
      <c r="L21" t="s">
        <v>18</v>
      </c>
    </row>
    <row r="22" spans="1:12" x14ac:dyDescent="0.25">
      <c r="A22" s="3"/>
      <c r="I22" t="s">
        <v>259</v>
      </c>
      <c r="J22" t="s">
        <v>260</v>
      </c>
      <c r="K22" t="s">
        <v>261</v>
      </c>
      <c r="L22" t="s">
        <v>262</v>
      </c>
    </row>
    <row r="23" spans="1:12" ht="15.75" x14ac:dyDescent="0.25">
      <c r="A23" s="7" t="s">
        <v>221</v>
      </c>
      <c r="C23" s="4"/>
      <c r="D23" s="4"/>
      <c r="E23" s="4"/>
      <c r="F23" s="4"/>
      <c r="G23" s="4"/>
      <c r="H23" s="4"/>
      <c r="K23" s="4"/>
      <c r="L23" s="4"/>
    </row>
    <row r="24" spans="1:12" x14ac:dyDescent="0.25">
      <c r="A24" s="6" t="s">
        <v>251</v>
      </c>
      <c r="B24" s="6" t="s">
        <v>252</v>
      </c>
      <c r="C24" s="6" t="s">
        <v>255</v>
      </c>
      <c r="D24" s="6" t="s">
        <v>201</v>
      </c>
      <c r="E24" s="6" t="s">
        <v>256</v>
      </c>
      <c r="F24" s="6" t="s">
        <v>258</v>
      </c>
      <c r="G24" s="6" t="s">
        <v>257</v>
      </c>
      <c r="H24" s="6" t="s">
        <v>202</v>
      </c>
      <c r="I24" s="6" t="s">
        <v>196</v>
      </c>
      <c r="J24" s="6" t="s">
        <v>203</v>
      </c>
      <c r="K24" s="6" t="s">
        <v>254</v>
      </c>
    </row>
    <row r="25" spans="1:12" x14ac:dyDescent="0.25">
      <c r="A25" t="b">
        <v>1</v>
      </c>
      <c r="B25" t="b">
        <v>1</v>
      </c>
      <c r="C25" t="b">
        <v>1</v>
      </c>
      <c r="D25" t="b">
        <v>1</v>
      </c>
      <c r="E25" t="b">
        <v>1</v>
      </c>
      <c r="F25" t="b">
        <v>1</v>
      </c>
      <c r="G25" t="b">
        <v>1</v>
      </c>
      <c r="H25" t="b">
        <v>1</v>
      </c>
      <c r="I25" t="b">
        <v>0</v>
      </c>
      <c r="J25" t="b">
        <v>1</v>
      </c>
      <c r="K25" t="b">
        <v>0</v>
      </c>
    </row>
    <row r="27" spans="1:12" ht="15.75" x14ac:dyDescent="0.25">
      <c r="A27" s="7" t="s">
        <v>216</v>
      </c>
      <c r="B27" s="1"/>
    </row>
    <row r="28" spans="1:12" x14ac:dyDescent="0.25">
      <c r="A28" s="6" t="s">
        <v>217</v>
      </c>
      <c r="B28" s="6" t="s">
        <v>218</v>
      </c>
      <c r="C28" s="6" t="s">
        <v>219</v>
      </c>
      <c r="D28" s="6" t="s">
        <v>220</v>
      </c>
      <c r="J28" s="14" t="s">
        <v>253</v>
      </c>
    </row>
    <row r="29" spans="1:12" x14ac:dyDescent="0.25">
      <c r="A29" t="b">
        <v>1</v>
      </c>
      <c r="B29" t="s">
        <v>214</v>
      </c>
      <c r="C29" t="s">
        <v>86</v>
      </c>
      <c r="D29" t="s">
        <v>215</v>
      </c>
    </row>
    <row r="32" spans="1:12" ht="18.75" x14ac:dyDescent="0.3">
      <c r="A32" s="8" t="s">
        <v>21</v>
      </c>
    </row>
    <row r="33" spans="1:1" x14ac:dyDescent="0.25">
      <c r="A33" t="s">
        <v>20</v>
      </c>
    </row>
    <row r="34" spans="1:1" x14ac:dyDescent="0.25">
      <c r="A34" s="3" t="s">
        <v>78</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FAD508D1-9029-40A8-9EF9-B6E8FF1F1191}">
          <x14:formula1>
            <xm:f>Options!$C$1:$C$2</xm:f>
          </x14:formula1>
          <xm:sqref>A13</xm:sqref>
        </x14:dataValidation>
        <x14:dataValidation type="list" allowBlank="1" showInputMessage="1" showErrorMessage="1" xr:uid="{3B0F87E4-B0F8-4750-876C-17F0B763757C}">
          <x14:formula1>
            <xm:f>ESXHosts!$A$2:$A$5</xm:f>
          </x14:formula1>
          <xm:sqref>A3</xm:sqref>
        </x14:dataValidation>
        <x14:dataValidation type="list" allowBlank="1" showInputMessage="1" showErrorMessage="1" xr:uid="{8E96D122-AE5F-48E3-A0E1-E62E6B85F74D}">
          <x14:formula1>
            <xm:f>Options!$A$15:$A$19</xm:f>
          </x14:formula1>
          <xm:sqref>C7</xm:sqref>
        </x14:dataValidation>
        <x14:dataValidation type="list" allowBlank="1" showInputMessage="1" showErrorMessage="1" xr:uid="{FE002F46-75CE-483A-B4E4-ED92E4A8BE7C}">
          <x14:formula1>
            <xm:f>Options!$A$1:$A$2</xm:f>
          </x14:formula1>
          <xm:sqref>J7 A29 H21 A21 A25:K25</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B5F40-94B8-4027-824A-B0E69E8EAD7D}">
  <dimension ref="A1:M36"/>
  <sheetViews>
    <sheetView workbookViewId="0">
      <selection activeCell="A22" sqref="A22"/>
    </sheetView>
  </sheetViews>
  <sheetFormatPr defaultRowHeight="15" x14ac:dyDescent="0.25"/>
  <cols>
    <col min="1" max="2" width="25.7109375" customWidth="1"/>
    <col min="3" max="8" width="20.7109375" customWidth="1"/>
    <col min="9" max="9" width="23.7109375" customWidth="1"/>
    <col min="10" max="12" width="13" customWidth="1"/>
    <col min="13" max="13" width="15.5703125" customWidth="1"/>
    <col min="14" max="14" width="18.42578125" customWidth="1"/>
    <col min="15" max="15" width="12.42578125" bestFit="1" customWidth="1"/>
  </cols>
  <sheetData>
    <row r="1" spans="1:8" ht="15.75" x14ac:dyDescent="0.25">
      <c r="A1" s="7" t="s">
        <v>503</v>
      </c>
      <c r="B1" s="7"/>
    </row>
    <row r="2" spans="1:8" x14ac:dyDescent="0.25">
      <c r="A2" s="6" t="s">
        <v>506</v>
      </c>
      <c r="B2" s="6" t="s">
        <v>7</v>
      </c>
      <c r="C2" s="6" t="s">
        <v>8</v>
      </c>
      <c r="D2" s="6" t="s">
        <v>9</v>
      </c>
      <c r="E2" s="6" t="s">
        <v>10</v>
      </c>
      <c r="F2" s="6" t="s">
        <v>11</v>
      </c>
      <c r="G2" s="6" t="s">
        <v>12</v>
      </c>
      <c r="H2" s="6" t="s">
        <v>13</v>
      </c>
    </row>
    <row r="3" spans="1:8" x14ac:dyDescent="0.25">
      <c r="A3" t="s">
        <v>505</v>
      </c>
      <c r="B3" t="s">
        <v>504</v>
      </c>
      <c r="C3" t="s">
        <v>81</v>
      </c>
      <c r="D3" t="s">
        <v>18</v>
      </c>
      <c r="E3" t="s">
        <v>82</v>
      </c>
      <c r="F3" t="str">
        <f>'Global Settings'!D2</f>
        <v>192.168.30.2</v>
      </c>
      <c r="G3" t="str">
        <f>'Global Settings'!C2</f>
        <v>tataoui.com</v>
      </c>
      <c r="H3" t="str">
        <f>'Global Settings'!F2</f>
        <v>pool.ntp.org</v>
      </c>
    </row>
    <row r="5" spans="1:8" x14ac:dyDescent="0.25">
      <c r="A5" s="6" t="s">
        <v>509</v>
      </c>
      <c r="B5" s="6" t="s">
        <v>510</v>
      </c>
      <c r="C5" s="6" t="s">
        <v>511</v>
      </c>
      <c r="D5" s="6" t="s">
        <v>513</v>
      </c>
      <c r="E5" s="6" t="s">
        <v>514</v>
      </c>
      <c r="F5" s="6" t="s">
        <v>515</v>
      </c>
      <c r="G5" s="6" t="s">
        <v>103</v>
      </c>
      <c r="H5" s="6" t="s">
        <v>104</v>
      </c>
    </row>
    <row r="6" spans="1:8" x14ac:dyDescent="0.25">
      <c r="A6" t="b">
        <v>1</v>
      </c>
      <c r="B6" t="str">
        <f>'Global Settings'!B2</f>
        <v>VMware1!VMware1!</v>
      </c>
      <c r="C6" t="s">
        <v>512</v>
      </c>
      <c r="D6" t="str">
        <f>'Global Settings'!B2</f>
        <v>VMware1!VMware1!</v>
      </c>
      <c r="E6" t="s">
        <v>516</v>
      </c>
      <c r="F6" t="str">
        <f>'Global Settings'!B2</f>
        <v>VMware1!VMware1!</v>
      </c>
      <c r="G6" t="b">
        <v>1</v>
      </c>
      <c r="H6" t="b">
        <v>0</v>
      </c>
    </row>
    <row r="8" spans="1:8" x14ac:dyDescent="0.25">
      <c r="A8" s="6" t="s">
        <v>507</v>
      </c>
      <c r="B8" s="6" t="s">
        <v>96</v>
      </c>
      <c r="C8" s="6" t="s">
        <v>97</v>
      </c>
    </row>
    <row r="9" spans="1:8" x14ac:dyDescent="0.25">
      <c r="A9" t="s">
        <v>508</v>
      </c>
      <c r="B9">
        <v>6</v>
      </c>
      <c r="C9">
        <v>24</v>
      </c>
    </row>
    <row r="11" spans="1:8" ht="15.75" x14ac:dyDescent="0.25">
      <c r="A11" s="7" t="s">
        <v>14</v>
      </c>
    </row>
    <row r="12" spans="1:8" x14ac:dyDescent="0.25">
      <c r="A12" s="6" t="s">
        <v>15</v>
      </c>
      <c r="B12" s="6" t="s">
        <v>16</v>
      </c>
      <c r="C12" s="6" t="s">
        <v>17</v>
      </c>
      <c r="D12" s="6" t="s">
        <v>2</v>
      </c>
      <c r="E12" s="6" t="s">
        <v>3</v>
      </c>
      <c r="F12" s="6" t="s">
        <v>4</v>
      </c>
      <c r="G12" s="6" t="s">
        <v>5</v>
      </c>
      <c r="H12" s="6" t="s">
        <v>80</v>
      </c>
    </row>
    <row r="13" spans="1:8" x14ac:dyDescent="0.25">
      <c r="A13" s="3" t="str">
        <f>'VCSA Information'!B7</f>
        <v>172.16.10.20</v>
      </c>
      <c r="B13" s="2" t="s">
        <v>19</v>
      </c>
      <c r="C13" s="5" t="str">
        <f>'VCSA Information'!H7</f>
        <v>VMware1!</v>
      </c>
      <c r="D13" t="str">
        <f>'VCSA Information'!B13</f>
        <v>vSphere-Host-Cluster</v>
      </c>
      <c r="E13" t="s">
        <v>88</v>
      </c>
      <c r="F13" t="s">
        <v>86</v>
      </c>
      <c r="G13" t="s">
        <v>34</v>
      </c>
      <c r="H13" t="s">
        <v>111</v>
      </c>
    </row>
    <row r="15" spans="1:8" ht="15.75" x14ac:dyDescent="0.25">
      <c r="A15" s="7" t="s">
        <v>22</v>
      </c>
    </row>
    <row r="16" spans="1:8" x14ac:dyDescent="0.25">
      <c r="A16" s="6" t="s">
        <v>29</v>
      </c>
      <c r="B16" s="6" t="s">
        <v>4</v>
      </c>
      <c r="C16" s="6" t="s">
        <v>31</v>
      </c>
      <c r="D16" s="6" t="s">
        <v>32</v>
      </c>
      <c r="E16" s="6" t="s">
        <v>112</v>
      </c>
      <c r="F16" s="1"/>
    </row>
    <row r="17" spans="1:13" x14ac:dyDescent="0.25">
      <c r="A17" t="str">
        <f>'VCSA Information'!B13</f>
        <v>vSphere-Host-Cluster</v>
      </c>
      <c r="B17" t="s">
        <v>86</v>
      </c>
      <c r="C17" t="s">
        <v>88</v>
      </c>
      <c r="D17" t="str">
        <f>'Global Settings'!B2</f>
        <v>VMware1!VMware1!</v>
      </c>
      <c r="E17" s="4">
        <v>1</v>
      </c>
      <c r="F17" s="3"/>
      <c r="I17" s="2"/>
    </row>
    <row r="18" spans="1:13" x14ac:dyDescent="0.25">
      <c r="A18" s="3"/>
      <c r="C18" s="2"/>
      <c r="D18" s="2"/>
    </row>
    <row r="19" spans="1:13" ht="15.75" x14ac:dyDescent="0.25">
      <c r="A19" s="7" t="s">
        <v>113</v>
      </c>
      <c r="D19" s="2"/>
    </row>
    <row r="20" spans="1:13" x14ac:dyDescent="0.25">
      <c r="A20" s="6" t="s">
        <v>29</v>
      </c>
      <c r="B20" s="6" t="s">
        <v>35</v>
      </c>
      <c r="C20" s="6" t="s">
        <v>39</v>
      </c>
      <c r="D20" s="6" t="s">
        <v>40</v>
      </c>
      <c r="E20" s="6" t="s">
        <v>42</v>
      </c>
      <c r="F20" s="6" t="s">
        <v>43</v>
      </c>
      <c r="G20" s="6" t="s">
        <v>44</v>
      </c>
      <c r="H20" s="6" t="s">
        <v>45</v>
      </c>
      <c r="J20" s="30" t="s">
        <v>90</v>
      </c>
      <c r="K20" s="30" t="s">
        <v>91</v>
      </c>
      <c r="L20" s="31" t="s">
        <v>94</v>
      </c>
      <c r="M20" s="10"/>
    </row>
    <row r="21" spans="1:13" x14ac:dyDescent="0.25">
      <c r="A21" t="str">
        <f>'VCSA Information'!B13</f>
        <v>vSphere-Host-Cluster</v>
      </c>
      <c r="B21" t="s">
        <v>108</v>
      </c>
      <c r="C21" s="4">
        <v>15</v>
      </c>
      <c r="D21" s="4">
        <v>1</v>
      </c>
      <c r="E21" s="4">
        <v>5000</v>
      </c>
      <c r="F21" s="4">
        <v>5999</v>
      </c>
      <c r="G21" s="4" t="s">
        <v>46</v>
      </c>
      <c r="H21" s="4" t="s">
        <v>79</v>
      </c>
      <c r="J21" s="29" t="s">
        <v>92</v>
      </c>
      <c r="K21" s="29" t="s">
        <v>93</v>
      </c>
      <c r="L21" s="12" t="s">
        <v>391</v>
      </c>
      <c r="M21" s="10"/>
    </row>
    <row r="22" spans="1:13" x14ac:dyDescent="0.25">
      <c r="C22" s="4"/>
      <c r="D22" s="4"/>
      <c r="E22" s="4"/>
      <c r="F22" s="4"/>
      <c r="G22" s="4"/>
      <c r="H22" s="4"/>
      <c r="K22" s="4"/>
      <c r="L22" s="4"/>
    </row>
    <row r="23" spans="1:13" x14ac:dyDescent="0.25">
      <c r="A23" s="6" t="s">
        <v>58</v>
      </c>
      <c r="B23" s="6" t="s">
        <v>59</v>
      </c>
    </row>
    <row r="24" spans="1:13" x14ac:dyDescent="0.25">
      <c r="A24" t="s">
        <v>57</v>
      </c>
      <c r="B24">
        <v>1600</v>
      </c>
    </row>
    <row r="26" spans="1:13" ht="15.75" x14ac:dyDescent="0.25">
      <c r="A26" s="7" t="s">
        <v>47</v>
      </c>
      <c r="B26" s="1"/>
    </row>
    <row r="27" spans="1:13" x14ac:dyDescent="0.25">
      <c r="A27" s="6" t="s">
        <v>1</v>
      </c>
      <c r="B27" s="6" t="s">
        <v>48</v>
      </c>
    </row>
    <row r="28" spans="1:13" x14ac:dyDescent="0.25">
      <c r="A28" t="s">
        <v>49</v>
      </c>
      <c r="B28" t="s">
        <v>109</v>
      </c>
    </row>
    <row r="30" spans="1:13" ht="15.75" x14ac:dyDescent="0.25">
      <c r="A30" s="7" t="s">
        <v>263</v>
      </c>
      <c r="B30" s="1"/>
    </row>
    <row r="31" spans="1:13" x14ac:dyDescent="0.25">
      <c r="A31" s="6" t="s">
        <v>264</v>
      </c>
      <c r="B31" s="6" t="s">
        <v>265</v>
      </c>
    </row>
    <row r="32" spans="1:13" x14ac:dyDescent="0.25">
      <c r="A32">
        <v>2</v>
      </c>
      <c r="B32">
        <v>1</v>
      </c>
    </row>
    <row r="34" spans="1:1" ht="18.75" x14ac:dyDescent="0.3">
      <c r="A34" s="8" t="s">
        <v>21</v>
      </c>
    </row>
    <row r="35" spans="1:1" x14ac:dyDescent="0.25">
      <c r="A35" t="s">
        <v>20</v>
      </c>
    </row>
    <row r="36" spans="1:1" x14ac:dyDescent="0.25">
      <c r="A36" s="3" t="s">
        <v>78</v>
      </c>
    </row>
  </sheetData>
  <hyperlinks>
    <hyperlink ref="B13" r:id="rId1" xr:uid="{7D32500B-CBAC-48E1-B623-37255F668572}"/>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13C21CF2-64C0-4378-B96B-482AAA226980}">
          <x14:formula1>
            <xm:f>Options!$A$1:$A$2</xm:f>
          </x14:formula1>
          <xm:sqref>G6:H9 A6:A9</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3"/>
  <sheetViews>
    <sheetView workbookViewId="0">
      <selection activeCell="H24" sqref="H24"/>
    </sheetView>
  </sheetViews>
  <sheetFormatPr defaultRowHeight="15" x14ac:dyDescent="0.25"/>
  <cols>
    <col min="1" max="1" width="30.7109375" customWidth="1"/>
    <col min="2" max="2" width="33.28515625" customWidth="1"/>
    <col min="3" max="3" width="22.42578125" customWidth="1"/>
    <col min="4" max="4" width="22.7109375" customWidth="1"/>
    <col min="5" max="5" width="22.5703125" bestFit="1" customWidth="1"/>
    <col min="6" max="6" width="23.42578125" customWidth="1"/>
    <col min="7" max="8" width="22.7109375" customWidth="1"/>
    <col min="9" max="9" width="23.7109375" customWidth="1"/>
    <col min="10" max="12" width="13" customWidth="1"/>
    <col min="13" max="13" width="15.5703125" customWidth="1"/>
    <col min="14" max="14" width="18.42578125" customWidth="1"/>
    <col min="15" max="15" width="12.42578125" bestFit="1" customWidth="1"/>
  </cols>
  <sheetData>
    <row r="1" spans="1:9" ht="15.75" x14ac:dyDescent="0.25">
      <c r="A1" s="7" t="s">
        <v>0</v>
      </c>
    </row>
    <row r="2" spans="1:9" x14ac:dyDescent="0.25">
      <c r="A2" s="6" t="s">
        <v>1</v>
      </c>
      <c r="B2" s="6" t="s">
        <v>7</v>
      </c>
      <c r="C2" s="6" t="s">
        <v>8</v>
      </c>
      <c r="D2" s="6" t="s">
        <v>9</v>
      </c>
      <c r="E2" s="6" t="s">
        <v>10</v>
      </c>
      <c r="F2" s="6" t="s">
        <v>11</v>
      </c>
      <c r="G2" s="6" t="s">
        <v>12</v>
      </c>
      <c r="H2" s="6" t="s">
        <v>13</v>
      </c>
    </row>
    <row r="3" spans="1:9" x14ac:dyDescent="0.25">
      <c r="A3" t="s">
        <v>105</v>
      </c>
      <c r="B3" t="s">
        <v>106</v>
      </c>
      <c r="C3" t="s">
        <v>81</v>
      </c>
      <c r="D3" t="s">
        <v>18</v>
      </c>
      <c r="E3" t="s">
        <v>82</v>
      </c>
      <c r="F3" t="str">
        <f>'Global Settings'!D2</f>
        <v>192.168.30.2</v>
      </c>
      <c r="G3" t="str">
        <f>'Global Settings'!C2</f>
        <v>tataoui.com</v>
      </c>
      <c r="H3" t="str">
        <f>'Global Settings'!F2</f>
        <v>pool.ntp.org</v>
      </c>
    </row>
    <row r="5" spans="1:9" x14ac:dyDescent="0.25">
      <c r="A5" s="6" t="s">
        <v>6</v>
      </c>
      <c r="B5" s="6" t="s">
        <v>95</v>
      </c>
      <c r="C5" s="6" t="s">
        <v>103</v>
      </c>
      <c r="D5" s="6" t="s">
        <v>104</v>
      </c>
      <c r="E5" s="6" t="s">
        <v>96</v>
      </c>
      <c r="F5" s="6" t="s">
        <v>97</v>
      </c>
    </row>
    <row r="6" spans="1:9" x14ac:dyDescent="0.25">
      <c r="A6" t="str">
        <f>'Global Settings'!B2</f>
        <v>VMware1!VMware1!</v>
      </c>
      <c r="B6" t="str">
        <f>'Global Settings'!B2</f>
        <v>VMware1!VMware1!</v>
      </c>
      <c r="C6" t="b">
        <v>1</v>
      </c>
      <c r="D6" t="b">
        <v>0</v>
      </c>
      <c r="E6">
        <v>2</v>
      </c>
      <c r="F6">
        <v>8</v>
      </c>
    </row>
    <row r="8" spans="1:9" ht="15.75" x14ac:dyDescent="0.25">
      <c r="A8" s="7" t="s">
        <v>14</v>
      </c>
    </row>
    <row r="9" spans="1:9" x14ac:dyDescent="0.25">
      <c r="A9" s="6" t="s">
        <v>15</v>
      </c>
      <c r="B9" s="6" t="s">
        <v>16</v>
      </c>
      <c r="C9" s="6" t="s">
        <v>17</v>
      </c>
      <c r="D9" s="6" t="s">
        <v>2</v>
      </c>
      <c r="E9" s="6" t="s">
        <v>3</v>
      </c>
      <c r="F9" s="6" t="s">
        <v>4</v>
      </c>
      <c r="G9" s="6" t="s">
        <v>5</v>
      </c>
      <c r="H9" s="6" t="s">
        <v>80</v>
      </c>
    </row>
    <row r="10" spans="1:9" x14ac:dyDescent="0.25">
      <c r="A10" s="3" t="str">
        <f>'VCSA Information'!B7</f>
        <v>172.16.10.20</v>
      </c>
      <c r="B10" s="2" t="s">
        <v>19</v>
      </c>
      <c r="C10" s="5" t="str">
        <f>'VCSA Information'!H7</f>
        <v>VMware1!</v>
      </c>
      <c r="D10" t="e">
        <f>'VCSA Information'!#REF!</f>
        <v>#REF!</v>
      </c>
      <c r="E10" t="s">
        <v>88</v>
      </c>
      <c r="F10" t="s">
        <v>86</v>
      </c>
      <c r="G10" t="s">
        <v>34</v>
      </c>
      <c r="H10" t="s">
        <v>111</v>
      </c>
    </row>
    <row r="12" spans="1:9" ht="15.75" x14ac:dyDescent="0.25">
      <c r="A12" s="7" t="s">
        <v>22</v>
      </c>
    </row>
    <row r="13" spans="1:9" x14ac:dyDescent="0.25">
      <c r="A13" s="6" t="s">
        <v>29</v>
      </c>
      <c r="B13" s="6" t="s">
        <v>4</v>
      </c>
      <c r="C13" s="6" t="s">
        <v>31</v>
      </c>
      <c r="D13" s="6" t="s">
        <v>32</v>
      </c>
      <c r="E13" s="6" t="s">
        <v>112</v>
      </c>
      <c r="F13" s="1"/>
    </row>
    <row r="14" spans="1:9" x14ac:dyDescent="0.25">
      <c r="A14" t="e">
        <f>'VCSA Information'!#REF!</f>
        <v>#REF!</v>
      </c>
      <c r="B14" t="s">
        <v>86</v>
      </c>
      <c r="C14" t="s">
        <v>88</v>
      </c>
      <c r="D14" t="str">
        <f>'Global Settings'!B2</f>
        <v>VMware1!VMware1!</v>
      </c>
      <c r="E14" s="4">
        <v>1</v>
      </c>
      <c r="F14" s="3"/>
      <c r="I14" s="2"/>
    </row>
    <row r="15" spans="1:9" x14ac:dyDescent="0.25">
      <c r="A15" s="3"/>
      <c r="C15" s="2"/>
      <c r="D15" s="2"/>
    </row>
    <row r="16" spans="1:9" ht="15.75" x14ac:dyDescent="0.25">
      <c r="A16" s="7" t="s">
        <v>113</v>
      </c>
      <c r="D16" s="2"/>
    </row>
    <row r="17" spans="1:13" x14ac:dyDescent="0.25">
      <c r="A17" s="6" t="s">
        <v>29</v>
      </c>
      <c r="B17" s="6" t="s">
        <v>35</v>
      </c>
      <c r="C17" s="6" t="s">
        <v>39</v>
      </c>
      <c r="D17" s="6" t="s">
        <v>40</v>
      </c>
      <c r="E17" s="6" t="s">
        <v>42</v>
      </c>
      <c r="F17" s="6" t="s">
        <v>43</v>
      </c>
      <c r="G17" s="6" t="s">
        <v>44</v>
      </c>
      <c r="H17" s="6" t="s">
        <v>45</v>
      </c>
      <c r="J17" s="30" t="s">
        <v>90</v>
      </c>
      <c r="K17" s="30" t="s">
        <v>91</v>
      </c>
      <c r="L17" s="31" t="s">
        <v>94</v>
      </c>
      <c r="M17" s="10"/>
    </row>
    <row r="18" spans="1:13" x14ac:dyDescent="0.25">
      <c r="A18" t="e">
        <f>'VCSA Information'!#REF!</f>
        <v>#REF!</v>
      </c>
      <c r="B18" t="s">
        <v>108</v>
      </c>
      <c r="C18" s="4">
        <v>15</v>
      </c>
      <c r="D18" s="4">
        <v>1</v>
      </c>
      <c r="E18" s="4">
        <v>5000</v>
      </c>
      <c r="F18" s="4">
        <v>5999</v>
      </c>
      <c r="G18" s="4" t="s">
        <v>46</v>
      </c>
      <c r="H18" s="4" t="s">
        <v>79</v>
      </c>
      <c r="J18" s="29" t="s">
        <v>92</v>
      </c>
      <c r="K18" s="29" t="s">
        <v>93</v>
      </c>
      <c r="L18" s="12" t="s">
        <v>391</v>
      </c>
      <c r="M18" s="10"/>
    </row>
    <row r="19" spans="1:13" x14ac:dyDescent="0.25">
      <c r="C19" s="4"/>
      <c r="D19" s="4"/>
      <c r="E19" s="4"/>
      <c r="F19" s="4"/>
      <c r="G19" s="4"/>
      <c r="H19" s="4"/>
      <c r="K19" s="4"/>
      <c r="L19" s="4"/>
    </row>
    <row r="20" spans="1:13" x14ac:dyDescent="0.25">
      <c r="A20" s="6" t="s">
        <v>58</v>
      </c>
      <c r="B20" s="6" t="s">
        <v>59</v>
      </c>
    </row>
    <row r="21" spans="1:13" x14ac:dyDescent="0.25">
      <c r="A21" t="s">
        <v>57</v>
      </c>
      <c r="B21">
        <v>1600</v>
      </c>
    </row>
    <row r="23" spans="1:13" ht="15.75" x14ac:dyDescent="0.25">
      <c r="A23" s="7" t="s">
        <v>47</v>
      </c>
      <c r="B23" s="1"/>
    </row>
    <row r="24" spans="1:13" x14ac:dyDescent="0.25">
      <c r="A24" s="6" t="s">
        <v>1</v>
      </c>
      <c r="B24" s="6" t="s">
        <v>48</v>
      </c>
    </row>
    <row r="25" spans="1:13" x14ac:dyDescent="0.25">
      <c r="A25" t="s">
        <v>49</v>
      </c>
      <c r="B25" t="s">
        <v>109</v>
      </c>
    </row>
    <row r="27" spans="1:13" ht="15.75" x14ac:dyDescent="0.25">
      <c r="A27" s="7" t="s">
        <v>263</v>
      </c>
      <c r="B27" s="1"/>
    </row>
    <row r="28" spans="1:13" x14ac:dyDescent="0.25">
      <c r="A28" s="6" t="s">
        <v>264</v>
      </c>
      <c r="B28" s="6" t="s">
        <v>265</v>
      </c>
    </row>
    <row r="29" spans="1:13" x14ac:dyDescent="0.25">
      <c r="A29">
        <v>2</v>
      </c>
      <c r="B29">
        <v>1</v>
      </c>
    </row>
    <row r="31" spans="1:13" ht="18.75" x14ac:dyDescent="0.3">
      <c r="A31" s="8" t="s">
        <v>21</v>
      </c>
    </row>
    <row r="32" spans="1:13" x14ac:dyDescent="0.25">
      <c r="A32" t="s">
        <v>20</v>
      </c>
    </row>
    <row r="33" spans="1:1" x14ac:dyDescent="0.25">
      <c r="A33" s="3" t="s">
        <v>78</v>
      </c>
    </row>
  </sheetData>
  <hyperlinks>
    <hyperlink ref="B10" r:id="rId1" xr:uid="{00000000-0004-0000-0000-000000000000}"/>
  </hyperlinks>
  <pageMargins left="0.7" right="0.7" top="0.75" bottom="0.75" header="0.3" footer="0.3"/>
  <pageSetup paperSize="9" orientation="portrait" r:id="rId2"/>
  <drawing r:id="rId3"/>
  <legacyDrawing r:id="rId4"/>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F397069-6FD7-4BC3-97C8-1C1F87EA6C56}">
          <x14:formula1>
            <xm:f>Options!$A$1:$A$2</xm:f>
          </x14:formula1>
          <xm:sqref>C6:D6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
  <sheetViews>
    <sheetView zoomScale="140" zoomScaleNormal="140" workbookViewId="0"/>
  </sheetViews>
  <sheetFormatPr defaultRowHeight="15" x14ac:dyDescent="0.25"/>
  <cols>
    <col min="1" max="1" width="13.140625" customWidth="1"/>
    <col min="2" max="2" width="27.28515625" customWidth="1"/>
    <col min="3" max="3" width="14" customWidth="1"/>
    <col min="5" max="5" width="15.42578125" customWidth="1"/>
    <col min="6" max="6" width="17.140625" customWidth="1"/>
    <col min="7" max="7" width="23.42578125" customWidth="1"/>
    <col min="8" max="8" width="20.140625" customWidth="1"/>
    <col min="9" max="9" width="16.42578125" customWidth="1"/>
    <col min="10" max="10" width="27.7109375" bestFit="1" customWidth="1"/>
  </cols>
  <sheetData>
    <row r="1" spans="1:10" x14ac:dyDescent="0.25">
      <c r="A1" s="16" t="s">
        <v>37</v>
      </c>
      <c r="B1" s="6" t="s">
        <v>1</v>
      </c>
      <c r="C1" s="6" t="s">
        <v>23</v>
      </c>
      <c r="D1" s="6" t="s">
        <v>24</v>
      </c>
      <c r="E1" s="6" t="s">
        <v>25</v>
      </c>
      <c r="F1" s="6" t="s">
        <v>26</v>
      </c>
      <c r="G1" s="6" t="s">
        <v>27</v>
      </c>
      <c r="H1" s="6" t="s">
        <v>114</v>
      </c>
      <c r="I1" s="6" t="s">
        <v>115</v>
      </c>
      <c r="J1" s="6" t="s">
        <v>166</v>
      </c>
    </row>
    <row r="2" spans="1:10" ht="15.75" x14ac:dyDescent="0.25">
      <c r="A2" s="18" t="s">
        <v>33</v>
      </c>
      <c r="B2" s="3" t="s">
        <v>28</v>
      </c>
      <c r="C2" s="3" t="s">
        <v>82</v>
      </c>
      <c r="D2" s="3">
        <v>24</v>
      </c>
      <c r="E2" t="str">
        <f>'Global Settings'!D2</f>
        <v>192.168.30.2</v>
      </c>
      <c r="F2" s="3" t="str">
        <f>'Global Settings'!E2</f>
        <v>192.168.30.3</v>
      </c>
      <c r="G2" s="3" t="str">
        <f>'Global Settings'!C2</f>
        <v>tataoui.com</v>
      </c>
      <c r="H2" s="3" t="s">
        <v>99</v>
      </c>
      <c r="I2" s="3" t="s">
        <v>100</v>
      </c>
      <c r="J2" t="s">
        <v>300</v>
      </c>
    </row>
    <row r="3" spans="1:10" ht="15.75" x14ac:dyDescent="0.25">
      <c r="A3" s="17" t="s">
        <v>38</v>
      </c>
      <c r="B3" t="s">
        <v>36</v>
      </c>
      <c r="C3" t="s">
        <v>98</v>
      </c>
      <c r="D3">
        <v>24</v>
      </c>
      <c r="E3" t="str">
        <f>'Global Settings'!D2</f>
        <v>192.168.30.2</v>
      </c>
      <c r="F3" s="3" t="str">
        <f>'Global Settings'!E2</f>
        <v>192.168.30.3</v>
      </c>
      <c r="G3" s="3" t="str">
        <f>'Global Settings'!C2</f>
        <v>tataoui.com</v>
      </c>
      <c r="H3" s="3" t="s">
        <v>101</v>
      </c>
      <c r="I3" s="3" t="s">
        <v>102</v>
      </c>
      <c r="J3" t="s">
        <v>301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1"/>
  <sheetViews>
    <sheetView zoomScale="140" zoomScaleNormal="140" workbookViewId="0">
      <selection activeCell="A3" sqref="A3"/>
    </sheetView>
  </sheetViews>
  <sheetFormatPr defaultRowHeight="15" x14ac:dyDescent="0.25"/>
  <cols>
    <col min="1" max="1" width="36" customWidth="1"/>
  </cols>
  <sheetData>
    <row r="1" spans="1:1" ht="15.75" x14ac:dyDescent="0.25">
      <c r="A1" s="7" t="s">
        <v>142</v>
      </c>
    </row>
    <row r="2" spans="1:1" x14ac:dyDescent="0.25">
      <c r="A2" s="6" t="s">
        <v>41</v>
      </c>
    </row>
    <row r="3" spans="1:1" x14ac:dyDescent="0.25">
      <c r="A3" t="str">
        <f>'NSX Information'!A3</f>
        <v>nsx64-8</v>
      </c>
    </row>
    <row r="4" spans="1:1" x14ac:dyDescent="0.25">
      <c r="A4" t="str">
        <f>'VCSA Information'!D7</f>
        <v>vcsa10</v>
      </c>
    </row>
    <row r="10" spans="1:1" ht="18.75" x14ac:dyDescent="0.3">
      <c r="A10" s="8" t="s">
        <v>21</v>
      </c>
    </row>
    <row r="11" spans="1:1" x14ac:dyDescent="0.25">
      <c r="A11" t="s">
        <v>141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120" zoomScaleNormal="120" workbookViewId="0"/>
  </sheetViews>
  <sheetFormatPr defaultRowHeight="15" x14ac:dyDescent="0.25"/>
  <cols>
    <col min="1" max="1" width="23.85546875" customWidth="1"/>
    <col min="2" max="2" width="37.5703125" customWidth="1"/>
  </cols>
  <sheetData>
    <row r="1" spans="1:2" x14ac:dyDescent="0.25">
      <c r="A1" s="6" t="s">
        <v>110</v>
      </c>
      <c r="B1" s="6" t="s">
        <v>50</v>
      </c>
    </row>
    <row r="2" spans="1:2" x14ac:dyDescent="0.25">
      <c r="A2" t="s">
        <v>51</v>
      </c>
      <c r="B2" t="s">
        <v>54</v>
      </c>
    </row>
    <row r="3" spans="1:2" x14ac:dyDescent="0.25">
      <c r="A3" t="s">
        <v>52</v>
      </c>
      <c r="B3" t="s">
        <v>55</v>
      </c>
    </row>
    <row r="4" spans="1:2" x14ac:dyDescent="0.25">
      <c r="A4" t="s">
        <v>53</v>
      </c>
      <c r="B4" t="s">
        <v>56</v>
      </c>
    </row>
    <row r="5" spans="1:2" x14ac:dyDescent="0.25">
      <c r="A5" t="s">
        <v>117</v>
      </c>
      <c r="B5" t="s">
        <v>306</v>
      </c>
    </row>
    <row r="6" spans="1:2" x14ac:dyDescent="0.25">
      <c r="A6" t="s">
        <v>121</v>
      </c>
      <c r="B6" t="s">
        <v>307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5"/>
  <sheetViews>
    <sheetView zoomScale="130" zoomScaleNormal="130" workbookViewId="0">
      <selection activeCell="F13" sqref="F13"/>
    </sheetView>
  </sheetViews>
  <sheetFormatPr defaultRowHeight="15" x14ac:dyDescent="0.25"/>
  <cols>
    <col min="1" max="3" width="20.7109375" customWidth="1"/>
    <col min="4" max="4" width="15.7109375" customWidth="1"/>
    <col min="5" max="5" width="20.7109375" customWidth="1"/>
    <col min="6" max="7" width="15.7109375" customWidth="1"/>
    <col min="8" max="8" width="20.7109375" customWidth="1"/>
    <col min="9" max="10" width="15.7109375" customWidth="1"/>
    <col min="11" max="11" width="23.7109375" customWidth="1"/>
  </cols>
  <sheetData>
    <row r="1" spans="1:11" x14ac:dyDescent="0.25">
      <c r="A1" s="6" t="s">
        <v>76</v>
      </c>
      <c r="B1" s="6" t="s">
        <v>130</v>
      </c>
      <c r="C1" s="6" t="s">
        <v>30</v>
      </c>
      <c r="D1" s="6" t="s">
        <v>4</v>
      </c>
      <c r="E1" s="6" t="s">
        <v>61</v>
      </c>
      <c r="F1" s="6" t="s">
        <v>116</v>
      </c>
      <c r="G1" s="6" t="s">
        <v>65</v>
      </c>
      <c r="H1" s="6" t="s">
        <v>66</v>
      </c>
      <c r="I1" s="6" t="s">
        <v>67</v>
      </c>
      <c r="J1" s="6" t="s">
        <v>75</v>
      </c>
      <c r="K1" s="6" t="s">
        <v>77</v>
      </c>
    </row>
    <row r="2" spans="1:11" x14ac:dyDescent="0.25">
      <c r="A2" t="s">
        <v>303</v>
      </c>
      <c r="B2" t="s">
        <v>131</v>
      </c>
      <c r="C2" t="e">
        <f>'VCSA Information'!#REF!</f>
        <v>#REF!</v>
      </c>
      <c r="D2" t="s">
        <v>86</v>
      </c>
      <c r="E2" t="str">
        <f>'Global Settings'!B2</f>
        <v>VMware1!VMware1!</v>
      </c>
      <c r="F2" t="s">
        <v>64</v>
      </c>
      <c r="G2" t="s">
        <v>74</v>
      </c>
      <c r="H2" t="s">
        <v>159</v>
      </c>
      <c r="I2">
        <v>24</v>
      </c>
      <c r="J2" t="s">
        <v>117</v>
      </c>
      <c r="K2" t="s">
        <v>88</v>
      </c>
    </row>
    <row r="4" spans="1:11" ht="15.75" x14ac:dyDescent="0.25">
      <c r="A4" s="7" t="s">
        <v>140</v>
      </c>
      <c r="B4" s="7"/>
      <c r="C4" s="7"/>
      <c r="D4" s="7"/>
      <c r="E4" s="7"/>
      <c r="F4" s="7"/>
      <c r="G4" s="7"/>
      <c r="H4" s="7"/>
    </row>
    <row r="5" spans="1:11" x14ac:dyDescent="0.25">
      <c r="A5" s="6" t="s">
        <v>129</v>
      </c>
      <c r="B5" s="6" t="s">
        <v>132</v>
      </c>
      <c r="C5" s="6" t="s">
        <v>133</v>
      </c>
      <c r="D5" s="6" t="s">
        <v>8</v>
      </c>
      <c r="E5" s="6" t="s">
        <v>134</v>
      </c>
      <c r="F5" s="6" t="s">
        <v>136</v>
      </c>
      <c r="G5" s="6" t="s">
        <v>137</v>
      </c>
      <c r="H5" s="6" t="s">
        <v>138</v>
      </c>
    </row>
    <row r="6" spans="1:11" x14ac:dyDescent="0.25">
      <c r="A6" t="s">
        <v>159</v>
      </c>
      <c r="B6" t="s">
        <v>143</v>
      </c>
      <c r="C6" t="s">
        <v>159</v>
      </c>
      <c r="D6" t="s">
        <v>160</v>
      </c>
      <c r="E6">
        <v>35400</v>
      </c>
      <c r="F6">
        <v>35400</v>
      </c>
      <c r="G6">
        <v>1</v>
      </c>
      <c r="H6">
        <v>3</v>
      </c>
    </row>
    <row r="8" spans="1:11" ht="15.75" x14ac:dyDescent="0.25">
      <c r="A8" s="7" t="s">
        <v>128</v>
      </c>
      <c r="B8" s="7"/>
      <c r="C8" s="7"/>
      <c r="D8" s="7"/>
    </row>
    <row r="9" spans="1:11" x14ac:dyDescent="0.25">
      <c r="A9" s="6" t="s">
        <v>122</v>
      </c>
      <c r="B9" s="6" t="s">
        <v>123</v>
      </c>
      <c r="C9" s="6" t="s">
        <v>124</v>
      </c>
      <c r="D9" s="6" t="s">
        <v>125</v>
      </c>
    </row>
    <row r="10" spans="1:11" x14ac:dyDescent="0.25">
      <c r="A10" t="s">
        <v>51</v>
      </c>
      <c r="B10" t="s">
        <v>126</v>
      </c>
      <c r="C10">
        <v>24</v>
      </c>
      <c r="D10" t="s">
        <v>51</v>
      </c>
    </row>
    <row r="20" spans="1:1" ht="18.75" x14ac:dyDescent="0.3">
      <c r="A20" s="8" t="s">
        <v>21</v>
      </c>
    </row>
    <row r="21" spans="1:1" x14ac:dyDescent="0.25">
      <c r="A21" t="s">
        <v>118</v>
      </c>
    </row>
    <row r="22" spans="1:1" x14ac:dyDescent="0.25">
      <c r="A22" t="s">
        <v>272</v>
      </c>
    </row>
    <row r="23" spans="1:1" x14ac:dyDescent="0.25">
      <c r="A23" t="s">
        <v>269</v>
      </c>
    </row>
    <row r="24" spans="1:1" x14ac:dyDescent="0.25">
      <c r="A24" t="s">
        <v>270</v>
      </c>
    </row>
    <row r="25" spans="1:1" x14ac:dyDescent="0.25">
      <c r="A25" t="s">
        <v>271</v>
      </c>
    </row>
  </sheetData>
  <hyperlinks>
    <hyperlink ref="E2" r:id="rId1" display="VMw@re123!NSX" xr:uid="{F6513212-E419-486D-8537-5CE68792CF36}"/>
  </hyperlinks>
  <pageMargins left="0.7" right="0.7" top="0.75" bottom="0.75" header="0.3" footer="0.3"/>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Options!$A$4:$A$5</xm:f>
          </x14:formula1>
          <xm:sqref>F2</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B9B47-C69A-427B-9EBE-1675CB1B6ACF}">
  <dimension ref="A1:K19"/>
  <sheetViews>
    <sheetView zoomScale="130" zoomScaleNormal="130" workbookViewId="0">
      <selection activeCell="E2" sqref="E2"/>
    </sheetView>
  </sheetViews>
  <sheetFormatPr defaultRowHeight="15" x14ac:dyDescent="0.25"/>
  <cols>
    <col min="1" max="3" width="20.7109375" customWidth="1"/>
    <col min="4" max="4" width="15.7109375" customWidth="1"/>
    <col min="5" max="5" width="20.7109375" customWidth="1"/>
    <col min="6" max="7" width="15.7109375" customWidth="1"/>
    <col min="8" max="8" width="20.7109375" customWidth="1"/>
    <col min="9" max="10" width="15.7109375" customWidth="1"/>
    <col min="11" max="11" width="23.7109375" customWidth="1"/>
  </cols>
  <sheetData>
    <row r="1" spans="1:11" x14ac:dyDescent="0.25">
      <c r="A1" s="6" t="s">
        <v>76</v>
      </c>
      <c r="B1" s="6" t="s">
        <v>130</v>
      </c>
      <c r="C1" s="6" t="s">
        <v>30</v>
      </c>
      <c r="D1" s="6" t="s">
        <v>4</v>
      </c>
      <c r="E1" s="6" t="s">
        <v>61</v>
      </c>
      <c r="F1" s="6" t="s">
        <v>116</v>
      </c>
      <c r="G1" s="6" t="s">
        <v>65</v>
      </c>
      <c r="H1" s="6" t="s">
        <v>66</v>
      </c>
      <c r="I1" s="6" t="s">
        <v>67</v>
      </c>
      <c r="J1" s="6" t="s">
        <v>75</v>
      </c>
      <c r="K1" s="6" t="s">
        <v>77</v>
      </c>
    </row>
    <row r="2" spans="1:11" x14ac:dyDescent="0.25">
      <c r="A2" t="s">
        <v>305</v>
      </c>
      <c r="B2" t="s">
        <v>131</v>
      </c>
      <c r="C2" t="e">
        <f>'VCSA Information'!#REF!</f>
        <v>#REF!</v>
      </c>
      <c r="D2" t="s">
        <v>86</v>
      </c>
      <c r="E2" t="e">
        <f>Options!#REF!</f>
        <v>#REF!</v>
      </c>
      <c r="F2" t="s">
        <v>64</v>
      </c>
      <c r="G2" t="s">
        <v>74</v>
      </c>
      <c r="H2" t="s">
        <v>120</v>
      </c>
      <c r="I2">
        <v>24</v>
      </c>
      <c r="J2" t="s">
        <v>121</v>
      </c>
      <c r="K2" t="s">
        <v>88</v>
      </c>
    </row>
    <row r="4" spans="1:11" ht="15.75" x14ac:dyDescent="0.25">
      <c r="A4" s="7" t="s">
        <v>140</v>
      </c>
      <c r="B4" s="7"/>
      <c r="C4" s="7"/>
      <c r="D4" s="7"/>
      <c r="E4" s="7"/>
      <c r="F4" s="7"/>
      <c r="G4" s="7"/>
      <c r="H4" s="7"/>
    </row>
    <row r="5" spans="1:11" x14ac:dyDescent="0.25">
      <c r="A5" s="6" t="s">
        <v>129</v>
      </c>
      <c r="B5" s="6" t="s">
        <v>132</v>
      </c>
      <c r="C5" s="6" t="s">
        <v>133</v>
      </c>
      <c r="D5" s="6" t="s">
        <v>8</v>
      </c>
      <c r="E5" s="6" t="s">
        <v>134</v>
      </c>
      <c r="F5" s="6" t="s">
        <v>136</v>
      </c>
      <c r="G5" s="6" t="s">
        <v>137</v>
      </c>
      <c r="H5" s="6" t="s">
        <v>138</v>
      </c>
    </row>
    <row r="6" spans="1:11" x14ac:dyDescent="0.25">
      <c r="A6" t="s">
        <v>120</v>
      </c>
      <c r="B6" t="s">
        <v>135</v>
      </c>
      <c r="C6" t="s">
        <v>120</v>
      </c>
      <c r="D6" t="s">
        <v>139</v>
      </c>
      <c r="E6">
        <v>35400</v>
      </c>
      <c r="F6">
        <v>35400</v>
      </c>
      <c r="G6">
        <v>1</v>
      </c>
      <c r="H6">
        <v>3</v>
      </c>
    </row>
    <row r="8" spans="1:11" ht="15.75" x14ac:dyDescent="0.25">
      <c r="A8" s="7" t="s">
        <v>128</v>
      </c>
      <c r="B8" s="7"/>
      <c r="C8" s="7"/>
      <c r="D8" s="7"/>
    </row>
    <row r="9" spans="1:11" x14ac:dyDescent="0.25">
      <c r="A9" s="6" t="s">
        <v>122</v>
      </c>
      <c r="B9" s="6" t="s">
        <v>123</v>
      </c>
      <c r="C9" s="6" t="s">
        <v>124</v>
      </c>
      <c r="D9" s="6" t="s">
        <v>125</v>
      </c>
    </row>
    <row r="10" spans="1:11" x14ac:dyDescent="0.25">
      <c r="A10" t="s">
        <v>52</v>
      </c>
      <c r="B10" t="s">
        <v>127</v>
      </c>
      <c r="C10">
        <v>24</v>
      </c>
      <c r="D10" t="s">
        <v>52</v>
      </c>
    </row>
    <row r="11" spans="1:11" x14ac:dyDescent="0.25">
      <c r="A11" t="s">
        <v>53</v>
      </c>
      <c r="B11" t="s">
        <v>158</v>
      </c>
      <c r="C11">
        <v>24</v>
      </c>
      <c r="D11" t="s">
        <v>53</v>
      </c>
    </row>
    <row r="19" spans="1:1" ht="18.75" x14ac:dyDescent="0.3">
      <c r="A19" s="8" t="s">
        <v>21</v>
      </c>
    </row>
  </sheetData>
  <hyperlinks>
    <hyperlink ref="E2" r:id="rId1" display="VMw@re123!NSX" xr:uid="{1F64074F-2373-446B-9E8F-499FA9945F14}"/>
  </hyperlinks>
  <pageMargins left="0.7" right="0.7" top="0.75" bottom="0.75" header="0.3" footer="0.3"/>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E3308D8-C27A-41CE-995B-43A4930404E8}">
          <x14:formula1>
            <xm:f>Options!$A$4:$A$5</xm:f>
          </x14:formula1>
          <xm:sqref>F2</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5"/>
  <sheetViews>
    <sheetView zoomScale="130" zoomScaleNormal="130" workbookViewId="0">
      <selection activeCell="G18" sqref="G18"/>
    </sheetView>
  </sheetViews>
  <sheetFormatPr defaultRowHeight="15" x14ac:dyDescent="0.25"/>
  <cols>
    <col min="1" max="1" width="18.7109375" customWidth="1"/>
    <col min="2" max="3" width="20.7109375" customWidth="1"/>
    <col min="4" max="4" width="15.7109375" customWidth="1"/>
    <col min="5" max="5" width="20.7109375" customWidth="1"/>
    <col min="6" max="6" width="15.7109375" customWidth="1"/>
    <col min="7" max="9" width="20.7109375" customWidth="1"/>
    <col min="10" max="10" width="15.7109375" customWidth="1"/>
    <col min="11" max="11" width="20.7109375" customWidth="1"/>
  </cols>
  <sheetData>
    <row r="1" spans="1:11" x14ac:dyDescent="0.25">
      <c r="A1" s="6" t="s">
        <v>60</v>
      </c>
      <c r="B1" s="6" t="s">
        <v>130</v>
      </c>
      <c r="C1" s="6" t="s">
        <v>30</v>
      </c>
      <c r="D1" s="6" t="s">
        <v>4</v>
      </c>
      <c r="E1" s="6" t="s">
        <v>61</v>
      </c>
      <c r="F1" s="6" t="s">
        <v>62</v>
      </c>
      <c r="G1" s="6" t="s">
        <v>116</v>
      </c>
      <c r="H1" s="6" t="s">
        <v>145</v>
      </c>
      <c r="I1" s="6" t="s">
        <v>144</v>
      </c>
      <c r="J1" s="6" t="s">
        <v>7</v>
      </c>
      <c r="K1" s="6" t="s">
        <v>65</v>
      </c>
    </row>
    <row r="2" spans="1:11" x14ac:dyDescent="0.25">
      <c r="A2" t="s">
        <v>73</v>
      </c>
      <c r="B2" t="s">
        <v>131</v>
      </c>
      <c r="C2" t="e">
        <f>'VCSA Information'!#REF!</f>
        <v>#REF!</v>
      </c>
      <c r="D2" t="s">
        <v>86</v>
      </c>
      <c r="E2" t="e">
        <f>Options!#REF!</f>
        <v>#REF!</v>
      </c>
      <c r="F2" t="s">
        <v>68</v>
      </c>
      <c r="G2" t="s">
        <v>64</v>
      </c>
      <c r="H2">
        <v>10</v>
      </c>
      <c r="I2" t="s">
        <v>63</v>
      </c>
      <c r="J2" t="s">
        <v>73</v>
      </c>
      <c r="K2" t="s">
        <v>74</v>
      </c>
    </row>
    <row r="4" spans="1:11" x14ac:dyDescent="0.25">
      <c r="A4" s="6" t="s">
        <v>66</v>
      </c>
      <c r="B4" s="6" t="s">
        <v>67</v>
      </c>
      <c r="C4" s="6" t="s">
        <v>146</v>
      </c>
      <c r="D4" s="6" t="s">
        <v>147</v>
      </c>
      <c r="E4" s="6" t="s">
        <v>75</v>
      </c>
      <c r="F4" s="6" t="s">
        <v>148</v>
      </c>
      <c r="G4" s="6" t="s">
        <v>150</v>
      </c>
      <c r="H4" s="6" t="s">
        <v>151</v>
      </c>
      <c r="I4" s="6" t="s">
        <v>149</v>
      </c>
    </row>
    <row r="5" spans="1:11" x14ac:dyDescent="0.25">
      <c r="A5" t="s">
        <v>120</v>
      </c>
      <c r="B5">
        <v>24</v>
      </c>
      <c r="D5">
        <v>1600</v>
      </c>
      <c r="E5" t="s">
        <v>88</v>
      </c>
      <c r="F5" t="s">
        <v>63</v>
      </c>
      <c r="G5" t="s">
        <v>63</v>
      </c>
      <c r="H5" t="s">
        <v>63</v>
      </c>
      <c r="I5" t="s">
        <v>63</v>
      </c>
    </row>
    <row r="7" spans="1:11" x14ac:dyDescent="0.25">
      <c r="A7" s="6" t="s">
        <v>152</v>
      </c>
      <c r="B7" s="6" t="s">
        <v>153</v>
      </c>
      <c r="C7" s="6" t="s">
        <v>154</v>
      </c>
    </row>
    <row r="8" spans="1:11" x14ac:dyDescent="0.25">
      <c r="A8" t="s">
        <v>64</v>
      </c>
      <c r="B8" t="s">
        <v>157</v>
      </c>
      <c r="C8" t="s">
        <v>155</v>
      </c>
    </row>
    <row r="10" spans="1:11" ht="15.75" x14ac:dyDescent="0.25">
      <c r="A10" s="7" t="s">
        <v>161</v>
      </c>
      <c r="B10" s="7"/>
      <c r="C10" s="7"/>
      <c r="D10" s="7"/>
      <c r="E10" s="7"/>
      <c r="F10" s="7"/>
    </row>
    <row r="11" spans="1:11" x14ac:dyDescent="0.25">
      <c r="A11" s="6" t="s">
        <v>129</v>
      </c>
      <c r="B11" s="6" t="s">
        <v>8</v>
      </c>
      <c r="C11" s="6" t="s">
        <v>134</v>
      </c>
      <c r="D11" s="6" t="s">
        <v>136</v>
      </c>
      <c r="E11" s="6" t="s">
        <v>137</v>
      </c>
      <c r="F11" s="6" t="s">
        <v>138</v>
      </c>
    </row>
    <row r="12" spans="1:11" x14ac:dyDescent="0.25">
      <c r="A12" t="s">
        <v>120</v>
      </c>
      <c r="B12" t="s">
        <v>143</v>
      </c>
      <c r="C12">
        <v>35400</v>
      </c>
      <c r="D12">
        <v>35400</v>
      </c>
      <c r="E12">
        <v>1</v>
      </c>
      <c r="F12">
        <v>3</v>
      </c>
    </row>
    <row r="14" spans="1:11" ht="15.75" x14ac:dyDescent="0.25">
      <c r="A14" s="7" t="s">
        <v>162</v>
      </c>
      <c r="B14" s="7"/>
      <c r="C14" s="7"/>
    </row>
    <row r="15" spans="1:11" x14ac:dyDescent="0.25">
      <c r="A15" s="6" t="s">
        <v>163</v>
      </c>
      <c r="B15" s="6" t="s">
        <v>10</v>
      </c>
      <c r="C15" s="6" t="s">
        <v>164</v>
      </c>
    </row>
    <row r="16" spans="1:11" x14ac:dyDescent="0.25">
      <c r="A16" t="s">
        <v>74</v>
      </c>
      <c r="B16" t="s">
        <v>82</v>
      </c>
      <c r="C16">
        <v>1</v>
      </c>
    </row>
    <row r="18" spans="1:4" ht="15.75" x14ac:dyDescent="0.25">
      <c r="A18" s="7" t="s">
        <v>156</v>
      </c>
      <c r="B18" s="7"/>
      <c r="C18" s="7"/>
      <c r="D18" s="7"/>
    </row>
    <row r="19" spans="1:4" x14ac:dyDescent="0.25">
      <c r="A19" s="6" t="s">
        <v>122</v>
      </c>
      <c r="B19" s="6" t="s">
        <v>123</v>
      </c>
      <c r="C19" s="6" t="s">
        <v>124</v>
      </c>
      <c r="D19" s="6" t="s">
        <v>125</v>
      </c>
    </row>
    <row r="20" spans="1:4" x14ac:dyDescent="0.25">
      <c r="A20" t="s">
        <v>117</v>
      </c>
      <c r="B20" t="s">
        <v>160</v>
      </c>
      <c r="C20">
        <v>24</v>
      </c>
      <c r="D20" t="s">
        <v>117</v>
      </c>
    </row>
    <row r="30" spans="1:4" ht="18.75" x14ac:dyDescent="0.3">
      <c r="A30" s="8" t="s">
        <v>21</v>
      </c>
    </row>
    <row r="31" spans="1:4" x14ac:dyDescent="0.25">
      <c r="A31" t="s">
        <v>118</v>
      </c>
    </row>
    <row r="32" spans="1:4" x14ac:dyDescent="0.25">
      <c r="A32" t="s">
        <v>272</v>
      </c>
    </row>
    <row r="33" spans="1:1" x14ac:dyDescent="0.25">
      <c r="A33" t="s">
        <v>269</v>
      </c>
    </row>
    <row r="34" spans="1:1" x14ac:dyDescent="0.25">
      <c r="A34" t="s">
        <v>270</v>
      </c>
    </row>
    <row r="35" spans="1:1" x14ac:dyDescent="0.25">
      <c r="A35" t="s">
        <v>271</v>
      </c>
    </row>
  </sheetData>
  <hyperlinks>
    <hyperlink ref="E2" r:id="rId1" display="VMw@re123!NSX" xr:uid="{1FEEA6BA-84ED-4635-A880-9A6E8D3467B0}"/>
  </hyperlinks>
  <pageMargins left="0.7" right="0.7" top="0.75" bottom="0.75" header="0.3" footer="0.3"/>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Options!$A$4:$A$5</xm:f>
          </x14:formula1>
          <xm:sqref>I2 A8 F5:I5 G2</xm:sqref>
        </x14:dataValidation>
        <x14:dataValidation type="list" allowBlank="1" showInputMessage="1" showErrorMessage="1" xr:uid="{00000000-0002-0000-0400-000001000000}">
          <x14:formula1>
            <xm:f>Options!$A$22:$A$25</xm:f>
          </x14:formula1>
          <xm:sqref>F2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93587-2339-4B08-9828-667DCFEEDBDA}">
  <dimension ref="A1:G2"/>
  <sheetViews>
    <sheetView zoomScale="120" zoomScaleNormal="120" workbookViewId="0">
      <selection activeCell="C6" sqref="C6"/>
    </sheetView>
  </sheetViews>
  <sheetFormatPr defaultRowHeight="15" x14ac:dyDescent="0.25"/>
  <cols>
    <col min="1" max="1" width="20.7109375" customWidth="1"/>
    <col min="2" max="5" width="10.7109375" customWidth="1"/>
    <col min="7" max="7" width="18.7109375" customWidth="1"/>
  </cols>
  <sheetData>
    <row r="1" spans="1:7" x14ac:dyDescent="0.25">
      <c r="A1" s="6" t="s">
        <v>319</v>
      </c>
      <c r="B1" s="6" t="s">
        <v>302</v>
      </c>
      <c r="C1" s="6" t="s">
        <v>356</v>
      </c>
      <c r="D1" s="6" t="s">
        <v>357</v>
      </c>
      <c r="E1" s="6" t="s">
        <v>374</v>
      </c>
      <c r="F1" s="6" t="s">
        <v>373</v>
      </c>
      <c r="G1" s="6" t="s">
        <v>226</v>
      </c>
    </row>
    <row r="2" spans="1:7" x14ac:dyDescent="0.25">
      <c r="A2" t="s">
        <v>293</v>
      </c>
      <c r="B2" t="str">
        <f>VLOOKUP(A2,tbl_ESXHosts[],30,TRUE)</f>
        <v>Worker</v>
      </c>
      <c r="C2" t="s">
        <v>339</v>
      </c>
      <c r="D2" t="s">
        <v>339</v>
      </c>
      <c r="E2" t="s">
        <v>312</v>
      </c>
      <c r="F2" t="s">
        <v>172</v>
      </c>
      <c r="G2" t="str">
        <f>IF(B2="Manager","ESXI","VCENTER")</f>
        <v>VCENTER</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2F5C82D4-93D2-49C1-BBA4-64349EE9A36B}">
          <x14:formula1>
            <xm:f>ESXHosts!$A$2:$A$5</xm:f>
          </x14:formula1>
          <xm:sqref>A2</xm:sqref>
        </x14:dataValidation>
        <x14:dataValidation type="list" allowBlank="1" showInputMessage="1" showErrorMessage="1" xr:uid="{AB29C226-4831-4904-8691-1263108C1A6F}">
          <x14:formula1>
            <xm:f>OFFSET(Options!$C$8,,,COUNTIF(Options!$C$8:$C$12,"?*"),)</xm:f>
          </x14:formula1>
          <xm:sqref>C2</xm:sqref>
        </x14:dataValidation>
        <x14:dataValidation type="list" allowBlank="1" showInputMessage="1" showErrorMessage="1" xr:uid="{8618702B-4A15-4FBF-A57B-59C39575C54A}">
          <x14:formula1>
            <xm:f>OFFSET(Options!$E$8,,,COUNTIF(Options!$E$8:$E$12,"?*"),)</xm:f>
          </x14:formula1>
          <xm:sqref>D2</xm:sqref>
        </x14:dataValidation>
        <x14:dataValidation type="list" allowBlank="1" showInputMessage="1" showErrorMessage="1" xr:uid="{489438FF-2AF3-4665-AC91-577DB33311F9}">
          <x14:formula1>
            <xm:f>OFFSET(Options!$G$8,,,COUNTIF(Options!$G$8:$G$12,"?*"),)</xm:f>
          </x14:formula1>
          <xm:sqref>E2</xm:sqref>
        </x14:dataValidation>
        <x14:dataValidation type="list" allowBlank="1" showInputMessage="1" showErrorMessage="1" xr:uid="{7D7D6D16-A562-40D7-90CA-3AAE8E641D6C}">
          <x14:formula1>
            <xm:f>OFFSET(Options!$I$8,,,COUNTIF(Options!$I$8:$I$12,"?*"),)</xm:f>
          </x14:formula1>
          <xm:sqref>F2</xm:sqref>
        </x14:dataValidation>
      </x14:dataValidation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295BF-21AF-4481-BCFB-860309118D27}">
  <dimension ref="A1:K23"/>
  <sheetViews>
    <sheetView zoomScale="130" zoomScaleNormal="130" workbookViewId="0">
      <selection activeCell="A3" sqref="A3"/>
    </sheetView>
  </sheetViews>
  <sheetFormatPr defaultRowHeight="15" x14ac:dyDescent="0.25"/>
  <cols>
    <col min="1" max="1" width="18.7109375" customWidth="1"/>
    <col min="2" max="2" width="20.7109375" customWidth="1"/>
    <col min="3" max="3" width="18.7109375" customWidth="1"/>
    <col min="4" max="4" width="15.7109375" customWidth="1"/>
    <col min="5" max="5" width="20.7109375" customWidth="1"/>
    <col min="6" max="6" width="15.7109375" customWidth="1"/>
    <col min="7" max="9" width="20.7109375" customWidth="1"/>
    <col min="10" max="10" width="15.7109375" customWidth="1"/>
    <col min="11" max="11" width="20.7109375" customWidth="1"/>
  </cols>
  <sheetData>
    <row r="1" spans="1:11" x14ac:dyDescent="0.25">
      <c r="A1" s="6" t="s">
        <v>60</v>
      </c>
      <c r="B1" s="6" t="s">
        <v>130</v>
      </c>
      <c r="C1" s="6" t="s">
        <v>30</v>
      </c>
      <c r="D1" s="6" t="s">
        <v>4</v>
      </c>
      <c r="E1" s="6" t="s">
        <v>61</v>
      </c>
      <c r="F1" s="6" t="s">
        <v>62</v>
      </c>
      <c r="G1" s="6" t="s">
        <v>116</v>
      </c>
      <c r="H1" s="6" t="s">
        <v>145</v>
      </c>
      <c r="I1" s="6" t="s">
        <v>144</v>
      </c>
      <c r="J1" s="6" t="s">
        <v>7</v>
      </c>
      <c r="K1" s="6" t="s">
        <v>65</v>
      </c>
    </row>
    <row r="2" spans="1:11" x14ac:dyDescent="0.25">
      <c r="A2" t="s">
        <v>73</v>
      </c>
      <c r="B2" t="s">
        <v>131</v>
      </c>
      <c r="C2" t="e">
        <f>'NSX Information'!D10</f>
        <v>#REF!</v>
      </c>
      <c r="D2" t="s">
        <v>86</v>
      </c>
      <c r="E2" t="e">
        <f>Options!#REF!</f>
        <v>#REF!</v>
      </c>
      <c r="F2" t="s">
        <v>68</v>
      </c>
      <c r="G2" t="s">
        <v>64</v>
      </c>
      <c r="H2">
        <v>10</v>
      </c>
      <c r="I2" t="s">
        <v>63</v>
      </c>
      <c r="J2" t="s">
        <v>73</v>
      </c>
      <c r="K2" t="s">
        <v>74</v>
      </c>
    </row>
    <row r="4" spans="1:11" x14ac:dyDescent="0.25">
      <c r="A4" s="6" t="s">
        <v>66</v>
      </c>
      <c r="B4" s="6" t="s">
        <v>67</v>
      </c>
      <c r="C4" s="6" t="s">
        <v>146</v>
      </c>
      <c r="D4" s="6" t="s">
        <v>147</v>
      </c>
      <c r="E4" s="6" t="s">
        <v>75</v>
      </c>
      <c r="F4" s="6" t="s">
        <v>148</v>
      </c>
      <c r="G4" s="6" t="s">
        <v>150</v>
      </c>
      <c r="H4" s="6" t="s">
        <v>151</v>
      </c>
      <c r="I4" s="6" t="s">
        <v>149</v>
      </c>
    </row>
    <row r="5" spans="1:11" x14ac:dyDescent="0.25">
      <c r="A5" t="s">
        <v>135</v>
      </c>
      <c r="B5">
        <v>24</v>
      </c>
      <c r="D5">
        <v>1600</v>
      </c>
      <c r="E5" t="s">
        <v>88</v>
      </c>
      <c r="F5" t="s">
        <v>63</v>
      </c>
      <c r="G5" t="s">
        <v>63</v>
      </c>
      <c r="H5" t="s">
        <v>63</v>
      </c>
      <c r="I5" t="s">
        <v>63</v>
      </c>
    </row>
    <row r="6" spans="1:11" x14ac:dyDescent="0.25">
      <c r="A6" t="s">
        <v>120</v>
      </c>
    </row>
    <row r="7" spans="1:11" x14ac:dyDescent="0.25">
      <c r="A7" s="6" t="s">
        <v>152</v>
      </c>
      <c r="B7" s="6" t="s">
        <v>153</v>
      </c>
      <c r="C7" s="6" t="s">
        <v>154</v>
      </c>
    </row>
    <row r="8" spans="1:11" x14ac:dyDescent="0.25">
      <c r="A8" t="s">
        <v>64</v>
      </c>
      <c r="B8" t="s">
        <v>157</v>
      </c>
      <c r="C8" t="s">
        <v>155</v>
      </c>
    </row>
    <row r="10" spans="1:11" ht="15.75" x14ac:dyDescent="0.25">
      <c r="A10" s="7" t="s">
        <v>161</v>
      </c>
      <c r="B10" s="7"/>
      <c r="C10" s="7"/>
      <c r="D10" s="7"/>
      <c r="E10" s="7"/>
      <c r="F10" s="7"/>
    </row>
    <row r="11" spans="1:11" x14ac:dyDescent="0.25">
      <c r="A11" s="6" t="s">
        <v>129</v>
      </c>
      <c r="B11" s="6" t="s">
        <v>8</v>
      </c>
      <c r="C11" s="6" t="s">
        <v>134</v>
      </c>
      <c r="D11" s="6" t="s">
        <v>136</v>
      </c>
      <c r="E11" s="6" t="s">
        <v>137</v>
      </c>
      <c r="F11" s="6" t="s">
        <v>138</v>
      </c>
    </row>
    <row r="12" spans="1:11" x14ac:dyDescent="0.25">
      <c r="A12" t="s">
        <v>135</v>
      </c>
      <c r="B12" t="s">
        <v>139</v>
      </c>
      <c r="C12">
        <v>35400</v>
      </c>
      <c r="D12">
        <v>35400</v>
      </c>
      <c r="E12">
        <v>1</v>
      </c>
      <c r="F12">
        <v>3</v>
      </c>
    </row>
    <row r="14" spans="1:11" ht="15.75" x14ac:dyDescent="0.25">
      <c r="A14" s="7" t="s">
        <v>156</v>
      </c>
      <c r="B14" s="7"/>
      <c r="C14" s="7"/>
      <c r="D14" s="7"/>
    </row>
    <row r="15" spans="1:11" x14ac:dyDescent="0.25">
      <c r="A15" s="6" t="s">
        <v>122</v>
      </c>
      <c r="B15" s="6" t="s">
        <v>123</v>
      </c>
      <c r="C15" s="6" t="s">
        <v>124</v>
      </c>
      <c r="D15" s="6" t="s">
        <v>125</v>
      </c>
    </row>
    <row r="16" spans="1:11" x14ac:dyDescent="0.25">
      <c r="A16" t="s">
        <v>121</v>
      </c>
      <c r="B16" t="s">
        <v>139</v>
      </c>
      <c r="C16">
        <v>24</v>
      </c>
      <c r="D16" t="s">
        <v>121</v>
      </c>
    </row>
    <row r="20" spans="1:3" x14ac:dyDescent="0.25">
      <c r="A20" t="s">
        <v>162</v>
      </c>
    </row>
    <row r="21" spans="1:3" x14ac:dyDescent="0.25">
      <c r="A21" t="s">
        <v>163</v>
      </c>
      <c r="B21" t="s">
        <v>10</v>
      </c>
      <c r="C21" t="s">
        <v>164</v>
      </c>
    </row>
    <row r="22" spans="1:3" x14ac:dyDescent="0.25">
      <c r="A22" t="s">
        <v>74</v>
      </c>
      <c r="B22" t="s">
        <v>82</v>
      </c>
      <c r="C22">
        <v>1</v>
      </c>
    </row>
    <row r="23" spans="1:3" x14ac:dyDescent="0.25">
      <c r="A23" s="2" t="s">
        <v>107</v>
      </c>
    </row>
  </sheetData>
  <hyperlinks>
    <hyperlink ref="E2" r:id="rId1" display="VMw@re123!NSX" xr:uid="{607BD4BA-D553-4CA0-A558-3F111A258BCF}"/>
    <hyperlink ref="A23" r:id="rId2" xr:uid="{A662DB6F-1846-42C6-B1C5-84899FA128DC}"/>
  </hyperlinks>
  <pageMargins left="0.7" right="0.7" top="0.75" bottom="0.75" header="0.3" footer="0.3"/>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952BFD04-80B6-441F-8E6B-21266D96EFFB}">
          <x14:formula1>
            <xm:f>Options!$A$22:$A$25</xm:f>
          </x14:formula1>
          <xm:sqref>F2</xm:sqref>
        </x14:dataValidation>
        <x14:dataValidation type="list" allowBlank="1" showInputMessage="1" showErrorMessage="1" xr:uid="{89CD386D-C156-4336-9122-BF5CBEE1498C}">
          <x14:formula1>
            <xm:f>Options!$A$4:$A$5</xm:f>
          </x14:formula1>
          <xm:sqref>I2 A8 F5:I5 G2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workbookViewId="0">
      <selection activeCell="A9" sqref="A9"/>
    </sheetView>
  </sheetViews>
  <sheetFormatPr defaultRowHeight="15" x14ac:dyDescent="0.25"/>
  <cols>
    <col min="1" max="1" width="20.7109375" customWidth="1"/>
    <col min="2" max="2" width="3.7109375" customWidth="1"/>
    <col min="3" max="3" width="15.7109375" customWidth="1"/>
    <col min="4" max="4" width="3.7109375" customWidth="1"/>
    <col min="5" max="5" width="15.7109375" customWidth="1"/>
    <col min="6" max="6" width="3.7109375" customWidth="1"/>
    <col min="7" max="7" width="15.7109375" customWidth="1"/>
    <col min="8" max="8" width="3.7109375" customWidth="1"/>
    <col min="9" max="9" width="15.7109375" customWidth="1"/>
  </cols>
  <sheetData>
    <row r="1" spans="1:9" x14ac:dyDescent="0.25">
      <c r="A1" s="20" t="b">
        <v>1</v>
      </c>
      <c r="C1" t="s">
        <v>208</v>
      </c>
    </row>
    <row r="2" spans="1:9" x14ac:dyDescent="0.25">
      <c r="A2" s="20" t="b">
        <v>0</v>
      </c>
      <c r="C2" t="s">
        <v>448</v>
      </c>
    </row>
    <row r="4" spans="1:9" x14ac:dyDescent="0.25">
      <c r="A4" s="19" t="s">
        <v>63</v>
      </c>
    </row>
    <row r="5" spans="1:9" x14ac:dyDescent="0.25">
      <c r="A5" s="19" t="s">
        <v>64</v>
      </c>
    </row>
    <row r="6" spans="1:9" x14ac:dyDescent="0.25">
      <c r="A6" s="19"/>
    </row>
    <row r="7" spans="1:9" x14ac:dyDescent="0.25">
      <c r="A7" s="21" t="s">
        <v>314</v>
      </c>
      <c r="C7" s="21" t="s">
        <v>352</v>
      </c>
      <c r="E7" s="21" t="s">
        <v>342</v>
      </c>
      <c r="G7" s="21" t="s">
        <v>367</v>
      </c>
      <c r="I7" s="21" t="s">
        <v>368</v>
      </c>
    </row>
    <row r="8" spans="1:9" x14ac:dyDescent="0.25">
      <c r="A8" s="12" t="s">
        <v>315</v>
      </c>
      <c r="C8" s="23" t="str">
        <f>IFERROR(INDEX(tbl_ESXVersion[Version],MATCH(0,INDEX(COUNTIF($C$7:C7,tbl_ESXVersion[Version]),),0)),"")</f>
        <v>6.7U3</v>
      </c>
      <c r="E8" s="23" t="str">
        <f>IFERROR(INDEX(tbl_VCSAVersion[Version],MATCH(0,INDEX(COUNTIF($E$7:E7,tbl_VCSAVersion[Version]),),0)),"")</f>
        <v>6.7U3</v>
      </c>
      <c r="G8" s="23" t="str">
        <f>IFERROR(INDEX(tbl_NSXVersion[Version],MATCH(0,INDEX(COUNTIF($G$7:G7,tbl_NSXVersion[Version]),),0)),"")</f>
        <v>6.3.7</v>
      </c>
      <c r="I8" s="23" t="str">
        <f>IFERROR(INDEX(tbl_NSXTVersion[Version],MATCH(0,INDEX(COUNTIF($I$7:I7,tbl_NSXTVersion[Version]),),0)),"")</f>
        <v>2.5.2.2</v>
      </c>
    </row>
    <row r="9" spans="1:9" x14ac:dyDescent="0.25">
      <c r="A9" s="12" t="s">
        <v>316</v>
      </c>
      <c r="C9" s="23" t="str">
        <f>IFERROR(INDEX(tbl_ESXVersion[Version],MATCH(0,INDEX(COUNTIF($C$7:C8,tbl_ESXVersion[Version]),),0)),"")</f>
        <v>7.0</v>
      </c>
      <c r="E9" s="23" t="str">
        <f>IFERROR(INDEX(tbl_VCSAVersion[Version],MATCH(0,INDEX(COUNTIF($E$7:E8,tbl_VCSAVersion[Version]),),0)),"")</f>
        <v>7.0</v>
      </c>
      <c r="G9" s="23" t="str">
        <f>IFERROR(INDEX(tbl_NSXVersion[Version],MATCH(0,INDEX(COUNTIF($G$7:G8,tbl_NSXVersion[Version]),),0)),"")</f>
        <v>6.4.5</v>
      </c>
      <c r="I9" s="23" t="str">
        <f>IFERROR(INDEX(tbl_NSXTVersion[Version],MATCH(0,INDEX(COUNTIF($I$7:I8,tbl_NSXTVersion[Version]),),0)),"")</f>
        <v/>
      </c>
    </row>
    <row r="10" spans="1:9" x14ac:dyDescent="0.25">
      <c r="A10" s="19"/>
      <c r="C10" s="23" t="str">
        <f>IFERROR(INDEX(tbl_ESXVersion[Version],MATCH(0,INDEX(COUNTIF($C$7:C9,tbl_ESXVersion[Version]),),0)),"")</f>
        <v>7.0U1</v>
      </c>
      <c r="E10" s="23" t="str">
        <f>IFERROR(INDEX(tbl_VCSAVersion[Version],MATCH(0,INDEX(COUNTIF($E$7:E9,tbl_VCSAVersion[Version]),),0)),"")</f>
        <v>7.0U1</v>
      </c>
      <c r="G10" s="23" t="str">
        <f>IFERROR(INDEX(tbl_NSXVersion[Version],MATCH(0,INDEX(COUNTIF($G$7:G9,tbl_NSXVersion[Version]),),0)),"")</f>
        <v>6.4.9</v>
      </c>
      <c r="I10" s="23" t="str">
        <f>IFERROR(INDEX(tbl_NSXTVersion[Version],MATCH(0,INDEX(COUNTIF($I$7:I9,tbl_NSXTVersion[Version]),),0)),"")</f>
        <v/>
      </c>
    </row>
    <row r="11" spans="1:9" x14ac:dyDescent="0.25">
      <c r="A11" s="19"/>
      <c r="C11" s="23" t="str">
        <f>IFERROR(INDEX(tbl_ESXVersion[Version],MATCH(0,INDEX(COUNTIF($C$7:C10,tbl_ESXVersion[Version]),),0)),"")</f>
        <v/>
      </c>
      <c r="E11" s="23" t="str">
        <f>IFERROR(INDEX(tbl_VCSAVersion[Version],MATCH(0,INDEX(COUNTIF($E$7:E10,tbl_VCSAVersion[Version]),),0)),"")</f>
        <v/>
      </c>
      <c r="G11" s="23" t="str">
        <f>IFERROR(INDEX(tbl_NSXVersion[Version],MATCH(0,INDEX(COUNTIF($G$7:G10,tbl_NSXVersion[Version]),),0)),"")</f>
        <v/>
      </c>
      <c r="I11" s="23" t="str">
        <f>IFERROR(INDEX(tbl_NSXTVersion[Version],MATCH(0,INDEX(COUNTIF($I$7:I10,tbl_NSXTVersion[Version]),),0)),"")</f>
        <v/>
      </c>
    </row>
    <row r="12" spans="1:9" x14ac:dyDescent="0.25">
      <c r="A12" s="19"/>
      <c r="C12" s="23" t="str">
        <f>IFERROR(INDEX(tbl_ESXVersion[Version],MATCH(0,INDEX(COUNTIF($C$7:C11,tbl_ESXVersion[Version]),),0)),"")</f>
        <v/>
      </c>
      <c r="E12" s="23" t="str">
        <f>IFERROR(INDEX(tbl_VCSAVersion[Version],MATCH(0,INDEX(COUNTIF($E$7:E11,tbl_VCSAVersion[Version]),),0)),"")</f>
        <v/>
      </c>
      <c r="G12" s="23" t="str">
        <f>IFERROR(INDEX(tbl_NSXVersion[Version],MATCH(0,INDEX(COUNTIF($G$7:G11,tbl_NSXVersion[Version]),),0)),"")</f>
        <v/>
      </c>
      <c r="I12" s="23" t="str">
        <f>IFERROR(INDEX(tbl_NSXTVersion[Version],MATCH(0,INDEX(COUNTIF($I$7:I11,tbl_NSXTVersion[Version]),),0)),"")</f>
        <v/>
      </c>
    </row>
    <row r="13" spans="1:9" x14ac:dyDescent="0.25">
      <c r="A13" s="19"/>
      <c r="C13" s="21"/>
    </row>
    <row r="14" spans="1:9" x14ac:dyDescent="0.25">
      <c r="A14" s="1" t="s">
        <v>266</v>
      </c>
      <c r="C14" s="21" t="str">
        <f>IFERROR(INDEX(tbl_ESXVersion[Version],MATCH(0,INDEX(COUNTIF($C$7:C10,tbl_ESXVersion[Version]),),0)),"")</f>
        <v/>
      </c>
    </row>
    <row r="15" spans="1:9" x14ac:dyDescent="0.25">
      <c r="A15" s="12" t="s">
        <v>206</v>
      </c>
      <c r="C15" s="21" t="str">
        <f>IFERROR(INDEX(tbl_ESXVersion[Version],MATCH(0,INDEX(COUNTIF($C$7:C14,tbl_ESXVersion[Version]),),0)),"")</f>
        <v/>
      </c>
    </row>
    <row r="16" spans="1:9" x14ac:dyDescent="0.25">
      <c r="A16" s="12" t="s">
        <v>267</v>
      </c>
    </row>
    <row r="17" spans="1:1" x14ac:dyDescent="0.25">
      <c r="A17" s="12" t="s">
        <v>268</v>
      </c>
    </row>
    <row r="18" spans="1:1" x14ac:dyDescent="0.25">
      <c r="A18" s="12" t="s">
        <v>69</v>
      </c>
    </row>
    <row r="19" spans="1:1" x14ac:dyDescent="0.25">
      <c r="A19" s="12" t="s">
        <v>70</v>
      </c>
    </row>
    <row r="20" spans="1:1" x14ac:dyDescent="0.25">
      <c r="A20" s="19"/>
    </row>
    <row r="21" spans="1:1" x14ac:dyDescent="0.25">
      <c r="A21" s="1" t="s">
        <v>72</v>
      </c>
    </row>
    <row r="22" spans="1:1" x14ac:dyDescent="0.25">
      <c r="A22" t="s">
        <v>68</v>
      </c>
    </row>
    <row r="23" spans="1:1" x14ac:dyDescent="0.25">
      <c r="A23" t="s">
        <v>69</v>
      </c>
    </row>
    <row r="24" spans="1:1" x14ac:dyDescent="0.25">
      <c r="A24" t="s">
        <v>70</v>
      </c>
    </row>
    <row r="25" spans="1:1" x14ac:dyDescent="0.25">
      <c r="A25" t="s">
        <v>71</v>
      </c>
    </row>
    <row r="28" spans="1:1" x14ac:dyDescent="0.25">
      <c r="A28" s="2" t="s">
        <v>107</v>
      </c>
    </row>
    <row r="29" spans="1:1" x14ac:dyDescent="0.25">
      <c r="A29" s="2" t="s">
        <v>119</v>
      </c>
    </row>
  </sheetData>
  <hyperlinks>
    <hyperlink ref="A29" r:id="rId1" xr:uid="{CB9B0E86-6A13-470B-9A65-3BB781DFFC82}"/>
    <hyperlink ref="A28" r:id="rId2" xr:uid="{7DEB26E6-C13E-4C79-8B1D-7D33FE94024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E3853-EAAF-4AFB-A60F-701EAF0399DB}">
  <dimension ref="A1:H7"/>
  <sheetViews>
    <sheetView workbookViewId="0">
      <selection activeCell="F15" sqref="F15"/>
    </sheetView>
  </sheetViews>
  <sheetFormatPr defaultRowHeight="15" x14ac:dyDescent="0.25"/>
  <cols>
    <col min="1" max="1" width="15.7109375" customWidth="1"/>
    <col min="2" max="2" width="20.7109375" customWidth="1"/>
    <col min="3" max="8" width="15.7109375" customWidth="1"/>
  </cols>
  <sheetData>
    <row r="1" spans="1:8" x14ac:dyDescent="0.25">
      <c r="A1" s="15" t="s">
        <v>429</v>
      </c>
      <c r="B1" s="15" t="s">
        <v>428</v>
      </c>
      <c r="C1" s="15" t="s">
        <v>405</v>
      </c>
      <c r="D1" s="15" t="s">
        <v>403</v>
      </c>
      <c r="E1" s="15" t="s">
        <v>404</v>
      </c>
      <c r="F1" s="15" t="s">
        <v>400</v>
      </c>
      <c r="G1" s="15" t="s">
        <v>399</v>
      </c>
      <c r="H1" s="15" t="s">
        <v>523</v>
      </c>
    </row>
    <row r="2" spans="1:8" x14ac:dyDescent="0.25">
      <c r="A2" t="s">
        <v>84</v>
      </c>
      <c r="B2" t="s">
        <v>304</v>
      </c>
      <c r="C2" t="s">
        <v>85</v>
      </c>
      <c r="D2" t="s">
        <v>83</v>
      </c>
      <c r="E2" t="s">
        <v>289</v>
      </c>
      <c r="F2" t="s">
        <v>89</v>
      </c>
      <c r="G2" t="s">
        <v>288</v>
      </c>
      <c r="H2" t="str">
        <f>tbl_ESXHosts[[#This Row],[VCSAHostname]]</f>
        <v>vcsa.tataoui.com</v>
      </c>
    </row>
    <row r="4" spans="1:8" x14ac:dyDescent="0.25">
      <c r="A4" s="15" t="s">
        <v>406</v>
      </c>
      <c r="B4" s="15" t="s">
        <v>407</v>
      </c>
      <c r="C4" s="15" t="s">
        <v>408</v>
      </c>
      <c r="D4" s="15" t="s">
        <v>409</v>
      </c>
    </row>
    <row r="5" spans="1:8" x14ac:dyDescent="0.25">
      <c r="A5" t="s">
        <v>414</v>
      </c>
      <c r="B5" t="s">
        <v>415</v>
      </c>
      <c r="C5" t="s">
        <v>84</v>
      </c>
      <c r="D5" t="s">
        <v>84</v>
      </c>
    </row>
    <row r="7" spans="1:8" x14ac:dyDescent="0.25">
      <c r="A7" t="s">
        <v>84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1D662-28B7-4C36-9977-1FD27A6A7E73}">
  <dimension ref="A1:AD5"/>
  <sheetViews>
    <sheetView tabSelected="1" zoomScale="110" zoomScaleNormal="110" workbookViewId="0">
      <selection activeCell="D14" sqref="D14"/>
    </sheetView>
  </sheetViews>
  <sheetFormatPr defaultRowHeight="15" x14ac:dyDescent="0.25"/>
  <cols>
    <col min="1" max="1" width="20.7109375" customWidth="1"/>
    <col min="2" max="18" width="15.7109375" customWidth="1"/>
    <col min="19" max="19" width="25.7109375" customWidth="1"/>
    <col min="20" max="22" width="15.7109375" customWidth="1"/>
    <col min="23" max="23" width="20.7109375" customWidth="1"/>
    <col min="24" max="24" width="15.7109375" customWidth="1"/>
    <col min="25" max="25" width="65.7109375" customWidth="1"/>
    <col min="26" max="26" width="60.7109375" customWidth="1"/>
    <col min="27" max="28" width="30.7109375" customWidth="1"/>
    <col min="29" max="29" width="20.7109375" customWidth="1"/>
    <col min="30" max="30" width="10.7109375" customWidth="1"/>
    <col min="31" max="31" width="18.7109375" bestFit="1" customWidth="1"/>
  </cols>
  <sheetData>
    <row r="1" spans="1:30" x14ac:dyDescent="0.25">
      <c r="A1" s="1" t="s">
        <v>273</v>
      </c>
      <c r="B1" s="1" t="s">
        <v>274</v>
      </c>
      <c r="C1" s="1" t="s">
        <v>275</v>
      </c>
      <c r="D1" s="1" t="s">
        <v>276</v>
      </c>
      <c r="E1" s="1" t="s">
        <v>277</v>
      </c>
      <c r="F1" s="1" t="s">
        <v>432</v>
      </c>
      <c r="G1" s="1" t="s">
        <v>454</v>
      </c>
      <c r="H1" s="1" t="s">
        <v>462</v>
      </c>
      <c r="I1" s="1" t="s">
        <v>463</v>
      </c>
      <c r="J1" s="1" t="s">
        <v>466</v>
      </c>
      <c r="K1" s="1" t="s">
        <v>433</v>
      </c>
      <c r="L1" s="1" t="s">
        <v>458</v>
      </c>
      <c r="M1" s="1" t="s">
        <v>459</v>
      </c>
      <c r="N1" s="1" t="s">
        <v>465</v>
      </c>
      <c r="O1" s="1" t="s">
        <v>464</v>
      </c>
      <c r="P1" s="1" t="s">
        <v>278</v>
      </c>
      <c r="Q1" s="1" t="s">
        <v>279</v>
      </c>
      <c r="R1" s="1" t="s">
        <v>280</v>
      </c>
      <c r="S1" s="1" t="s">
        <v>281</v>
      </c>
      <c r="T1" s="1" t="s">
        <v>282</v>
      </c>
      <c r="U1" s="1" t="s">
        <v>283</v>
      </c>
      <c r="V1" s="1" t="s">
        <v>284</v>
      </c>
      <c r="W1" s="1" t="s">
        <v>402</v>
      </c>
      <c r="X1" s="1" t="s">
        <v>285</v>
      </c>
      <c r="Y1" s="1" t="s">
        <v>286</v>
      </c>
      <c r="Z1" s="1" t="s">
        <v>383</v>
      </c>
      <c r="AA1" s="1" t="s">
        <v>440</v>
      </c>
      <c r="AB1" s="1" t="s">
        <v>441</v>
      </c>
      <c r="AC1" s="1" t="s">
        <v>382</v>
      </c>
      <c r="AD1" s="1" t="s">
        <v>302</v>
      </c>
    </row>
    <row r="2" spans="1:30" x14ac:dyDescent="0.25">
      <c r="A2" t="s">
        <v>287</v>
      </c>
      <c r="B2" t="s">
        <v>91</v>
      </c>
      <c r="C2" t="s">
        <v>18</v>
      </c>
      <c r="D2" t="s">
        <v>82</v>
      </c>
      <c r="E2">
        <v>10</v>
      </c>
      <c r="F2" t="s">
        <v>434</v>
      </c>
      <c r="G2">
        <v>15</v>
      </c>
      <c r="J2">
        <v>10</v>
      </c>
      <c r="K2" t="s">
        <v>436</v>
      </c>
      <c r="L2">
        <v>200</v>
      </c>
      <c r="M2" s="4" t="s">
        <v>460</v>
      </c>
      <c r="N2" s="4" t="s">
        <v>461</v>
      </c>
      <c r="O2" s="4" t="s">
        <v>461</v>
      </c>
      <c r="P2" t="str">
        <f>'Global Settings'!$D$2</f>
        <v>192.168.30.2</v>
      </c>
      <c r="Q2" t="str">
        <f>'Global Settings'!$E$2</f>
        <v>192.168.30.3</v>
      </c>
      <c r="R2" t="str">
        <f>'Global Settings'!$A$2</f>
        <v>VMware1!</v>
      </c>
      <c r="S2" t="s">
        <v>290</v>
      </c>
      <c r="T2" t="str">
        <f>'Global Settings'!$C$2</f>
        <v>tataoui.com</v>
      </c>
      <c r="U2" t="s">
        <v>291</v>
      </c>
      <c r="V2" t="s">
        <v>84</v>
      </c>
      <c r="W2" t="s">
        <v>396</v>
      </c>
      <c r="X2" t="s">
        <v>288</v>
      </c>
      <c r="Y2" t="s">
        <v>292</v>
      </c>
      <c r="Z2" t="str">
        <f>_xlfn.TEXTJOIN(",",TRUE,tbl_ESXHosts[Host_Hidden])</f>
        <v>esx01=192.168.10.21,esx02=192.168.10.21,esx03=192.168.10.23,esx04=192.168.10.24</v>
      </c>
      <c r="AA2" t="str">
        <f>_xlfn.TEXTJOIN(",",TRUE,tbl_ESXHosts[HostvMotionIP])</f>
        <v>192.168.15.21,192.168.15.21,192.168.15.23,192.168.15.24</v>
      </c>
      <c r="AB2" t="str">
        <f>_xlfn.TEXTJOIN(",",TRUE,tbl_ESXHosts[HostiSCSIIP])</f>
        <v>192.168.200.21,192.168.200.22,192.168.200.23,192.168.200.24</v>
      </c>
      <c r="AC2" t="str">
        <f t="shared" ref="AC2:AC5" si="0">CONCATENATE(LEFT(A2,(FIND(".",A2)-1)),"=",B2)</f>
        <v>esx01=192.168.10.21</v>
      </c>
      <c r="AD2" t="s">
        <v>315</v>
      </c>
    </row>
    <row r="3" spans="1:30" x14ac:dyDescent="0.25">
      <c r="A3" t="s">
        <v>293</v>
      </c>
      <c r="B3" t="s">
        <v>91</v>
      </c>
      <c r="C3" t="str">
        <f>C2</f>
        <v>255.255.255.0</v>
      </c>
      <c r="D3" t="str">
        <f>D2</f>
        <v>192.168.10.2</v>
      </c>
      <c r="E3">
        <f>E2</f>
        <v>10</v>
      </c>
      <c r="F3" t="s">
        <v>434</v>
      </c>
      <c r="G3">
        <f>G2</f>
        <v>15</v>
      </c>
      <c r="J3">
        <f>J2</f>
        <v>10</v>
      </c>
      <c r="K3" t="s">
        <v>449</v>
      </c>
      <c r="L3">
        <f>L2</f>
        <v>200</v>
      </c>
      <c r="M3" s="4" t="str">
        <f>M2</f>
        <v>0 - 4094</v>
      </c>
      <c r="N3" s="4" t="str">
        <f>N2</f>
        <v>30,40,50,60</v>
      </c>
      <c r="O3" s="4" t="str">
        <f>O2</f>
        <v>30,40,50,60</v>
      </c>
      <c r="P3" t="str">
        <f>P2</f>
        <v>192.168.30.2</v>
      </c>
      <c r="Q3" t="str">
        <f>Q2</f>
        <v>192.168.30.3</v>
      </c>
      <c r="R3" t="str">
        <f>R2</f>
        <v>VMware1!</v>
      </c>
      <c r="S3" t="s">
        <v>290</v>
      </c>
      <c r="T3" t="str">
        <f>T2</f>
        <v>tataoui.com</v>
      </c>
      <c r="U3" t="str">
        <f>U2</f>
        <v>dwcadmin</v>
      </c>
      <c r="V3" t="str">
        <f>V2</f>
        <v>VMware1!</v>
      </c>
      <c r="W3" t="s">
        <v>452</v>
      </c>
      <c r="X3" t="s">
        <v>453</v>
      </c>
      <c r="Y3" t="s">
        <v>294</v>
      </c>
      <c r="Z3" t="str">
        <f ca="1">IFERROR(INDIRECT("'[VCSA-NSX-Configure.xlsx]" &amp; A3 &amp; "'!X1"),"")</f>
        <v>esx201=172.16.10.21,esx202=172.16.10.22,esx203=172.16.10.23</v>
      </c>
      <c r="AA3" s="32" t="str">
        <f ca="1">IFERROR(INDIRECT("'[VCSA-NSX-Configure.xlsx]" &amp; A3 &amp; "'!X2"),"")</f>
        <v>172.16.11.21,172.16.11.22,172.16.11.23</v>
      </c>
      <c r="AC3" t="str">
        <f t="shared" si="0"/>
        <v>esx02=192.168.10.21</v>
      </c>
      <c r="AD3" t="s">
        <v>316</v>
      </c>
    </row>
    <row r="4" spans="1:30" x14ac:dyDescent="0.25">
      <c r="A4" t="s">
        <v>295</v>
      </c>
      <c r="B4" t="s">
        <v>298</v>
      </c>
      <c r="C4" t="str">
        <f>C2</f>
        <v>255.255.255.0</v>
      </c>
      <c r="D4" t="str">
        <f>D2</f>
        <v>192.168.10.2</v>
      </c>
      <c r="E4">
        <f>E2</f>
        <v>10</v>
      </c>
      <c r="F4" t="s">
        <v>102</v>
      </c>
      <c r="G4">
        <f>G2</f>
        <v>15</v>
      </c>
      <c r="J4">
        <f>J2</f>
        <v>10</v>
      </c>
      <c r="K4" t="s">
        <v>437</v>
      </c>
      <c r="L4">
        <f>L2</f>
        <v>200</v>
      </c>
      <c r="M4" s="4" t="str">
        <f>M2</f>
        <v>0 - 4094</v>
      </c>
      <c r="N4" s="4" t="str">
        <f>N2</f>
        <v>30,40,50,60</v>
      </c>
      <c r="O4" s="4" t="str">
        <f>O2</f>
        <v>30,40,50,60</v>
      </c>
      <c r="P4" t="str">
        <f>P2</f>
        <v>192.168.30.2</v>
      </c>
      <c r="Q4" t="str">
        <f>Q2</f>
        <v>192.168.30.3</v>
      </c>
      <c r="R4" t="str">
        <f>R2</f>
        <v>VMware1!</v>
      </c>
      <c r="S4" t="s">
        <v>290</v>
      </c>
      <c r="T4" t="str">
        <f>T2</f>
        <v>tataoui.com</v>
      </c>
      <c r="U4" t="str">
        <f>U2</f>
        <v>dwcadmin</v>
      </c>
      <c r="V4" t="str">
        <f>V2</f>
        <v>VMware1!</v>
      </c>
      <c r="W4" t="s">
        <v>397</v>
      </c>
      <c r="X4" t="s">
        <v>378</v>
      </c>
      <c r="Y4" t="s">
        <v>296</v>
      </c>
      <c r="Z4" t="str">
        <f ca="1">IFERROR(INDIRECT("'[VCSA-NSX-Configure.xlsx]" &amp; A4 &amp; "'!X1"),"")</f>
        <v>esx301=172.16.20.21,esx302=172.16.20.22,esx303=172.16.20.23</v>
      </c>
      <c r="AA4" t="str">
        <f ca="1">IFERROR(INDIRECT("'[VCSA-NSX-Configure.xlsx]" &amp; A4 &amp; "'!X2"),"")</f>
        <v>172.16.21.21,172.16.21.22,172.16.21.23</v>
      </c>
      <c r="AC4" t="str">
        <f t="shared" si="0"/>
        <v>esx03=192.168.10.23</v>
      </c>
      <c r="AD4" t="s">
        <v>316</v>
      </c>
    </row>
    <row r="5" spans="1:30" x14ac:dyDescent="0.25">
      <c r="A5" t="s">
        <v>297</v>
      </c>
      <c r="B5" t="s">
        <v>401</v>
      </c>
      <c r="C5" t="str">
        <f>C2</f>
        <v>255.255.255.0</v>
      </c>
      <c r="D5" t="str">
        <f>D2</f>
        <v>192.168.10.2</v>
      </c>
      <c r="E5">
        <f>E2</f>
        <v>10</v>
      </c>
      <c r="F5" t="s">
        <v>435</v>
      </c>
      <c r="G5">
        <f>G2</f>
        <v>15</v>
      </c>
      <c r="J5">
        <f>J2</f>
        <v>10</v>
      </c>
      <c r="K5" t="s">
        <v>438</v>
      </c>
      <c r="L5">
        <f>L2</f>
        <v>200</v>
      </c>
      <c r="M5" s="4" t="str">
        <f>M2</f>
        <v>0 - 4094</v>
      </c>
      <c r="N5" s="4" t="str">
        <f>N2</f>
        <v>30,40,50,60</v>
      </c>
      <c r="O5" s="4" t="str">
        <f>O2</f>
        <v>30,40,50,60</v>
      </c>
      <c r="P5" t="str">
        <f>P2</f>
        <v>192.168.30.2</v>
      </c>
      <c r="Q5" t="str">
        <f>Q2</f>
        <v>192.168.30.3</v>
      </c>
      <c r="R5" t="str">
        <f>R2</f>
        <v>VMware1!</v>
      </c>
      <c r="S5" t="s">
        <v>290</v>
      </c>
      <c r="T5" t="str">
        <f>T2</f>
        <v>tataoui.com</v>
      </c>
      <c r="U5" t="str">
        <f>U2</f>
        <v>dwcadmin</v>
      </c>
      <c r="V5" t="str">
        <f>V2</f>
        <v>VMware1!</v>
      </c>
      <c r="W5" t="s">
        <v>398</v>
      </c>
      <c r="X5" t="s">
        <v>387</v>
      </c>
      <c r="Y5" t="s">
        <v>296</v>
      </c>
      <c r="Z5" t="str">
        <f ca="1">IFERROR(INDIRECT("'[VCSA-NSX-Configure.xlsx]" &amp; A5 &amp; "'!S1"),"")</f>
        <v>esx401=172.16.30.21,esx402=172.16.30.22,esx403=172.16.30.23</v>
      </c>
      <c r="AA5" t="str">
        <f ca="1">IFERROR(INDIRECT("'[VCSA-NSX-Configure.xlsx]" &amp; A5 &amp; "'!S2"),"")</f>
        <v>172.16.31.21,172.16.31.22,172.16.31.23</v>
      </c>
      <c r="AC5" t="str">
        <f t="shared" si="0"/>
        <v>esx04=192.168.10.24</v>
      </c>
      <c r="AD5" t="s">
        <v>316</v>
      </c>
    </row>
  </sheetData>
  <phoneticPr fontId="9"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DD83AEB4-76CD-40D3-8BDA-E7E74F73CACE}">
          <x14:formula1>
            <xm:f>Options!$A$8:$A$9</xm:f>
          </x14:formula1>
          <xm:sqref>AD2:AD5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D91FF-E05D-429D-B3C2-0BB905537994}">
  <dimension ref="A1:X4"/>
  <sheetViews>
    <sheetView zoomScale="130" zoomScaleNormal="130" workbookViewId="0">
      <selection activeCell="Y21" sqref="Y21"/>
    </sheetView>
  </sheetViews>
  <sheetFormatPr defaultRowHeight="15" x14ac:dyDescent="0.25"/>
  <cols>
    <col min="1" max="1" width="20.7109375" customWidth="1"/>
    <col min="2" max="19" width="15.7109375" customWidth="1"/>
    <col min="20" max="22" width="20.7109375" customWidth="1"/>
    <col min="23" max="23" width="5.7109375" customWidth="1"/>
    <col min="24" max="25" width="20.7109375" customWidth="1"/>
    <col min="26" max="26" width="25.7109375" customWidth="1"/>
    <col min="27" max="27" width="3.7109375" customWidth="1"/>
    <col min="28" max="28" width="60.7109375" customWidth="1"/>
  </cols>
  <sheetData>
    <row r="1" spans="1:24" s="10" customFormat="1" x14ac:dyDescent="0.25">
      <c r="A1" s="36" t="s">
        <v>320</v>
      </c>
      <c r="B1" s="36" t="s">
        <v>324</v>
      </c>
      <c r="C1" s="36" t="s">
        <v>325</v>
      </c>
      <c r="D1" s="36" t="s">
        <v>326</v>
      </c>
      <c r="E1" s="36" t="s">
        <v>484</v>
      </c>
      <c r="F1" s="36" t="s">
        <v>483</v>
      </c>
      <c r="G1" s="36" t="s">
        <v>482</v>
      </c>
      <c r="H1" s="36" t="s">
        <v>485</v>
      </c>
      <c r="I1" s="36" t="s">
        <v>486</v>
      </c>
      <c r="J1" s="36" t="s">
        <v>487</v>
      </c>
      <c r="K1" s="36" t="s">
        <v>488</v>
      </c>
      <c r="L1" s="36" t="s">
        <v>328</v>
      </c>
      <c r="M1" s="36" t="s">
        <v>329</v>
      </c>
      <c r="N1" s="36" t="s">
        <v>330</v>
      </c>
      <c r="O1" s="36" t="s">
        <v>331</v>
      </c>
      <c r="P1" s="36" t="s">
        <v>333</v>
      </c>
      <c r="Q1" s="36" t="s">
        <v>332</v>
      </c>
      <c r="R1" s="36" t="s">
        <v>321</v>
      </c>
      <c r="S1" s="36" t="s">
        <v>322</v>
      </c>
      <c r="T1" s="36" t="s">
        <v>323</v>
      </c>
      <c r="U1" s="36" t="s">
        <v>334</v>
      </c>
      <c r="V1" s="37" t="s">
        <v>372</v>
      </c>
      <c r="X1" s="38" t="str">
        <f>_xlfn.TEXTJOIN(",",TRUE,tbl_NestedESX1[Nested_Hidden])</f>
        <v>esx201=172.16.10.21,esx202=172.16.10.22,esx203=172.16.10.23</v>
      </c>
    </row>
    <row r="2" spans="1:24" s="10" customFormat="1" x14ac:dyDescent="0.25">
      <c r="A2" s="10" t="s">
        <v>369</v>
      </c>
      <c r="B2" s="10" t="s">
        <v>308</v>
      </c>
      <c r="C2" s="10" t="s">
        <v>18</v>
      </c>
      <c r="D2" s="10" t="s">
        <v>392</v>
      </c>
      <c r="E2" s="19">
        <v>110</v>
      </c>
      <c r="F2" s="10" t="s">
        <v>420</v>
      </c>
      <c r="G2" s="19">
        <v>111</v>
      </c>
      <c r="H2" s="10" t="s">
        <v>455</v>
      </c>
      <c r="I2" s="19">
        <v>112</v>
      </c>
      <c r="J2" s="19">
        <v>113</v>
      </c>
      <c r="L2" s="10" t="str">
        <f>'Global Settings'!$D$2</f>
        <v>192.168.30.2</v>
      </c>
      <c r="M2" s="10" t="str">
        <f>'Global Settings'!$E$2</f>
        <v>192.168.30.3</v>
      </c>
      <c r="N2" s="10" t="str">
        <f>'Global Settings'!$A$2</f>
        <v>VMware1!</v>
      </c>
      <c r="O2" s="10" t="str">
        <f>'Global Settings'!$C$2</f>
        <v>tataoui.com</v>
      </c>
      <c r="P2" s="10" t="s">
        <v>291</v>
      </c>
      <c r="Q2" s="10" t="s">
        <v>84</v>
      </c>
      <c r="R2" s="19">
        <v>4</v>
      </c>
      <c r="S2" s="19">
        <v>32</v>
      </c>
      <c r="T2" s="19">
        <v>100</v>
      </c>
      <c r="U2" s="19">
        <v>900</v>
      </c>
      <c r="V2" s="38" t="str">
        <f>CONCATENATE(LEFT(A2,(FIND(".",A2)-1)),"=",B2)</f>
        <v>esx201=172.16.10.21</v>
      </c>
      <c r="X2" s="10" t="str">
        <f>_xlfn.TEXTJOIN(",",TRUE,tbl_NestedESX1[vMotion_IP])</f>
        <v>172.16.11.21,172.16.11.22,172.16.11.23</v>
      </c>
    </row>
    <row r="3" spans="1:24" s="10" customFormat="1" x14ac:dyDescent="0.25">
      <c r="A3" s="10" t="s">
        <v>370</v>
      </c>
      <c r="B3" s="10" t="s">
        <v>309</v>
      </c>
      <c r="C3" s="10" t="s">
        <v>18</v>
      </c>
      <c r="D3" s="10" t="s">
        <v>392</v>
      </c>
      <c r="E3" s="19">
        <v>110</v>
      </c>
      <c r="F3" s="10" t="s">
        <v>421</v>
      </c>
      <c r="G3" s="19">
        <v>111</v>
      </c>
      <c r="H3" s="10" t="s">
        <v>456</v>
      </c>
      <c r="I3" s="19">
        <v>112</v>
      </c>
      <c r="J3" s="19">
        <v>113</v>
      </c>
      <c r="L3" s="10" t="str">
        <f>'Global Settings'!$D$2</f>
        <v>192.168.30.2</v>
      </c>
      <c r="M3" s="10" t="str">
        <f>'Global Settings'!$E$2</f>
        <v>192.168.30.3</v>
      </c>
      <c r="N3" s="10" t="str">
        <f>'Global Settings'!$A$2</f>
        <v>VMware1!</v>
      </c>
      <c r="O3" s="10" t="str">
        <f>'Global Settings'!$C$2</f>
        <v>tataoui.com</v>
      </c>
      <c r="P3" s="10" t="s">
        <v>291</v>
      </c>
      <c r="Q3" s="10" t="s">
        <v>84</v>
      </c>
      <c r="R3" s="19">
        <v>4</v>
      </c>
      <c r="S3" s="19">
        <v>32</v>
      </c>
      <c r="T3" s="19">
        <v>100</v>
      </c>
      <c r="U3" s="19">
        <v>900</v>
      </c>
      <c r="V3" s="38" t="str">
        <f>CONCATENATE(LEFT(A3,(FIND(".",A3)-1)),"=",B3)</f>
        <v>esx202=172.16.10.22</v>
      </c>
      <c r="X3" s="10" t="str">
        <f>_xlfn.TEXTJOIN(",",TRUE,tbl_NestedESX1[vSAN_IP])</f>
        <v>172.16.12.21,172.16.12.22,172.16.12.23</v>
      </c>
    </row>
    <row r="4" spans="1:24" s="10" customFormat="1" x14ac:dyDescent="0.25">
      <c r="A4" s="10" t="s">
        <v>371</v>
      </c>
      <c r="B4" s="10" t="s">
        <v>393</v>
      </c>
      <c r="C4" s="10" t="s">
        <v>18</v>
      </c>
      <c r="D4" s="10" t="s">
        <v>392</v>
      </c>
      <c r="E4" s="19">
        <v>110</v>
      </c>
      <c r="F4" s="10" t="s">
        <v>422</v>
      </c>
      <c r="G4" s="19">
        <v>111</v>
      </c>
      <c r="H4" s="10" t="s">
        <v>457</v>
      </c>
      <c r="I4" s="19">
        <v>112</v>
      </c>
      <c r="J4" s="19">
        <v>113</v>
      </c>
      <c r="L4" s="10" t="str">
        <f>'Global Settings'!$D$2</f>
        <v>192.168.30.2</v>
      </c>
      <c r="M4" s="10" t="str">
        <f>'Global Settings'!$E$2</f>
        <v>192.168.30.3</v>
      </c>
      <c r="N4" s="10" t="str">
        <f>'Global Settings'!$A$2</f>
        <v>VMware1!</v>
      </c>
      <c r="O4" s="10" t="str">
        <f>'Global Settings'!$C$2</f>
        <v>tataoui.com</v>
      </c>
      <c r="P4" s="10" t="s">
        <v>291</v>
      </c>
      <c r="Q4" s="10" t="s">
        <v>84</v>
      </c>
      <c r="R4" s="19">
        <v>4</v>
      </c>
      <c r="S4" s="19">
        <v>32</v>
      </c>
      <c r="T4" s="19">
        <v>100</v>
      </c>
      <c r="U4" s="19">
        <v>900</v>
      </c>
      <c r="V4" s="38" t="str">
        <f>CONCATENATE(LEFT(A4,(FIND(".",A4)-1)),"=",B4)</f>
        <v>esx203=172.16.10.23</v>
      </c>
    </row>
  </sheetData>
  <phoneticPr fontId="9"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B68D8-8E21-4B86-89F1-0B59FB2412F4}">
  <dimension ref="A1:X4"/>
  <sheetViews>
    <sheetView zoomScale="130" zoomScaleNormal="130" workbookViewId="0">
      <selection activeCell="D20" sqref="D20"/>
    </sheetView>
  </sheetViews>
  <sheetFormatPr defaultRowHeight="15" x14ac:dyDescent="0.25"/>
  <cols>
    <col min="1" max="1" width="20.7109375" customWidth="1"/>
    <col min="2" max="19" width="15.7109375" customWidth="1"/>
    <col min="20" max="22" width="20.7109375" customWidth="1"/>
    <col min="23" max="23" width="5.7109375" customWidth="1"/>
    <col min="24" max="25" width="20.7109375" customWidth="1"/>
    <col min="26" max="26" width="25.7109375" customWidth="1"/>
    <col min="27" max="27" width="3.7109375" customWidth="1"/>
    <col min="28" max="28" width="60.7109375" customWidth="1"/>
  </cols>
  <sheetData>
    <row r="1" spans="1:24" s="10" customFormat="1" x14ac:dyDescent="0.25">
      <c r="A1" s="36" t="s">
        <v>320</v>
      </c>
      <c r="B1" s="36" t="s">
        <v>324</v>
      </c>
      <c r="C1" s="36" t="s">
        <v>325</v>
      </c>
      <c r="D1" s="36" t="s">
        <v>326</v>
      </c>
      <c r="E1" s="36" t="s">
        <v>484</v>
      </c>
      <c r="F1" s="36" t="s">
        <v>483</v>
      </c>
      <c r="G1" s="36" t="s">
        <v>482</v>
      </c>
      <c r="H1" s="36" t="s">
        <v>485</v>
      </c>
      <c r="I1" s="36" t="s">
        <v>486</v>
      </c>
      <c r="J1" s="36" t="s">
        <v>487</v>
      </c>
      <c r="K1" s="36" t="s">
        <v>488</v>
      </c>
      <c r="L1" s="36" t="s">
        <v>328</v>
      </c>
      <c r="M1" s="36" t="s">
        <v>329</v>
      </c>
      <c r="N1" s="36" t="s">
        <v>330</v>
      </c>
      <c r="O1" s="36" t="s">
        <v>331</v>
      </c>
      <c r="P1" s="36" t="s">
        <v>333</v>
      </c>
      <c r="Q1" s="36" t="s">
        <v>332</v>
      </c>
      <c r="R1" s="36" t="s">
        <v>321</v>
      </c>
      <c r="S1" s="36" t="s">
        <v>322</v>
      </c>
      <c r="T1" s="36" t="s">
        <v>323</v>
      </c>
      <c r="U1" s="36" t="s">
        <v>334</v>
      </c>
      <c r="V1" s="37" t="s">
        <v>372</v>
      </c>
      <c r="X1" s="38" t="str">
        <f>_xlfn.TEXTJOIN(",",TRUE,tbl_NestedESX111[Nested_Hidden])</f>
        <v>esx301=172.16.20.21,esx302=172.16.20.22,esx303=172.16.20.23</v>
      </c>
    </row>
    <row r="2" spans="1:24" s="10" customFormat="1" x14ac:dyDescent="0.25">
      <c r="A2" t="s">
        <v>375</v>
      </c>
      <c r="B2" t="s">
        <v>380</v>
      </c>
      <c r="C2" t="s">
        <v>18</v>
      </c>
      <c r="D2" t="s">
        <v>379</v>
      </c>
      <c r="E2" s="19">
        <v>120</v>
      </c>
      <c r="F2" t="s">
        <v>445</v>
      </c>
      <c r="G2" s="19">
        <v>121</v>
      </c>
      <c r="H2" s="10" t="s">
        <v>489</v>
      </c>
      <c r="I2" s="19">
        <v>122</v>
      </c>
      <c r="J2" s="19">
        <v>123</v>
      </c>
      <c r="L2" s="10" t="str">
        <f>'Global Settings'!$D$2</f>
        <v>192.168.30.2</v>
      </c>
      <c r="M2" s="10" t="str">
        <f>'Global Settings'!$E$2</f>
        <v>192.168.30.3</v>
      </c>
      <c r="N2" s="10" t="str">
        <f>'Global Settings'!$A$2</f>
        <v>VMware1!</v>
      </c>
      <c r="O2" s="10" t="str">
        <f>'Global Settings'!$C$2</f>
        <v>tataoui.com</v>
      </c>
      <c r="P2" s="10" t="s">
        <v>291</v>
      </c>
      <c r="Q2" s="10" t="s">
        <v>84</v>
      </c>
      <c r="R2" s="19">
        <v>4</v>
      </c>
      <c r="S2" s="19">
        <v>32</v>
      </c>
      <c r="T2" s="19">
        <v>100</v>
      </c>
      <c r="U2" s="19">
        <v>900</v>
      </c>
      <c r="V2" s="38" t="str">
        <f>CONCATENATE(LEFT(A2,(FIND(".",A2)-1)),"=",B2)</f>
        <v>esx301=172.16.20.21</v>
      </c>
      <c r="X2" s="10" t="str">
        <f>_xlfn.TEXTJOIN(",",TRUE,tbl_NestedESX111[vMotion_IP])</f>
        <v>172.16.21.21,172.16.21.22,172.16.21.23</v>
      </c>
    </row>
    <row r="3" spans="1:24" s="10" customFormat="1" x14ac:dyDescent="0.25">
      <c r="A3" t="s">
        <v>376</v>
      </c>
      <c r="B3" t="s">
        <v>381</v>
      </c>
      <c r="C3" t="s">
        <v>18</v>
      </c>
      <c r="D3" t="s">
        <v>379</v>
      </c>
      <c r="E3" s="19">
        <v>120</v>
      </c>
      <c r="F3" t="s">
        <v>423</v>
      </c>
      <c r="G3" s="19">
        <v>121</v>
      </c>
      <c r="H3" s="10" t="s">
        <v>490</v>
      </c>
      <c r="I3" s="19">
        <v>122</v>
      </c>
      <c r="J3" s="19">
        <v>123</v>
      </c>
      <c r="L3" s="10" t="str">
        <f>'Global Settings'!$D$2</f>
        <v>192.168.30.2</v>
      </c>
      <c r="M3" s="10" t="str">
        <f>'Global Settings'!$E$2</f>
        <v>192.168.30.3</v>
      </c>
      <c r="N3" s="10" t="str">
        <f>'Global Settings'!$A$2</f>
        <v>VMware1!</v>
      </c>
      <c r="O3" s="10" t="str">
        <f>'Global Settings'!$C$2</f>
        <v>tataoui.com</v>
      </c>
      <c r="P3" s="10" t="s">
        <v>291</v>
      </c>
      <c r="Q3" s="10" t="s">
        <v>84</v>
      </c>
      <c r="R3" s="19">
        <v>4</v>
      </c>
      <c r="S3" s="19">
        <v>32</v>
      </c>
      <c r="T3" s="19">
        <v>100</v>
      </c>
      <c r="U3" s="19">
        <v>900</v>
      </c>
      <c r="V3" s="38" t="str">
        <f>CONCATENATE(LEFT(A3,(FIND(".",A3)-1)),"=",B3)</f>
        <v>esx302=172.16.20.22</v>
      </c>
      <c r="X3" s="10" t="str">
        <f>_xlfn.TEXTJOIN(",",TRUE,tbl_NestedESX111[vSAN_IP])</f>
        <v>172.16.22.21,172.16.22.22,172.16.22.23</v>
      </c>
    </row>
    <row r="4" spans="1:24" s="10" customFormat="1" x14ac:dyDescent="0.25">
      <c r="A4" t="s">
        <v>377</v>
      </c>
      <c r="B4" t="s">
        <v>394</v>
      </c>
      <c r="C4" t="s">
        <v>18</v>
      </c>
      <c r="D4" t="s">
        <v>379</v>
      </c>
      <c r="E4" s="19">
        <v>120</v>
      </c>
      <c r="F4" t="s">
        <v>424</v>
      </c>
      <c r="G4" s="19">
        <v>121</v>
      </c>
      <c r="H4" s="10" t="s">
        <v>491</v>
      </c>
      <c r="I4" s="19">
        <v>122</v>
      </c>
      <c r="J4" s="19">
        <v>123</v>
      </c>
      <c r="L4" s="10" t="str">
        <f>'Global Settings'!$D$2</f>
        <v>192.168.30.2</v>
      </c>
      <c r="M4" s="10" t="str">
        <f>'Global Settings'!$E$2</f>
        <v>192.168.30.3</v>
      </c>
      <c r="N4" s="10" t="str">
        <f>'Global Settings'!$A$2</f>
        <v>VMware1!</v>
      </c>
      <c r="O4" s="10" t="str">
        <f>'Global Settings'!$C$2</f>
        <v>tataoui.com</v>
      </c>
      <c r="P4" s="10" t="s">
        <v>291</v>
      </c>
      <c r="Q4" s="10" t="s">
        <v>84</v>
      </c>
      <c r="R4" s="19">
        <v>4</v>
      </c>
      <c r="S4" s="19">
        <v>32</v>
      </c>
      <c r="T4" s="19">
        <v>100</v>
      </c>
      <c r="U4" s="19">
        <v>900</v>
      </c>
      <c r="V4" s="38" t="str">
        <f>CONCATENATE(LEFT(A4,(FIND(".",A4)-1)),"=",B4)</f>
        <v>esx303=172.16.20.23</v>
      </c>
    </row>
  </sheetData>
  <phoneticPr fontId="9"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2797B-A83E-461F-A319-51DFE551657F}">
  <dimension ref="A1:S4"/>
  <sheetViews>
    <sheetView zoomScale="130" zoomScaleNormal="130" workbookViewId="0">
      <selection activeCell="F11" sqref="F11"/>
    </sheetView>
  </sheetViews>
  <sheetFormatPr defaultRowHeight="15" x14ac:dyDescent="0.25"/>
  <cols>
    <col min="1" max="1" width="20.7109375" customWidth="1"/>
    <col min="2" max="8" width="15.7109375" customWidth="1"/>
    <col min="9" max="10" width="20.7109375" customWidth="1"/>
    <col min="11" max="14" width="15.7109375" customWidth="1"/>
    <col min="15" max="16" width="20.7109375" customWidth="1"/>
    <col min="17" max="17" width="15.7109375" customWidth="1"/>
    <col min="18" max="20" width="20.7109375" customWidth="1"/>
    <col min="21" max="21" width="25.7109375" customWidth="1"/>
    <col min="22" max="22" width="3.7109375" customWidth="1"/>
    <col min="23" max="23" width="60.7109375" customWidth="1"/>
  </cols>
  <sheetData>
    <row r="1" spans="1:19" x14ac:dyDescent="0.25">
      <c r="A1" s="1" t="s">
        <v>320</v>
      </c>
      <c r="B1" s="1" t="s">
        <v>324</v>
      </c>
      <c r="C1" s="1" t="s">
        <v>325</v>
      </c>
      <c r="D1" s="1" t="s">
        <v>326</v>
      </c>
      <c r="E1" s="1" t="s">
        <v>327</v>
      </c>
      <c r="F1" s="1" t="s">
        <v>419</v>
      </c>
      <c r="G1" s="1" t="s">
        <v>328</v>
      </c>
      <c r="H1" s="1" t="s">
        <v>329</v>
      </c>
      <c r="I1" s="1" t="s">
        <v>330</v>
      </c>
      <c r="J1" s="1" t="s">
        <v>331</v>
      </c>
      <c r="K1" s="1" t="s">
        <v>333</v>
      </c>
      <c r="L1" s="1" t="s">
        <v>332</v>
      </c>
      <c r="M1" s="1" t="s">
        <v>321</v>
      </c>
      <c r="N1" s="1" t="s">
        <v>322</v>
      </c>
      <c r="O1" s="1" t="s">
        <v>323</v>
      </c>
      <c r="P1" s="1" t="s">
        <v>334</v>
      </c>
      <c r="Q1" s="27" t="s">
        <v>372</v>
      </c>
      <c r="S1" s="28" t="str">
        <f>_xlfn.TEXTJOIN(",",TRUE,tbl_NestedESX3[Nested_Hidden])</f>
        <v>esx401=172.16.30.21,esx402=172.16.30.22,esx403=172.16.30.23</v>
      </c>
    </row>
    <row r="2" spans="1:19" x14ac:dyDescent="0.25">
      <c r="A2" t="s">
        <v>384</v>
      </c>
      <c r="B2" t="s">
        <v>388</v>
      </c>
      <c r="C2" t="s">
        <v>18</v>
      </c>
      <c r="D2" t="s">
        <v>390</v>
      </c>
      <c r="E2">
        <v>130</v>
      </c>
      <c r="F2" t="s">
        <v>425</v>
      </c>
      <c r="G2" t="str">
        <f>'Global Settings'!$D$2</f>
        <v>192.168.30.2</v>
      </c>
      <c r="H2" t="str">
        <f>'Global Settings'!$E$2</f>
        <v>192.168.30.3</v>
      </c>
      <c r="I2" t="str">
        <f>'Global Settings'!$A$2</f>
        <v>VMware1!</v>
      </c>
      <c r="J2" t="str">
        <f>'Global Settings'!$C$2</f>
        <v>tataoui.com</v>
      </c>
      <c r="K2" t="s">
        <v>291</v>
      </c>
      <c r="L2" t="s">
        <v>84</v>
      </c>
      <c r="M2">
        <v>4</v>
      </c>
      <c r="N2">
        <v>32</v>
      </c>
      <c r="O2">
        <v>100</v>
      </c>
      <c r="P2">
        <v>900</v>
      </c>
      <c r="Q2" s="28" t="str">
        <f>CONCATENATE(LEFT(A2,(FIND(".",A2)-1)),"=",B2)</f>
        <v>esx401=172.16.30.21</v>
      </c>
      <c r="S2" t="str">
        <f>_xlfn.TEXTJOIN(",",TRUE,tbl_NestedESX3[Nested_vMotion_IP])</f>
        <v>172.16.31.21,172.16.31.22,172.16.31.23</v>
      </c>
    </row>
    <row r="3" spans="1:19" x14ac:dyDescent="0.25">
      <c r="A3" t="s">
        <v>385</v>
      </c>
      <c r="B3" t="s">
        <v>389</v>
      </c>
      <c r="C3" t="s">
        <v>18</v>
      </c>
      <c r="D3" t="s">
        <v>390</v>
      </c>
      <c r="E3">
        <v>130</v>
      </c>
      <c r="F3" t="s">
        <v>426</v>
      </c>
      <c r="G3" t="str">
        <f>'Global Settings'!$D$2</f>
        <v>192.168.30.2</v>
      </c>
      <c r="H3" t="str">
        <f>'Global Settings'!$E$2</f>
        <v>192.168.30.3</v>
      </c>
      <c r="I3" t="str">
        <f>'Global Settings'!$A$2</f>
        <v>VMware1!</v>
      </c>
      <c r="J3" t="str">
        <f>'Global Settings'!$C$2</f>
        <v>tataoui.com</v>
      </c>
      <c r="K3" t="s">
        <v>291</v>
      </c>
      <c r="L3" t="s">
        <v>84</v>
      </c>
      <c r="M3">
        <v>4</v>
      </c>
      <c r="N3">
        <v>32</v>
      </c>
      <c r="O3">
        <v>100</v>
      </c>
      <c r="P3">
        <v>900</v>
      </c>
      <c r="Q3" s="28" t="str">
        <f>CONCATENATE(LEFT(A3,(FIND(".",A3)-1)),"=",B3)</f>
        <v>esx402=172.16.30.22</v>
      </c>
    </row>
    <row r="4" spans="1:19" x14ac:dyDescent="0.25">
      <c r="A4" t="s">
        <v>386</v>
      </c>
      <c r="B4" t="s">
        <v>395</v>
      </c>
      <c r="C4" t="s">
        <v>18</v>
      </c>
      <c r="D4" t="s">
        <v>390</v>
      </c>
      <c r="E4">
        <v>130</v>
      </c>
      <c r="F4" t="s">
        <v>427</v>
      </c>
      <c r="G4" t="str">
        <f>'Global Settings'!$D$2</f>
        <v>192.168.30.2</v>
      </c>
      <c r="H4" t="str">
        <f>'Global Settings'!$E$2</f>
        <v>192.168.30.3</v>
      </c>
      <c r="I4" t="str">
        <f>'Global Settings'!$A$2</f>
        <v>VMware1!</v>
      </c>
      <c r="J4" t="str">
        <f>'Global Settings'!$C$2</f>
        <v>tataoui.com</v>
      </c>
      <c r="K4" t="s">
        <v>291</v>
      </c>
      <c r="L4" t="s">
        <v>84</v>
      </c>
      <c r="M4">
        <v>4</v>
      </c>
      <c r="N4">
        <v>32</v>
      </c>
      <c r="O4">
        <v>100</v>
      </c>
      <c r="P4">
        <v>900</v>
      </c>
      <c r="Q4" s="28" t="str">
        <f>CONCATENATE(LEFT(A4,(FIND(".",A4)-1)),"=",B4)</f>
        <v>esx403=172.16.30.23</v>
      </c>
    </row>
  </sheetData>
  <phoneticPr fontId="9" type="noConversion"/>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EF3A1-CE6F-4C78-A9A9-7961FC9AE589}">
  <dimension ref="A1:E39"/>
  <sheetViews>
    <sheetView workbookViewId="0">
      <selection activeCell="F19" sqref="F19"/>
    </sheetView>
  </sheetViews>
  <sheetFormatPr defaultRowHeight="15" x14ac:dyDescent="0.25"/>
  <cols>
    <col min="1" max="1" width="25.5703125" bestFit="1" customWidth="1"/>
    <col min="2" max="2" width="99.5703125" bestFit="1" customWidth="1"/>
    <col min="3" max="3" width="43.7109375" bestFit="1" customWidth="1"/>
    <col min="4" max="4" width="12.7109375" customWidth="1"/>
    <col min="5" max="6" width="25.5703125" bestFit="1" customWidth="1"/>
  </cols>
  <sheetData>
    <row r="1" spans="1:5" ht="15.75" x14ac:dyDescent="0.25">
      <c r="A1" s="9" t="s">
        <v>351</v>
      </c>
      <c r="B1" s="9"/>
      <c r="C1" s="10"/>
      <c r="D1" s="10"/>
    </row>
    <row r="2" spans="1:5" x14ac:dyDescent="0.25">
      <c r="A2" s="11" t="s">
        <v>343</v>
      </c>
      <c r="B2" s="11" t="s">
        <v>165</v>
      </c>
      <c r="C2" s="11" t="s">
        <v>166</v>
      </c>
      <c r="D2" s="24" t="s">
        <v>345</v>
      </c>
    </row>
    <row r="3" spans="1:5" x14ac:dyDescent="0.25">
      <c r="A3" s="22" t="s">
        <v>339</v>
      </c>
      <c r="B3" s="10" t="s">
        <v>344</v>
      </c>
      <c r="C3" s="10" t="s">
        <v>338</v>
      </c>
      <c r="D3" s="10" t="s">
        <v>346</v>
      </c>
    </row>
    <row r="4" spans="1:5" x14ac:dyDescent="0.25">
      <c r="A4" s="22" t="s">
        <v>339</v>
      </c>
      <c r="B4" s="10" t="s">
        <v>311</v>
      </c>
      <c r="C4" s="10" t="s">
        <v>338</v>
      </c>
      <c r="D4" s="10" t="s">
        <v>347</v>
      </c>
    </row>
    <row r="5" spans="1:5" x14ac:dyDescent="0.25">
      <c r="A5" s="22" t="s">
        <v>350</v>
      </c>
      <c r="B5" s="10" t="s">
        <v>348</v>
      </c>
      <c r="C5" s="10" t="s">
        <v>340</v>
      </c>
      <c r="D5" s="10" t="s">
        <v>346</v>
      </c>
    </row>
    <row r="6" spans="1:5" x14ac:dyDescent="0.25">
      <c r="A6" s="22" t="s">
        <v>350</v>
      </c>
      <c r="B6" s="10" t="str">
        <f>INDEX(tbl_ESXVersion[Path],MATCH(B31,tbl_ESXVersion[Path],0)-1,1)</f>
        <v>D:\VMware\ova\Nested_ESXi6.7u3_Appliance_Template_v1\Nested_ESXi6.7u3_Appliance_Template_v1.ovf</v>
      </c>
      <c r="C6" s="10" t="s">
        <v>340</v>
      </c>
      <c r="D6" s="10" t="s">
        <v>347</v>
      </c>
    </row>
    <row r="7" spans="1:5" x14ac:dyDescent="0.25">
      <c r="A7" s="22" t="s">
        <v>336</v>
      </c>
      <c r="B7" s="10" t="s">
        <v>349</v>
      </c>
      <c r="C7" s="10" t="s">
        <v>337</v>
      </c>
      <c r="D7" s="10" t="s">
        <v>346</v>
      </c>
    </row>
    <row r="8" spans="1:5" x14ac:dyDescent="0.25">
      <c r="A8" s="22" t="s">
        <v>336</v>
      </c>
      <c r="B8" s="10" t="s">
        <v>341</v>
      </c>
      <c r="C8" s="10" t="s">
        <v>337</v>
      </c>
      <c r="D8" s="10" t="s">
        <v>347</v>
      </c>
    </row>
    <row r="9" spans="1:5" x14ac:dyDescent="0.25">
      <c r="A9" s="12"/>
      <c r="B9" s="10"/>
      <c r="C9" s="10"/>
      <c r="E9" s="10"/>
    </row>
    <row r="10" spans="1:5" x14ac:dyDescent="0.25">
      <c r="A10" s="12"/>
      <c r="B10" s="10"/>
      <c r="C10" s="10"/>
      <c r="E10" s="10"/>
    </row>
    <row r="11" spans="1:5" ht="15.75" x14ac:dyDescent="0.25">
      <c r="A11" s="9" t="s">
        <v>353</v>
      </c>
      <c r="B11" s="9"/>
      <c r="C11" s="10"/>
      <c r="E11" s="10"/>
    </row>
    <row r="12" spans="1:5" x14ac:dyDescent="0.25">
      <c r="A12" s="24" t="s">
        <v>343</v>
      </c>
      <c r="B12" s="24" t="s">
        <v>165</v>
      </c>
      <c r="C12" s="24" t="s">
        <v>166</v>
      </c>
      <c r="D12" s="24" t="s">
        <v>345</v>
      </c>
    </row>
    <row r="13" spans="1:5" x14ac:dyDescent="0.25">
      <c r="A13" s="22" t="s">
        <v>339</v>
      </c>
      <c r="B13" s="10" t="s">
        <v>167</v>
      </c>
      <c r="C13" s="10" t="s">
        <v>359</v>
      </c>
      <c r="D13" t="s">
        <v>360</v>
      </c>
    </row>
    <row r="14" spans="1:5" x14ac:dyDescent="0.25">
      <c r="A14" s="22" t="s">
        <v>350</v>
      </c>
      <c r="B14" s="10" t="s">
        <v>355</v>
      </c>
      <c r="C14" s="10" t="s">
        <v>354</v>
      </c>
      <c r="D14" t="s">
        <v>360</v>
      </c>
    </row>
    <row r="15" spans="1:5" x14ac:dyDescent="0.25">
      <c r="A15" s="12" t="s">
        <v>336</v>
      </c>
      <c r="B15" s="10" t="s">
        <v>361</v>
      </c>
      <c r="C15" s="10" t="s">
        <v>358</v>
      </c>
      <c r="D15" t="s">
        <v>360</v>
      </c>
    </row>
    <row r="16" spans="1:5" x14ac:dyDescent="0.25">
      <c r="A16" s="12"/>
      <c r="B16" s="10"/>
      <c r="C16" s="10"/>
      <c r="E16" s="10"/>
    </row>
    <row r="17" spans="1:5" x14ac:dyDescent="0.25">
      <c r="A17" s="12"/>
      <c r="B17" s="10"/>
      <c r="C17" s="10"/>
      <c r="E17" s="10"/>
    </row>
    <row r="18" spans="1:5" ht="15.75" x14ac:dyDescent="0.25">
      <c r="A18" s="9" t="s">
        <v>365</v>
      </c>
      <c r="B18" s="9"/>
      <c r="C18" s="10"/>
      <c r="E18" s="10"/>
    </row>
    <row r="19" spans="1:5" x14ac:dyDescent="0.25">
      <c r="A19" s="25" t="s">
        <v>343</v>
      </c>
      <c r="B19" s="25" t="s">
        <v>165</v>
      </c>
      <c r="C19" s="25" t="s">
        <v>166</v>
      </c>
      <c r="D19" s="25" t="s">
        <v>345</v>
      </c>
    </row>
    <row r="20" spans="1:5" x14ac:dyDescent="0.25">
      <c r="A20" s="12" t="s">
        <v>312</v>
      </c>
      <c r="B20" s="10" t="s">
        <v>313</v>
      </c>
      <c r="C20" s="10" t="s">
        <v>362</v>
      </c>
      <c r="D20" t="s">
        <v>347</v>
      </c>
    </row>
    <row r="21" spans="1:5" x14ac:dyDescent="0.25">
      <c r="A21" s="12" t="s">
        <v>317</v>
      </c>
      <c r="B21" t="s">
        <v>318</v>
      </c>
      <c r="C21" s="10" t="s">
        <v>363</v>
      </c>
      <c r="D21" t="s">
        <v>347</v>
      </c>
    </row>
    <row r="22" spans="1:5" x14ac:dyDescent="0.25">
      <c r="A22" s="12" t="s">
        <v>171</v>
      </c>
      <c r="B22" s="10" t="s">
        <v>168</v>
      </c>
      <c r="C22" s="10" t="s">
        <v>364</v>
      </c>
      <c r="D22" t="s">
        <v>347</v>
      </c>
    </row>
    <row r="23" spans="1:5" x14ac:dyDescent="0.25">
      <c r="A23" s="12"/>
      <c r="B23" s="10"/>
      <c r="C23" s="10"/>
      <c r="E23" s="10"/>
    </row>
    <row r="24" spans="1:5" x14ac:dyDescent="0.25">
      <c r="A24" s="12"/>
      <c r="B24" s="10"/>
      <c r="C24" s="10"/>
      <c r="E24" s="10"/>
    </row>
    <row r="25" spans="1:5" ht="15.75" x14ac:dyDescent="0.25">
      <c r="A25" s="9" t="s">
        <v>366</v>
      </c>
      <c r="B25" s="9"/>
      <c r="C25" s="10"/>
      <c r="E25" s="10"/>
    </row>
    <row r="26" spans="1:5" x14ac:dyDescent="0.25">
      <c r="A26" s="25" t="s">
        <v>343</v>
      </c>
      <c r="B26" s="25" t="s">
        <v>165</v>
      </c>
      <c r="C26" s="25" t="s">
        <v>166</v>
      </c>
      <c r="D26" s="25" t="s">
        <v>345</v>
      </c>
    </row>
    <row r="27" spans="1:5" x14ac:dyDescent="0.25">
      <c r="A27" s="12" t="s">
        <v>172</v>
      </c>
      <c r="B27" s="10" t="s">
        <v>169</v>
      </c>
      <c r="C27" s="10" t="s">
        <v>177</v>
      </c>
      <c r="D27" t="s">
        <v>347</v>
      </c>
    </row>
    <row r="28" spans="1:5" x14ac:dyDescent="0.25">
      <c r="A28" s="12" t="s">
        <v>172</v>
      </c>
      <c r="B28" s="10" t="s">
        <v>170</v>
      </c>
      <c r="C28" s="10" t="s">
        <v>178</v>
      </c>
      <c r="D28" t="s">
        <v>347</v>
      </c>
    </row>
    <row r="31" spans="1:5" x14ac:dyDescent="0.25">
      <c r="A31" t="s">
        <v>310</v>
      </c>
      <c r="B31" t="str">
        <f>VLOOKUP(Build!C2,tbl_ESXVersion[],2,TRUE)</f>
        <v>D:\VMware\ova\Nested_ESXi6.7u3_Appliance_Template_v1.ova</v>
      </c>
    </row>
    <row r="32" spans="1:5" x14ac:dyDescent="0.25">
      <c r="A32" t="s">
        <v>335</v>
      </c>
      <c r="B32" t="str">
        <f>INDEX(tbl_ESXVersion[Path],MATCH(B31,tbl_ESXVersion[Path],0)-1,1)</f>
        <v>D:\VMware\ova\Nested_ESXi6.7u3_Appliance_Template_v1\Nested_ESXi6.7u3_Appliance_Template_v1.ovf</v>
      </c>
    </row>
    <row r="33" spans="1:2" x14ac:dyDescent="0.25">
      <c r="A33" t="s">
        <v>176</v>
      </c>
      <c r="B33" t="str">
        <f>VLOOKUP(Build!D2,tbl_VCSAVersion[],2,TRUE)</f>
        <v>D:\VMware\VMware-VCSA-all-6.7.0-15132721</v>
      </c>
    </row>
    <row r="34" spans="1:2" x14ac:dyDescent="0.25">
      <c r="A34" t="s">
        <v>173</v>
      </c>
      <c r="B34" t="str">
        <f>VLOOKUP(Build!E2,tbl_NSXVersion[],2,TRUE)</f>
        <v>D:\VMware\ova\VMware-NSX-Manager-6.3.7-10667122.ova</v>
      </c>
    </row>
    <row r="35" spans="1:2" x14ac:dyDescent="0.25">
      <c r="A35" s="10" t="s">
        <v>174</v>
      </c>
      <c r="B35" t="str">
        <f>INDEX(tbl_NSXTVersion[Path],MATCH(B36,tbl_NSXTVersion[Path],0)-1,1)</f>
        <v>D:\VMware\ova\VMware NSX-T Data Center 2.5.2.2\nsx-unified-appliance-2.5.2.2.0.17003656.ova</v>
      </c>
    </row>
    <row r="36" spans="1:2" x14ac:dyDescent="0.25">
      <c r="A36" s="10" t="s">
        <v>175</v>
      </c>
      <c r="B36" t="str">
        <f>VLOOKUP(Build!D2,tbl_NSXTVersion[],2,TRUE)</f>
        <v>D:\VMware\ova\VMware NSX-T Data Center 2.5.2.2\nsx-edge-2.5.2.2.0.17003662.ova</v>
      </c>
    </row>
    <row r="39" spans="1:2" x14ac:dyDescent="0.25">
      <c r="A39" s="26"/>
    </row>
  </sheetData>
  <pageMargins left="0.7" right="0.7" top="0.75" bottom="0.75" header="0.3" footer="0.3"/>
  <pageSetup orientation="portrait" r:id="rId1"/>
  <tableParts count="4">
    <tablePart r:id="rId2"/>
    <tablePart r:id="rId3"/>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8D296-0BC6-42F1-BC48-7F3C4B23C0BC}">
  <dimension ref="A1:E2"/>
  <sheetViews>
    <sheetView workbookViewId="0">
      <selection activeCell="E3" sqref="E3"/>
    </sheetView>
  </sheetViews>
  <sheetFormatPr defaultRowHeight="15" x14ac:dyDescent="0.25"/>
  <cols>
    <col min="1" max="1" width="20.7109375" customWidth="1"/>
    <col min="2" max="2" width="10.7109375" customWidth="1"/>
    <col min="3" max="3" width="25.7109375" customWidth="1"/>
    <col min="4" max="5" width="20.7109375" customWidth="1"/>
  </cols>
  <sheetData>
    <row r="1" spans="1:5" x14ac:dyDescent="0.25">
      <c r="A1" s="15" t="s">
        <v>229</v>
      </c>
      <c r="B1" s="15" t="s">
        <v>230</v>
      </c>
      <c r="C1" s="15" t="s">
        <v>231</v>
      </c>
      <c r="D1" s="15" t="s">
        <v>232</v>
      </c>
      <c r="E1" s="15" t="s">
        <v>233</v>
      </c>
    </row>
    <row r="2" spans="1:5" x14ac:dyDescent="0.25">
      <c r="A2" t="s">
        <v>234</v>
      </c>
      <c r="B2">
        <v>587</v>
      </c>
      <c r="C2" t="s">
        <v>235</v>
      </c>
      <c r="D2" t="str">
        <f>'Global Settings'!A7</f>
        <v>VMware1!</v>
      </c>
      <c r="E2" s="2" t="s">
        <v>236</v>
      </c>
    </row>
  </sheetData>
  <hyperlinks>
    <hyperlink ref="E2" r:id="rId1" xr:uid="{248ACBBB-D84C-40AB-9093-87B0E69D3DF9}"/>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Sheet2</vt:lpstr>
      <vt:lpstr>Build</vt:lpstr>
      <vt:lpstr>Global Settings</vt:lpstr>
      <vt:lpstr>ESXHosts</vt:lpstr>
      <vt:lpstr>esx02.tataoui.com</vt:lpstr>
      <vt:lpstr>esx03.tataoui.com</vt:lpstr>
      <vt:lpstr>esx04.tataoui.com</vt:lpstr>
      <vt:lpstr>Software Depot</vt:lpstr>
      <vt:lpstr>Email</vt:lpstr>
      <vt:lpstr>VCSA Information</vt:lpstr>
      <vt:lpstr>VCSA Information (2)</vt:lpstr>
      <vt:lpstr>NSX-T Information</vt:lpstr>
      <vt:lpstr>NSX Information</vt:lpstr>
      <vt:lpstr>IP Pools</vt:lpstr>
      <vt:lpstr>Exclusion List</vt:lpstr>
      <vt:lpstr>Logical Switches</vt:lpstr>
      <vt:lpstr>Distributed Logical Routers - 1</vt:lpstr>
      <vt:lpstr>Distributed Logical Routers - 2</vt:lpstr>
      <vt:lpstr>Edge Services Gateways</vt:lpstr>
      <vt:lpstr>Edge Services Gateways (2)</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2021-03-05T19:38:04Z</dcterms:modified>
</cp:coreProperties>
</file>