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:\SMART OFFICE-07 Project\Project Solution\"/>
    </mc:Choice>
  </mc:AlternateContent>
  <xr:revisionPtr revIDLastSave="0" documentId="13_ncr:1_{7A7636A2-E1CE-4147-AFD3-A86E6A3520E6}" xr6:coauthVersionLast="47" xr6:coauthVersionMax="47" xr10:uidLastSave="{00000000-0000-0000-0000-000000000000}"/>
  <bookViews>
    <workbookView xWindow="-108" yWindow="-108" windowWidth="23256" windowHeight="12576" firstSheet="1" activeTab="10" xr2:uid="{00000000-000D-0000-FFFF-FFFF00000000}"/>
  </bookViews>
  <sheets>
    <sheet name="SL-01" sheetId="4" r:id="rId1"/>
    <sheet name="SL-03" sheetId="1" r:id="rId2"/>
    <sheet name="SL-05" sheetId="2" r:id="rId3"/>
    <sheet name="SL-09" sheetId="3" r:id="rId4"/>
    <sheet name="SL-12" sheetId="5" r:id="rId5"/>
    <sheet name="SL-14" sheetId="6" r:id="rId6"/>
    <sheet name="SL-15" sheetId="7" r:id="rId7"/>
    <sheet name="SL-18" sheetId="17" r:id="rId8"/>
    <sheet name="Pivot" sheetId="14" r:id="rId9"/>
    <sheet name="SL-22" sheetId="9" r:id="rId10"/>
    <sheet name="SL-24" sheetId="10" r:id="rId11"/>
    <sheet name="SL-28" sheetId="11" r:id="rId12"/>
    <sheet name="SL-29" sheetId="8" r:id="rId13"/>
    <sheet name="SL-30" sheetId="13" r:id="rId14"/>
  </sheets>
  <externalReferences>
    <externalReference r:id="rId15"/>
  </externalReferences>
  <calcPr calcId="181029"/>
  <pivotCaches>
    <pivotCache cacheId="1" r:id="rId16"/>
  </pivotCaches>
</workbook>
</file>

<file path=xl/calcChain.xml><?xml version="1.0" encoding="utf-8"?>
<calcChain xmlns="http://schemas.openxmlformats.org/spreadsheetml/2006/main">
  <c r="G56" i="3" l="1"/>
  <c r="J34" i="3"/>
  <c r="J35" i="3"/>
  <c r="J36" i="3"/>
  <c r="J37" i="3"/>
  <c r="J38" i="3"/>
  <c r="J39" i="3"/>
  <c r="J40" i="3"/>
  <c r="J41" i="3"/>
  <c r="J42" i="3"/>
  <c r="J43" i="3"/>
  <c r="J44" i="3"/>
  <c r="F48" i="3"/>
  <c r="I20" i="3"/>
  <c r="J20" i="3"/>
  <c r="I24" i="3"/>
  <c r="D22" i="3"/>
  <c r="J14" i="13"/>
  <c r="K14" i="13" s="1"/>
  <c r="L14" i="13" s="1"/>
  <c r="J15" i="13"/>
  <c r="K15" i="13" s="1"/>
  <c r="L15" i="13" s="1"/>
  <c r="J17" i="13"/>
  <c r="K17" i="13" s="1"/>
  <c r="L17" i="13" s="1"/>
  <c r="J18" i="13"/>
  <c r="K18" i="13" s="1"/>
  <c r="L18" i="13" s="1"/>
  <c r="J19" i="13"/>
  <c r="K19" i="13" s="1"/>
  <c r="L19" i="13" s="1"/>
  <c r="E20" i="13"/>
  <c r="I19" i="13"/>
  <c r="H19" i="13"/>
  <c r="G19" i="13"/>
  <c r="F19" i="13"/>
  <c r="I18" i="13"/>
  <c r="H18" i="13"/>
  <c r="G18" i="13"/>
  <c r="F18" i="13"/>
  <c r="I17" i="13"/>
  <c r="H17" i="13"/>
  <c r="G17" i="13"/>
  <c r="F17" i="13"/>
  <c r="I16" i="13"/>
  <c r="J16" i="13" s="1"/>
  <c r="K16" i="13" s="1"/>
  <c r="L16" i="13" s="1"/>
  <c r="H16" i="13"/>
  <c r="G16" i="13"/>
  <c r="F16" i="13"/>
  <c r="I15" i="13"/>
  <c r="H15" i="13"/>
  <c r="G15" i="13"/>
  <c r="F15" i="13"/>
  <c r="I14" i="13"/>
  <c r="H14" i="13"/>
  <c r="G14" i="13"/>
  <c r="F14" i="13"/>
  <c r="I13" i="13"/>
  <c r="H13" i="13"/>
  <c r="H20" i="13" s="1"/>
  <c r="G13" i="13"/>
  <c r="G20" i="13" s="1"/>
  <c r="F13" i="13"/>
  <c r="F20" i="13" s="1"/>
  <c r="E18" i="17"/>
  <c r="J17" i="17"/>
  <c r="I17" i="17"/>
  <c r="H17" i="17"/>
  <c r="G17" i="17"/>
  <c r="F17" i="17"/>
  <c r="J16" i="17"/>
  <c r="I16" i="17"/>
  <c r="H16" i="17"/>
  <c r="G16" i="17"/>
  <c r="F16" i="17"/>
  <c r="K16" i="17" s="1"/>
  <c r="J15" i="17"/>
  <c r="I15" i="17"/>
  <c r="H15" i="17"/>
  <c r="G15" i="17"/>
  <c r="F15" i="17"/>
  <c r="K15" i="17" s="1"/>
  <c r="J14" i="17"/>
  <c r="I14" i="17"/>
  <c r="H14" i="17"/>
  <c r="G14" i="17"/>
  <c r="F14" i="17"/>
  <c r="J13" i="17"/>
  <c r="I13" i="17"/>
  <c r="H13" i="17"/>
  <c r="G13" i="17"/>
  <c r="F13" i="17"/>
  <c r="K13" i="17" s="1"/>
  <c r="J12" i="17"/>
  <c r="I12" i="17"/>
  <c r="H12" i="17"/>
  <c r="G12" i="17"/>
  <c r="F12" i="17"/>
  <c r="J11" i="17"/>
  <c r="I11" i="17"/>
  <c r="I18" i="17" s="1"/>
  <c r="H11" i="17"/>
  <c r="G11" i="17"/>
  <c r="F11" i="17"/>
  <c r="J34" i="11"/>
  <c r="I34" i="11"/>
  <c r="G17" i="10"/>
  <c r="H17" i="10" s="1"/>
  <c r="K17" i="10" s="1"/>
  <c r="L17" i="10" s="1"/>
  <c r="G16" i="10"/>
  <c r="H16" i="10" s="1"/>
  <c r="K16" i="10" s="1"/>
  <c r="L16" i="10" s="1"/>
  <c r="G15" i="10"/>
  <c r="H15" i="10" s="1"/>
  <c r="G14" i="10"/>
  <c r="H14" i="10" s="1"/>
  <c r="G13" i="10"/>
  <c r="H13" i="10" s="1"/>
  <c r="E15" i="8"/>
  <c r="K8" i="8"/>
  <c r="J9" i="8"/>
  <c r="J10" i="8"/>
  <c r="J11" i="8"/>
  <c r="J12" i="8"/>
  <c r="J13" i="8"/>
  <c r="J14" i="8"/>
  <c r="J8" i="8"/>
  <c r="J15" i="8" s="1"/>
  <c r="I9" i="8"/>
  <c r="I10" i="8"/>
  <c r="I11" i="8"/>
  <c r="I12" i="8"/>
  <c r="I13" i="8"/>
  <c r="I14" i="8"/>
  <c r="I8" i="8"/>
  <c r="I15" i="8" s="1"/>
  <c r="H9" i="8"/>
  <c r="H10" i="8"/>
  <c r="H11" i="8"/>
  <c r="H12" i="8"/>
  <c r="H13" i="8"/>
  <c r="H14" i="8"/>
  <c r="H8" i="8"/>
  <c r="H15" i="8" s="1"/>
  <c r="G9" i="8"/>
  <c r="G10" i="8"/>
  <c r="G11" i="8"/>
  <c r="G12" i="8"/>
  <c r="G13" i="8"/>
  <c r="G14" i="8"/>
  <c r="G8" i="8"/>
  <c r="G15" i="8" s="1"/>
  <c r="F9" i="8"/>
  <c r="K9" i="8" s="1"/>
  <c r="F10" i="8"/>
  <c r="K10" i="8" s="1"/>
  <c r="F11" i="8"/>
  <c r="K11" i="8" s="1"/>
  <c r="F12" i="8"/>
  <c r="K12" i="8" s="1"/>
  <c r="F13" i="8"/>
  <c r="K13" i="8" s="1"/>
  <c r="F14" i="8"/>
  <c r="K14" i="8" s="1"/>
  <c r="F8" i="8"/>
  <c r="F15" i="8" s="1"/>
  <c r="Y20" i="7"/>
  <c r="Z20" i="7" s="1"/>
  <c r="AA20" i="7" s="1"/>
  <c r="Y21" i="7"/>
  <c r="Y22" i="7"/>
  <c r="Y19" i="7"/>
  <c r="R20" i="7"/>
  <c r="S20" i="7" s="1"/>
  <c r="R21" i="7"/>
  <c r="R22" i="7"/>
  <c r="R23" i="7"/>
  <c r="R19" i="7"/>
  <c r="W23" i="7"/>
  <c r="Y23" i="7" s="1"/>
  <c r="W22" i="7"/>
  <c r="W21" i="7"/>
  <c r="W20" i="7"/>
  <c r="W19" i="7"/>
  <c r="P23" i="7"/>
  <c r="P22" i="7"/>
  <c r="P21" i="7"/>
  <c r="P20" i="7"/>
  <c r="P19" i="7"/>
  <c r="I20" i="7"/>
  <c r="K20" i="7" s="1"/>
  <c r="L20" i="7" s="1"/>
  <c r="I21" i="7"/>
  <c r="K21" i="7" s="1"/>
  <c r="L21" i="7" s="1"/>
  <c r="I22" i="7"/>
  <c r="K22" i="7" s="1"/>
  <c r="L22" i="7" s="1"/>
  <c r="I23" i="7"/>
  <c r="K23" i="7" s="1"/>
  <c r="L23" i="7" s="1"/>
  <c r="I19" i="7"/>
  <c r="K19" i="7" s="1"/>
  <c r="L19" i="7" s="1"/>
  <c r="H44" i="6"/>
  <c r="G44" i="6"/>
  <c r="I14" i="6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K18" i="5"/>
  <c r="K17" i="5"/>
  <c r="L17" i="5" s="1"/>
  <c r="H21" i="5"/>
  <c r="H20" i="5"/>
  <c r="K20" i="5" s="1"/>
  <c r="H19" i="5"/>
  <c r="H18" i="5"/>
  <c r="L18" i="5" s="1"/>
  <c r="H17" i="5"/>
  <c r="G18" i="5"/>
  <c r="G19" i="5"/>
  <c r="G20" i="5"/>
  <c r="G21" i="5"/>
  <c r="G17" i="5"/>
  <c r="G57" i="3"/>
  <c r="G58" i="3"/>
  <c r="G59" i="3"/>
  <c r="G60" i="3"/>
  <c r="I46" i="3"/>
  <c r="E47" i="3"/>
  <c r="L16" i="3"/>
  <c r="G66" i="3"/>
  <c r="F66" i="3"/>
  <c r="G65" i="3"/>
  <c r="F65" i="3"/>
  <c r="G64" i="3"/>
  <c r="F64" i="3"/>
  <c r="G63" i="3"/>
  <c r="F63" i="3"/>
  <c r="G62" i="3"/>
  <c r="F62" i="3"/>
  <c r="F60" i="3"/>
  <c r="F59" i="3"/>
  <c r="F58" i="3"/>
  <c r="F57" i="3"/>
  <c r="F56" i="3"/>
  <c r="L47" i="3"/>
  <c r="I47" i="3"/>
  <c r="E46" i="3"/>
  <c r="H24" i="3"/>
  <c r="D21" i="3"/>
  <c r="L15" i="3"/>
  <c r="K15" i="3"/>
  <c r="L14" i="3"/>
  <c r="K14" i="3"/>
  <c r="L13" i="3"/>
  <c r="K13" i="3"/>
  <c r="L12" i="3"/>
  <c r="K12" i="3"/>
  <c r="L11" i="3"/>
  <c r="K11" i="3"/>
  <c r="L10" i="3"/>
  <c r="K10" i="3"/>
  <c r="L9" i="3"/>
  <c r="K9" i="3"/>
  <c r="L8" i="3"/>
  <c r="K8" i="3"/>
  <c r="K15" i="8" l="1"/>
  <c r="F18" i="17"/>
  <c r="G18" i="17"/>
  <c r="K19" i="5"/>
  <c r="L19" i="5" s="1"/>
  <c r="K17" i="17"/>
  <c r="J18" i="17"/>
  <c r="K21" i="5"/>
  <c r="L21" i="5" s="1"/>
  <c r="I20" i="13"/>
  <c r="S19" i="7"/>
  <c r="L20" i="5"/>
  <c r="S23" i="7"/>
  <c r="K14" i="17"/>
  <c r="S21" i="7"/>
  <c r="K11" i="17"/>
  <c r="J13" i="13"/>
  <c r="Z23" i="7"/>
  <c r="H18" i="17"/>
  <c r="K12" i="17"/>
  <c r="K15" i="10"/>
  <c r="L15" i="10" s="1"/>
  <c r="L14" i="10"/>
  <c r="K13" i="10"/>
  <c r="L13" i="10" s="1"/>
  <c r="K14" i="10"/>
  <c r="Z21" i="7"/>
  <c r="Z22" i="7"/>
  <c r="Z19" i="7"/>
  <c r="AA19" i="7" s="1"/>
  <c r="S22" i="7"/>
  <c r="F19" i="2"/>
  <c r="G19" i="2"/>
  <c r="H19" i="2"/>
  <c r="J19" i="2"/>
  <c r="E19" i="2"/>
  <c r="K18" i="2"/>
  <c r="L18" i="2" s="1"/>
  <c r="K14" i="2"/>
  <c r="L14" i="2" s="1"/>
  <c r="I15" i="2"/>
  <c r="K15" i="2" s="1"/>
  <c r="L15" i="2" s="1"/>
  <c r="I16" i="2"/>
  <c r="K16" i="2" s="1"/>
  <c r="L16" i="2" s="1"/>
  <c r="I17" i="2"/>
  <c r="I19" i="2" s="1"/>
  <c r="I18" i="2"/>
  <c r="I14" i="2"/>
  <c r="H25" i="1"/>
  <c r="E25" i="1"/>
  <c r="L17" i="1"/>
  <c r="M17" i="1" s="1"/>
  <c r="N17" i="1" s="1"/>
  <c r="L18" i="1"/>
  <c r="M18" i="1" s="1"/>
  <c r="N18" i="1" s="1"/>
  <c r="L19" i="1"/>
  <c r="L20" i="1"/>
  <c r="L21" i="1"/>
  <c r="M21" i="1" s="1"/>
  <c r="N21" i="1" s="1"/>
  <c r="L22" i="1"/>
  <c r="M22" i="1" s="1"/>
  <c r="N22" i="1" s="1"/>
  <c r="L23" i="1"/>
  <c r="L24" i="1"/>
  <c r="L16" i="1"/>
  <c r="K17" i="1"/>
  <c r="K18" i="1"/>
  <c r="K19" i="1"/>
  <c r="K20" i="1"/>
  <c r="K21" i="1"/>
  <c r="K22" i="1"/>
  <c r="K23" i="1"/>
  <c r="K24" i="1"/>
  <c r="M24" i="1" s="1"/>
  <c r="N24" i="1" s="1"/>
  <c r="K16" i="1"/>
  <c r="K25" i="1" s="1"/>
  <c r="N25" i="4"/>
  <c r="L25" i="4"/>
  <c r="L26" i="4"/>
  <c r="L27" i="4"/>
  <c r="L28" i="4"/>
  <c r="L24" i="4"/>
  <c r="K25" i="4"/>
  <c r="K26" i="4"/>
  <c r="K27" i="4"/>
  <c r="I25" i="4"/>
  <c r="J25" i="4" s="1"/>
  <c r="I26" i="4"/>
  <c r="M26" i="4" s="1"/>
  <c r="I27" i="4"/>
  <c r="N27" i="4" s="1"/>
  <c r="I28" i="4"/>
  <c r="K28" i="4" s="1"/>
  <c r="I24" i="4"/>
  <c r="K24" i="4" s="1"/>
  <c r="H25" i="4"/>
  <c r="H26" i="4"/>
  <c r="H27" i="4"/>
  <c r="H28" i="4"/>
  <c r="H24" i="4"/>
  <c r="G25" i="4"/>
  <c r="G26" i="4"/>
  <c r="G27" i="4"/>
  <c r="G28" i="4"/>
  <c r="G24" i="4"/>
  <c r="F25" i="4"/>
  <c r="F26" i="4"/>
  <c r="F27" i="4"/>
  <c r="F28" i="4"/>
  <c r="F24" i="4"/>
  <c r="K17" i="2" l="1"/>
  <c r="L17" i="2" s="1"/>
  <c r="L19" i="2" s="1"/>
  <c r="AA22" i="7"/>
  <c r="M23" i="1"/>
  <c r="N23" i="1" s="1"/>
  <c r="AA21" i="7"/>
  <c r="M24" i="4"/>
  <c r="M28" i="4"/>
  <c r="M20" i="1"/>
  <c r="N20" i="1" s="1"/>
  <c r="J27" i="4"/>
  <c r="O27" i="4" s="1"/>
  <c r="M25" i="4"/>
  <c r="O25" i="4" s="1"/>
  <c r="M19" i="1"/>
  <c r="N19" i="1" s="1"/>
  <c r="L25" i="1"/>
  <c r="M27" i="4"/>
  <c r="J26" i="4"/>
  <c r="N24" i="4"/>
  <c r="K18" i="17"/>
  <c r="J24" i="4"/>
  <c r="N28" i="4"/>
  <c r="J28" i="4"/>
  <c r="O28" i="4" s="1"/>
  <c r="M16" i="1"/>
  <c r="AA23" i="7"/>
  <c r="N26" i="4"/>
  <c r="K13" i="13"/>
  <c r="L13" i="13" s="1"/>
  <c r="J20" i="13"/>
  <c r="K20" i="13" s="1"/>
  <c r="L20" i="13" s="1"/>
  <c r="O26" i="4"/>
  <c r="N16" i="1" l="1"/>
  <c r="M25" i="1"/>
  <c r="O24" i="4"/>
</calcChain>
</file>

<file path=xl/sharedStrings.xml><?xml version="1.0" encoding="utf-8"?>
<sst xmlns="http://schemas.openxmlformats.org/spreadsheetml/2006/main" count="658" uniqueCount="177">
  <si>
    <t>SL</t>
  </si>
  <si>
    <t>Raw Material Cost</t>
  </si>
  <si>
    <t>Marketing Cost</t>
  </si>
  <si>
    <t>Production Cost</t>
  </si>
  <si>
    <t>Advertising</t>
  </si>
  <si>
    <t>Banner</t>
  </si>
  <si>
    <t>Festun</t>
  </si>
  <si>
    <t>Seminar</t>
  </si>
  <si>
    <t>Chips</t>
  </si>
  <si>
    <t>Biscuits</t>
  </si>
  <si>
    <t>Cake</t>
  </si>
  <si>
    <t>Drinks</t>
  </si>
  <si>
    <t>Chokolate</t>
  </si>
  <si>
    <t>Production cost calculation of a small factory ( Chips, Biscuits, Cake, Drinks, Chocolate)</t>
  </si>
  <si>
    <t xml:space="preserve">Considering: </t>
  </si>
  <si>
    <r>
      <t>1.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 xml:space="preserve">Raw Material Cost </t>
    </r>
  </si>
  <si>
    <r>
      <t>2.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 xml:space="preserve">Labour cost (1% of Material)  </t>
    </r>
  </si>
  <si>
    <r>
      <t>3.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 xml:space="preserve">Machine depreciation(2% of Material) </t>
    </r>
  </si>
  <si>
    <r>
      <t>4.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 xml:space="preserve">Utility Cost (2.5% of Material)   </t>
    </r>
  </si>
  <si>
    <r>
      <t>5.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 xml:space="preserve">Marketing Cost ((50% of Material)  </t>
    </r>
  </si>
  <si>
    <t xml:space="preserve">i) Advertising (30% of Marketing Cost)  </t>
  </si>
  <si>
    <t xml:space="preserve">ii) Banner (20% of Marketing Cost)  </t>
  </si>
  <si>
    <t xml:space="preserve">iii) Festun (15% of Marketing Cost)  </t>
  </si>
  <si>
    <t xml:space="preserve">iv) Seminar (10% of Marketing Cost)  </t>
  </si>
  <si>
    <t>Product Name</t>
  </si>
  <si>
    <t>Machine depreciation</t>
  </si>
  <si>
    <t>Labour cost</t>
  </si>
  <si>
    <t>Utility Cost</t>
  </si>
  <si>
    <t xml:space="preserve"> </t>
  </si>
  <si>
    <t xml:space="preserve">v) Others (25% of Marketing Cost)  </t>
  </si>
  <si>
    <t>Others</t>
  </si>
  <si>
    <t>Purchase</t>
  </si>
  <si>
    <t>Sales</t>
  </si>
  <si>
    <t>Stock</t>
  </si>
  <si>
    <t>Stock Management Sheet of “Mobile Showroom”</t>
  </si>
  <si>
    <t>Date</t>
  </si>
  <si>
    <t>Product</t>
  </si>
  <si>
    <t>Quantity</t>
  </si>
  <si>
    <t>Remarks</t>
  </si>
  <si>
    <t>Samsung</t>
  </si>
  <si>
    <t>Vivo</t>
  </si>
  <si>
    <t>Oppo</t>
  </si>
  <si>
    <t>Nokia</t>
  </si>
  <si>
    <t>Moto</t>
  </si>
  <si>
    <t>Intex</t>
  </si>
  <si>
    <t>Lava</t>
  </si>
  <si>
    <t>Poco</t>
  </si>
  <si>
    <t>Redmi</t>
  </si>
  <si>
    <t>Date: 20/01/2024</t>
  </si>
  <si>
    <t xml:space="preserve">Total </t>
  </si>
  <si>
    <t>Total</t>
  </si>
  <si>
    <t>Sales Man Name</t>
  </si>
  <si>
    <t>Total Sales</t>
  </si>
  <si>
    <t>Sales Target</t>
  </si>
  <si>
    <t>Acheivement</t>
  </si>
  <si>
    <t>Insentive (10% on Sales Value) Calculation overcome 80% Target</t>
  </si>
  <si>
    <t>Rana</t>
  </si>
  <si>
    <t>Rahim</t>
  </si>
  <si>
    <t>Rayhan</t>
  </si>
  <si>
    <t>Faruk</t>
  </si>
  <si>
    <t>Rahman</t>
  </si>
  <si>
    <t>Daily Sales Report</t>
  </si>
  <si>
    <t>Date: 15.10.2024</t>
  </si>
  <si>
    <t>Average</t>
  </si>
  <si>
    <t>Months</t>
  </si>
  <si>
    <t>Production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</si>
  <si>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</si>
  <si>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</si>
  <si>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</si>
  <si>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</si>
  <si>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</si>
  <si>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</si>
  <si>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</si>
  <si>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</si>
  <si>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</si>
  <si>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</si>
  <si>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</si>
  <si>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</si>
  <si>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Name</t>
  </si>
  <si>
    <t>sumif</t>
  </si>
  <si>
    <t>count</t>
  </si>
  <si>
    <t>counta</t>
  </si>
  <si>
    <t>6. countif</t>
  </si>
  <si>
    <t>countif:</t>
  </si>
  <si>
    <t>Fruits</t>
  </si>
  <si>
    <t>Apple</t>
  </si>
  <si>
    <t>Mango</t>
  </si>
  <si>
    <t>Banana</t>
  </si>
  <si>
    <t>Orange</t>
  </si>
  <si>
    <t>Lemon</t>
  </si>
  <si>
    <t>1. SUM</t>
  </si>
  <si>
    <t>2. SUMIF</t>
  </si>
  <si>
    <t>3. Average</t>
  </si>
  <si>
    <t>4. COUNT</t>
  </si>
  <si>
    <t>5. counta/countblank</t>
  </si>
  <si>
    <t>7. if</t>
  </si>
  <si>
    <t xml:space="preserve">Customer Name </t>
  </si>
  <si>
    <t>C. Unit</t>
  </si>
  <si>
    <t>P.  Unit</t>
  </si>
  <si>
    <t>Consumed Unit</t>
  </si>
  <si>
    <t>Electricity charge</t>
  </si>
  <si>
    <t>Service Charge</t>
  </si>
  <si>
    <t>Meter Charge</t>
  </si>
  <si>
    <t>Bil Amount</t>
  </si>
  <si>
    <t>Md. Abdur Rahman</t>
  </si>
  <si>
    <t>M. A Majid</t>
  </si>
  <si>
    <t>Md. Abdur Rahim</t>
  </si>
  <si>
    <t>Md. Arifur Rahman</t>
  </si>
  <si>
    <t>Mst Rita Begum</t>
  </si>
  <si>
    <t>VAT</t>
  </si>
  <si>
    <t>Calculation of Electricity Bill</t>
  </si>
  <si>
    <t>Date: 01.10.24</t>
  </si>
  <si>
    <t>Bank staement for a Month</t>
  </si>
  <si>
    <t xml:space="preserve">Date </t>
  </si>
  <si>
    <t xml:space="preserve">Description </t>
  </si>
  <si>
    <t xml:space="preserve">Cheque No </t>
  </si>
  <si>
    <t xml:space="preserve">Debit </t>
  </si>
  <si>
    <t>Credit</t>
  </si>
  <si>
    <t>Balance</t>
  </si>
  <si>
    <t>Opening Balance</t>
  </si>
  <si>
    <t>Debit</t>
  </si>
  <si>
    <t xml:space="preserve">Calculation of Mark Sheet </t>
  </si>
  <si>
    <t>Student Name</t>
  </si>
  <si>
    <t>Bangla</t>
  </si>
  <si>
    <t>CT-1</t>
  </si>
  <si>
    <t>CT-2</t>
  </si>
  <si>
    <t>CT-3</t>
  </si>
  <si>
    <t>Final Exam</t>
  </si>
  <si>
    <t>Total Mark</t>
  </si>
  <si>
    <t>Best of CT</t>
  </si>
  <si>
    <t>Grade</t>
  </si>
  <si>
    <t>CGPA</t>
  </si>
  <si>
    <t>Basic Salary</t>
  </si>
  <si>
    <t>Insentive Bonus</t>
  </si>
  <si>
    <t>Festival Bonus</t>
  </si>
  <si>
    <t>Convance Allowance</t>
  </si>
  <si>
    <t>PF</t>
  </si>
  <si>
    <t>Total Income</t>
  </si>
  <si>
    <t>Md. Asif Iqbal</t>
  </si>
  <si>
    <t>Rita Begum</t>
  </si>
  <si>
    <t>Amitav Paul</t>
  </si>
  <si>
    <t>Md. Joynal Abedin</t>
  </si>
  <si>
    <t>Gautom Saha</t>
  </si>
  <si>
    <t>Selim Iqbal</t>
  </si>
  <si>
    <t>Income TAX</t>
  </si>
  <si>
    <t>Month: November'2024</t>
  </si>
  <si>
    <t>Salary Sheet of Employee's</t>
  </si>
  <si>
    <t>Employee Name</t>
  </si>
  <si>
    <t>Dealers Name</t>
  </si>
  <si>
    <t>Locations</t>
  </si>
  <si>
    <t>Sales Quantity</t>
  </si>
  <si>
    <t>Sales Amount</t>
  </si>
  <si>
    <t>Akbar</t>
  </si>
  <si>
    <t>Gazipur</t>
  </si>
  <si>
    <t>Urea</t>
  </si>
  <si>
    <t>chattogram</t>
  </si>
  <si>
    <t>NH3</t>
  </si>
  <si>
    <t>Joyputhat</t>
  </si>
  <si>
    <t>Polythene</t>
  </si>
  <si>
    <t>Rakib</t>
  </si>
  <si>
    <t>Chapai</t>
  </si>
  <si>
    <t>Saraf</t>
  </si>
  <si>
    <t>Natore</t>
  </si>
  <si>
    <t>Ramjan</t>
  </si>
  <si>
    <t>Rangpur</t>
  </si>
  <si>
    <t>Araf</t>
  </si>
  <si>
    <t>Dhaka</t>
  </si>
  <si>
    <t>Pabna</t>
  </si>
  <si>
    <t>Naogoan</t>
  </si>
  <si>
    <t>Khulna</t>
  </si>
  <si>
    <t>(All)</t>
  </si>
  <si>
    <t>Row Labels</t>
  </si>
  <si>
    <t>Grand Total</t>
  </si>
  <si>
    <t>Sum of Sales Amount</t>
  </si>
  <si>
    <t>Column Labels</t>
  </si>
  <si>
    <t>Taxable Income</t>
  </si>
  <si>
    <t>Income TAX Calculation of Employee's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</si>
</sst>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dd/mm/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7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sz val="16"/>
      <color theme="1"/>
      <name val="Times New Roman"/>
      <family val="1"/>
    </font>
    <font>
      <b/>
      <sz val="22"/>
      <color theme="1"/>
      <name val="Times New Roman"/>
      <family val="1"/>
    </font>
    <font>
      <sz val="26"/>
      <color theme="1"/>
      <name val="Times New Roman"/>
      <family val="1"/>
    </font>
    <font>
      <b/>
      <sz val="14"/>
      <color theme="1"/>
      <name val="Times New Roman"/>
      <family val="1"/>
    </font>
    <font>
      <b/>
      <sz val="72"/>
      <color theme="1"/>
      <name val="Times New Roman"/>
      <family val="1"/>
    </font>
    <font>
      <b/>
      <sz val="72"/>
      <color rgb="FF7030A0"/>
      <name val="Times New Roman"/>
      <family val="1"/>
    </font>
    <font>
      <b/>
      <sz val="14"/>
      <color rgb="FF00B0F0"/>
      <name val="Times New Roman"/>
      <family val="1"/>
    </font>
    <font>
      <sz val="11"/>
      <color rgb="FFFFFF00"/>
      <name val="Times New Roman"/>
      <family val="1"/>
    </font>
    <font>
      <b/>
      <sz val="36"/>
      <color theme="1"/>
      <name val="Times New Roman"/>
      <family val="1"/>
    </font>
    <font>
      <b/>
      <u/>
      <sz val="22"/>
      <color theme="1"/>
      <name val="Times New Roman"/>
      <family val="1"/>
    </font>
    <font>
      <b/>
      <sz val="11"/>
      <name val="Times New Roman"/>
      <family val="1"/>
    </font>
    <font>
      <i/>
      <sz val="12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8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horizontal="left" vertical="center" indent="5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indent="3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164" fontId="5" fillId="0" borderId="1" xfId="0" applyNumberFormat="1" applyFont="1" applyBorder="1"/>
    <xf numFmtId="0" fontId="11" fillId="2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2" fillId="0" borderId="0" xfId="0" applyFont="1"/>
    <xf numFmtId="164" fontId="5" fillId="0" borderId="1" xfId="0" applyNumberFormat="1" applyFont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9" fillId="10" borderId="1" xfId="0" applyFont="1" applyFill="1" applyBorder="1"/>
    <xf numFmtId="0" fontId="14" fillId="0" borderId="0" xfId="0" applyFont="1"/>
    <xf numFmtId="0" fontId="14" fillId="0" borderId="1" xfId="0" applyFont="1" applyBorder="1" applyAlignment="1">
      <alignment horizontal="center" vertical="center" wrapText="1"/>
    </xf>
    <xf numFmtId="9" fontId="4" fillId="0" borderId="1" xfId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14" fillId="2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/>
    </xf>
    <xf numFmtId="0" fontId="14" fillId="11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right"/>
    </xf>
    <xf numFmtId="0" fontId="3" fillId="0" borderId="1" xfId="0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0" fontId="18" fillId="7" borderId="1" xfId="0" applyFont="1" applyFill="1" applyBorder="1"/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pivotButton="1" applyFont="1"/>
    <xf numFmtId="0" fontId="3" fillId="0" borderId="1" xfId="0" pivotButton="1" applyFont="1" applyBorder="1"/>
    <xf numFmtId="0" fontId="2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0" xfId="0" applyFont="1"/>
    <xf numFmtId="0" fontId="7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9" fillId="10" borderId="2" xfId="0" applyFont="1" applyFill="1" applyBorder="1" applyAlignment="1">
      <alignment horizontal="center" vertical="center"/>
    </xf>
    <xf numFmtId="0" fontId="9" fillId="10" borderId="3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2" fillId="5" borderId="1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/>
    </xf>
    <xf numFmtId="0" fontId="9" fillId="10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 wrapText="1"/>
    </xf>
    <xf numFmtId="0" fontId="14" fillId="11" borderId="1" xfId="0" applyFont="1" applyFill="1" applyBorder="1" applyAlignment="1">
      <alignment horizontal="center"/>
    </xf>
    <xf numFmtId="0" fontId="16" fillId="12" borderId="0" xfId="0" applyFont="1" applyFill="1" applyAlignment="1">
      <alignment horizontal="center"/>
    </xf>
    <xf numFmtId="0" fontId="15" fillId="12" borderId="0" xfId="0" applyFont="1" applyFill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9" fillId="3" borderId="0" xfId="0" applyFont="1" applyFill="1" applyAlignment="1">
      <alignment horizontal="center"/>
    </xf>
    <xf numFmtId="0" fontId="20" fillId="0" borderId="0" xfId="0" applyFont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7">
    <dxf>
      <font>
        <name val="Times New Roman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'SL-01'!$O$22</c:f>
              <c:strCache>
                <c:ptCount val="1"/>
                <c:pt idx="0">
                  <c:v>Production Cost</c:v>
                </c:pt>
              </c:strCache>
            </c:strRef>
          </c:tx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F0A6-4101-873E-53F5085EDA8A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3-F0A6-4101-873E-53F5085EDA8A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5-F0A6-4101-873E-53F5085EDA8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F0A6-4101-873E-53F5085EDA8A}"/>
              </c:ext>
            </c:extLst>
          </c:dPt>
          <c:dPt>
            <c:idx val="5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9-F0A6-4101-873E-53F5085EDA8A}"/>
              </c:ext>
            </c:extLst>
          </c:dPt>
          <c:cat>
            <c:strRef>
              <c:f>'SL-01'!$D$23:$D$28</c:f>
              <c:strCache>
                <c:ptCount val="6"/>
                <c:pt idx="1">
                  <c:v>Chips</c:v>
                </c:pt>
                <c:pt idx="2">
                  <c:v>Biscuits</c:v>
                </c:pt>
                <c:pt idx="3">
                  <c:v>Cake</c:v>
                </c:pt>
                <c:pt idx="4">
                  <c:v>Drinks</c:v>
                </c:pt>
                <c:pt idx="5">
                  <c:v>Chokolate</c:v>
                </c:pt>
              </c:strCache>
            </c:strRef>
          </c:cat>
          <c:val>
            <c:numRef>
              <c:f>'SL-01'!$O$23:$O$28</c:f>
              <c:numCache>
                <c:formatCode>General</c:formatCode>
                <c:ptCount val="6"/>
                <c:pt idx="1">
                  <c:v>388750</c:v>
                </c:pt>
                <c:pt idx="2">
                  <c:v>544250</c:v>
                </c:pt>
                <c:pt idx="3">
                  <c:v>311000</c:v>
                </c:pt>
                <c:pt idx="4">
                  <c:v>777500</c:v>
                </c:pt>
                <c:pt idx="5">
                  <c:v>699750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0A6-4101-873E-53F5085ED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020864"/>
        <c:axId val="44022400"/>
      </c:barChart>
      <c:catAx>
        <c:axId val="44020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022400"/>
        <c:crosses val="autoZero"/>
        <c:auto val="1"/>
        <c:lblAlgn val="ctr"/>
        <c:lblOffset val="100"/>
        <c:noMultiLvlLbl val="0"/>
      </c:catAx>
      <c:valAx>
        <c:axId val="44022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020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'SL-29'!$E$7</c:f>
              <c:strCache>
                <c:ptCount val="1"/>
                <c:pt idx="0">
                  <c:v>Basic Salary</c:v>
                </c:pt>
              </c:strCache>
            </c:strRef>
          </c:tx>
          <c:cat>
            <c:strRef>
              <c:f>'SL-29'!$D$8:$D$14</c:f>
              <c:strCache>
                <c:ptCount val="7"/>
                <c:pt idx="0">
                  <c:v>Md. Asif Iqbal</c:v>
                </c:pt>
                <c:pt idx="1">
                  <c:v>Rita Begum</c:v>
                </c:pt>
                <c:pt idx="2">
                  <c:v>Amitav Paul</c:v>
                </c:pt>
                <c:pt idx="3">
                  <c:v>Md. Abdur Rahman</c:v>
                </c:pt>
                <c:pt idx="4">
                  <c:v>Md. Joynal Abedin</c:v>
                </c:pt>
                <c:pt idx="5">
                  <c:v>Gautom Saha</c:v>
                </c:pt>
                <c:pt idx="6">
                  <c:v>Selim Iqbal</c:v>
                </c:pt>
              </c:strCache>
            </c:strRef>
          </c:cat>
          <c:val>
            <c:numRef>
              <c:f>'SL-29'!$E$8:$E$14</c:f>
              <c:numCache>
                <c:formatCode>General</c:formatCode>
                <c:ptCount val="7"/>
                <c:pt idx="0">
                  <c:v>25000</c:v>
                </c:pt>
                <c:pt idx="1">
                  <c:v>45000</c:v>
                </c:pt>
                <c:pt idx="2">
                  <c:v>65000</c:v>
                </c:pt>
                <c:pt idx="3">
                  <c:v>80000</c:v>
                </c:pt>
                <c:pt idx="4">
                  <c:v>20000</c:v>
                </c:pt>
                <c:pt idx="5">
                  <c:v>120000</c:v>
                </c:pt>
                <c:pt idx="6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A3-43D1-BB3C-FFEBA37A2BCE}"/>
            </c:ext>
          </c:extLst>
        </c:ser>
        <c:ser>
          <c:idx val="1"/>
          <c:order val="1"/>
          <c:tx>
            <c:strRef>
              <c:f>'SL-29'!$K$7</c:f>
              <c:strCache>
                <c:ptCount val="1"/>
                <c:pt idx="0">
                  <c:v>Total Income</c:v>
                </c:pt>
              </c:strCache>
            </c:strRef>
          </c:tx>
          <c:cat>
            <c:strRef>
              <c:f>'SL-29'!$D$8:$D$14</c:f>
              <c:strCache>
                <c:ptCount val="7"/>
                <c:pt idx="0">
                  <c:v>Md. Asif Iqbal</c:v>
                </c:pt>
                <c:pt idx="1">
                  <c:v>Rita Begum</c:v>
                </c:pt>
                <c:pt idx="2">
                  <c:v>Amitav Paul</c:v>
                </c:pt>
                <c:pt idx="3">
                  <c:v>Md. Abdur Rahman</c:v>
                </c:pt>
                <c:pt idx="4">
                  <c:v>Md. Joynal Abedin</c:v>
                </c:pt>
                <c:pt idx="5">
                  <c:v>Gautom Saha</c:v>
                </c:pt>
                <c:pt idx="6">
                  <c:v>Selim Iqbal</c:v>
                </c:pt>
              </c:strCache>
            </c:strRef>
          </c:cat>
          <c:val>
            <c:numRef>
              <c:f>'SL-29'!$K$8:$K$14</c:f>
              <c:numCache>
                <c:formatCode>General</c:formatCode>
                <c:ptCount val="7"/>
                <c:pt idx="0">
                  <c:v>133750</c:v>
                </c:pt>
                <c:pt idx="1">
                  <c:v>240750</c:v>
                </c:pt>
                <c:pt idx="2">
                  <c:v>347750</c:v>
                </c:pt>
                <c:pt idx="3">
                  <c:v>428000</c:v>
                </c:pt>
                <c:pt idx="4">
                  <c:v>107000</c:v>
                </c:pt>
                <c:pt idx="5">
                  <c:v>642000</c:v>
                </c:pt>
                <c:pt idx="6">
                  <c:v>401250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A3-43D1-BB3C-FFEBA37A2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'SL-29'!$E$7</c:f>
              <c:strCache>
                <c:ptCount val="1"/>
                <c:pt idx="0">
                  <c:v>Basic Salary</c:v>
                </c:pt>
              </c:strCache>
            </c:strRef>
          </c:tx>
          <c:cat>
            <c:strRef>
              <c:f>'SL-29'!$D$8:$D$14</c:f>
              <c:strCache>
                <c:ptCount val="7"/>
                <c:pt idx="0">
                  <c:v>Md. Asif Iqbal</c:v>
                </c:pt>
                <c:pt idx="1">
                  <c:v>Rita Begum</c:v>
                </c:pt>
                <c:pt idx="2">
                  <c:v>Amitav Paul</c:v>
                </c:pt>
                <c:pt idx="3">
                  <c:v>Md. Abdur Rahman</c:v>
                </c:pt>
                <c:pt idx="4">
                  <c:v>Md. Joynal Abedin</c:v>
                </c:pt>
                <c:pt idx="5">
                  <c:v>Gautom Saha</c:v>
                </c:pt>
                <c:pt idx="6">
                  <c:v>Selim Iqbal</c:v>
                </c:pt>
              </c:strCache>
            </c:strRef>
          </c:cat>
          <c:val>
            <c:numRef>
              <c:f>'SL-29'!$E$8:$E$14</c:f>
              <c:numCache>
                <c:formatCode>General</c:formatCode>
                <c:ptCount val="7"/>
                <c:pt idx="0">
                  <c:v>25000</c:v>
                </c:pt>
                <c:pt idx="1">
                  <c:v>45000</c:v>
                </c:pt>
                <c:pt idx="2">
                  <c:v>65000</c:v>
                </c:pt>
                <c:pt idx="3">
                  <c:v>80000</c:v>
                </c:pt>
                <c:pt idx="4">
                  <c:v>20000</c:v>
                </c:pt>
                <c:pt idx="5">
                  <c:v>120000</c:v>
                </c:pt>
                <c:pt idx="6">
                  <c:v>75000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DA-4DA9-8133-36E104C7BBDE}"/>
            </c:ext>
          </c:extLst>
        </c:ser>
        <c:ser>
          <c:idx val="1"/>
          <c:order val="1"/>
          <c:tx>
            <c:strRef>
              <c:f>'SL-29'!$K$7</c:f>
              <c:strCache>
                <c:ptCount val="1"/>
                <c:pt idx="0">
                  <c:v>Total Income</c:v>
                </c:pt>
              </c:strCache>
            </c:strRef>
          </c:tx>
          <c:cat>
            <c:strRef>
              <c:f>'SL-29'!$D$8:$D$14</c:f>
              <c:strCache>
                <c:ptCount val="7"/>
                <c:pt idx="0">
                  <c:v>Md. Asif Iqbal</c:v>
                </c:pt>
                <c:pt idx="1">
                  <c:v>Rita Begum</c:v>
                </c:pt>
                <c:pt idx="2">
                  <c:v>Amitav Paul</c:v>
                </c:pt>
                <c:pt idx="3">
                  <c:v>Md. Abdur Rahman</c:v>
                </c:pt>
                <c:pt idx="4">
                  <c:v>Md. Joynal Abedin</c:v>
                </c:pt>
                <c:pt idx="5">
                  <c:v>Gautom Saha</c:v>
                </c:pt>
                <c:pt idx="6">
                  <c:v>Selim Iqbal</c:v>
                </c:pt>
              </c:strCache>
            </c:strRef>
          </c:cat>
          <c:val>
            <c:numRef>
              <c:f>'SL-29'!$K$8:$K$14</c:f>
              <c:numCache>
                <c:formatCode>General</c:formatCode>
                <c:ptCount val="7"/>
                <c:pt idx="0">
                  <c:v>133750</c:v>
                </c:pt>
                <c:pt idx="1">
                  <c:v>240750</c:v>
                </c:pt>
                <c:pt idx="2">
                  <c:v>347750</c:v>
                </c:pt>
                <c:pt idx="3">
                  <c:v>428000</c:v>
                </c:pt>
                <c:pt idx="4">
                  <c:v>107000</c:v>
                </c:pt>
                <c:pt idx="5">
                  <c:v>642000</c:v>
                </c:pt>
                <c:pt idx="6">
                  <c:v>401250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DA-4DA9-8133-36E104C7B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555136"/>
        <c:axId val="390556672"/>
      </c:lineChart>
      <c:catAx>
        <c:axId val="390555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0556672"/>
        <c:crosses val="autoZero"/>
        <c:auto val="1"/>
        <c:lblAlgn val="ctr"/>
        <c:lblOffset val="100"/>
        <c:noMultiLvlLbl val="0"/>
      </c:catAx>
      <c:valAx>
        <c:axId val="390556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0555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'SL-29'!$E$7</c:f>
              <c:strCache>
                <c:ptCount val="1"/>
                <c:pt idx="0">
                  <c:v>Basic Salary</c:v>
                </c:pt>
              </c:strCache>
            </c:strRef>
          </c:tx>
          <c:invertIfNegative val="0"/>
          <c:cat>
            <c:strRef>
              <c:f>'SL-29'!$D$8:$D$14</c:f>
              <c:strCache>
                <c:ptCount val="7"/>
                <c:pt idx="0">
                  <c:v>Md. Asif Iqbal</c:v>
                </c:pt>
                <c:pt idx="1">
                  <c:v>Rita Begum</c:v>
                </c:pt>
                <c:pt idx="2">
                  <c:v>Amitav Paul</c:v>
                </c:pt>
                <c:pt idx="3">
                  <c:v>Md. Abdur Rahman</c:v>
                </c:pt>
                <c:pt idx="4">
                  <c:v>Md. Joynal Abedin</c:v>
                </c:pt>
                <c:pt idx="5">
                  <c:v>Gautom Saha</c:v>
                </c:pt>
                <c:pt idx="6">
                  <c:v>Selim Iqbal</c:v>
                </c:pt>
              </c:strCache>
            </c:strRef>
          </c:cat>
          <c:val>
            <c:numRef>
              <c:f>'SL-29'!$E$8:$E$14</c:f>
              <c:numCache>
                <c:formatCode>General</c:formatCode>
                <c:ptCount val="7"/>
                <c:pt idx="0">
                  <c:v>25000</c:v>
                </c:pt>
                <c:pt idx="1">
                  <c:v>45000</c:v>
                </c:pt>
                <c:pt idx="2">
                  <c:v>65000</c:v>
                </c:pt>
                <c:pt idx="3">
                  <c:v>80000</c:v>
                </c:pt>
                <c:pt idx="4">
                  <c:v>20000</c:v>
                </c:pt>
                <c:pt idx="5">
                  <c:v>120000</c:v>
                </c:pt>
                <c:pt idx="6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6D-444B-8CA6-1E2867AFA58A}"/>
            </c:ext>
          </c:extLst>
        </c:ser>
        <c:ser>
          <c:idx val="1"/>
          <c:order val="1"/>
          <c:tx>
            <c:strRef>
              <c:f>'SL-29'!$K$7</c:f>
              <c:strCache>
                <c:ptCount val="1"/>
                <c:pt idx="0">
                  <c:v>Total Income</c:v>
                </c:pt>
              </c:strCache>
            </c:strRef>
          </c:tx>
          <c:invertIfNegative val="0"/>
          <c:cat>
            <c:strRef>
              <c:f>'SL-29'!$D$8:$D$14</c:f>
              <c:strCache>
                <c:ptCount val="7"/>
                <c:pt idx="0">
                  <c:v>Md. Asif Iqbal</c:v>
                </c:pt>
                <c:pt idx="1">
                  <c:v>Rita Begum</c:v>
                </c:pt>
                <c:pt idx="2">
                  <c:v>Amitav Paul</c:v>
                </c:pt>
                <c:pt idx="3">
                  <c:v>Md. Abdur Rahman</c:v>
                </c:pt>
                <c:pt idx="4">
                  <c:v>Md. Joynal Abedin</c:v>
                </c:pt>
                <c:pt idx="5">
                  <c:v>Gautom Saha</c:v>
                </c:pt>
                <c:pt idx="6">
                  <c:v>Selim Iqbal</c:v>
                </c:pt>
              </c:strCache>
            </c:strRef>
          </c:cat>
          <c:val>
            <c:numRef>
              <c:f>'SL-29'!$K$8:$K$14</c:f>
              <c:numCache>
                <c:formatCode>General</c:formatCode>
                <c:ptCount val="7"/>
                <c:pt idx="0">
                  <c:v>133750</c:v>
                </c:pt>
                <c:pt idx="1">
                  <c:v>240750</c:v>
                </c:pt>
                <c:pt idx="2">
                  <c:v>347750</c:v>
                </c:pt>
                <c:pt idx="3">
                  <c:v>428000</c:v>
                </c:pt>
                <c:pt idx="4">
                  <c:v>107000</c:v>
                </c:pt>
                <c:pt idx="5">
                  <c:v>642000</c:v>
                </c:pt>
                <c:pt idx="6">
                  <c:v>401250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6D-444B-8CA6-1E2867AFA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5230080"/>
        <c:axId val="315231616"/>
      </c:barChart>
      <c:catAx>
        <c:axId val="3152300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315231616"/>
        <c:crosses val="autoZero"/>
        <c:auto val="1"/>
        <c:lblAlgn val="ctr"/>
        <c:lblOffset val="100"/>
        <c:noMultiLvlLbl val="0"/>
      </c:catAx>
      <c:valAx>
        <c:axId val="31523161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1523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'SL-05'!$D$14:$D$18</c:f>
              <c:strCache>
                <c:ptCount val="5"/>
                <c:pt idx="0">
                  <c:v>Rana</c:v>
                </c:pt>
                <c:pt idx="1">
                  <c:v>Rahim</c:v>
                </c:pt>
                <c:pt idx="2">
                  <c:v>Rayhan</c:v>
                </c:pt>
                <c:pt idx="3">
                  <c:v>Faruk</c:v>
                </c:pt>
                <c:pt idx="4">
                  <c:v>Rahman</c:v>
                </c:pt>
              </c:strCache>
            </c:strRef>
          </c:cat>
          <c:val>
            <c:numRef>
              <c:f>'SL-05'!$E$14:$E$18</c:f>
              <c:numCache>
                <c:formatCode>General</c:formatCode>
                <c:ptCount val="5"/>
                <c:pt idx="0">
                  <c:v>11000</c:v>
                </c:pt>
                <c:pt idx="1">
                  <c:v>15000</c:v>
                </c:pt>
                <c:pt idx="2">
                  <c:v>80000</c:v>
                </c:pt>
                <c:pt idx="3">
                  <c:v>18000</c:v>
                </c:pt>
                <c:pt idx="4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3-4C55-9E72-B481F69C1500}"/>
            </c:ext>
          </c:extLst>
        </c:ser>
        <c:ser>
          <c:idx val="1"/>
          <c:order val="1"/>
          <c:invertIfNegative val="0"/>
          <c:cat>
            <c:strRef>
              <c:f>'SL-05'!$D$14:$D$18</c:f>
              <c:strCache>
                <c:ptCount val="5"/>
                <c:pt idx="0">
                  <c:v>Rana</c:v>
                </c:pt>
                <c:pt idx="1">
                  <c:v>Rahim</c:v>
                </c:pt>
                <c:pt idx="2">
                  <c:v>Rayhan</c:v>
                </c:pt>
                <c:pt idx="3">
                  <c:v>Faruk</c:v>
                </c:pt>
                <c:pt idx="4">
                  <c:v>Rahman</c:v>
                </c:pt>
              </c:strCache>
            </c:strRef>
          </c:cat>
          <c:val>
            <c:numRef>
              <c:f>'SL-05'!$F$14:$F$18</c:f>
              <c:numCache>
                <c:formatCode>General</c:formatCode>
                <c:ptCount val="5"/>
                <c:pt idx="0">
                  <c:v>75000</c:v>
                </c:pt>
                <c:pt idx="1">
                  <c:v>60000</c:v>
                </c:pt>
                <c:pt idx="2">
                  <c:v>120000</c:v>
                </c:pt>
                <c:pt idx="3">
                  <c:v>70000</c:v>
                </c:pt>
                <c:pt idx="4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33-4C55-9E72-B481F69C1500}"/>
            </c:ext>
          </c:extLst>
        </c:ser>
        <c:ser>
          <c:idx val="2"/>
          <c:order val="2"/>
          <c:invertIfNegative val="0"/>
          <c:cat>
            <c:strRef>
              <c:f>'SL-05'!$D$14:$D$18</c:f>
              <c:strCache>
                <c:ptCount val="5"/>
                <c:pt idx="0">
                  <c:v>Rana</c:v>
                </c:pt>
                <c:pt idx="1">
                  <c:v>Rahim</c:v>
                </c:pt>
                <c:pt idx="2">
                  <c:v>Rayhan</c:v>
                </c:pt>
                <c:pt idx="3">
                  <c:v>Faruk</c:v>
                </c:pt>
                <c:pt idx="4">
                  <c:v>Rahman</c:v>
                </c:pt>
              </c:strCache>
            </c:strRef>
          </c:cat>
          <c:val>
            <c:numRef>
              <c:f>'SL-05'!$G$14:$G$18</c:f>
              <c:numCache>
                <c:formatCode>General</c:formatCode>
                <c:ptCount val="5"/>
                <c:pt idx="0">
                  <c:v>90000</c:v>
                </c:pt>
                <c:pt idx="1">
                  <c:v>105000</c:v>
                </c:pt>
                <c:pt idx="2">
                  <c:v>75000</c:v>
                </c:pt>
                <c:pt idx="3">
                  <c:v>95000</c:v>
                </c:pt>
                <c:pt idx="4">
                  <c:v>130000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33-4C55-9E72-B481F69C1500}"/>
            </c:ext>
          </c:extLst>
        </c:ser>
        <c:ser>
          <c:idx val="3"/>
          <c:order val="3"/>
          <c:invertIfNegative val="0"/>
          <c:cat>
            <c:strRef>
              <c:f>'SL-05'!$D$14:$D$18</c:f>
              <c:strCache>
                <c:ptCount val="5"/>
                <c:pt idx="0">
                  <c:v>Rana</c:v>
                </c:pt>
                <c:pt idx="1">
                  <c:v>Rahim</c:v>
                </c:pt>
                <c:pt idx="2">
                  <c:v>Rayhan</c:v>
                </c:pt>
                <c:pt idx="3">
                  <c:v>Faruk</c:v>
                </c:pt>
                <c:pt idx="4">
                  <c:v>Rahman</c:v>
                </c:pt>
              </c:strCache>
            </c:strRef>
          </c:cat>
          <c:val>
            <c:numRef>
              <c:f>'SL-05'!$H$14:$H$18</c:f>
              <c:numCache>
                <c:formatCode>General</c:formatCode>
                <c:ptCount val="5"/>
                <c:pt idx="0">
                  <c:v>140000</c:v>
                </c:pt>
                <c:pt idx="1">
                  <c:v>70000</c:v>
                </c:pt>
                <c:pt idx="2">
                  <c:v>45000</c:v>
                </c:pt>
                <c:pt idx="3">
                  <c:v>125000</c:v>
                </c:pt>
                <c:pt idx="4">
                  <c:v>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33-4C55-9E72-B481F69C1500}"/>
            </c:ext>
          </c:extLst>
        </c:ser>
        <c:ser>
          <c:idx val="4"/>
          <c:order val="4"/>
          <c:invertIfNegative val="0"/>
          <c:cat>
            <c:strRef>
              <c:f>'SL-05'!$D$14:$D$18</c:f>
              <c:strCache>
                <c:ptCount val="5"/>
                <c:pt idx="0">
                  <c:v>Rana</c:v>
                </c:pt>
                <c:pt idx="1">
                  <c:v>Rahim</c:v>
                </c:pt>
                <c:pt idx="2">
                  <c:v>Rayhan</c:v>
                </c:pt>
                <c:pt idx="3">
                  <c:v>Faruk</c:v>
                </c:pt>
                <c:pt idx="4">
                  <c:v>Rahman</c:v>
                </c:pt>
              </c:strCache>
            </c:strRef>
          </c:cat>
          <c:val>
            <c:numRef>
              <c:f>'SL-05'!$J$14:$J$18</c:f>
              <c:numCache>
                <c:formatCode>General</c:formatCode>
                <c:ptCount val="5"/>
                <c:pt idx="0">
                  <c:v>320000</c:v>
                </c:pt>
                <c:pt idx="1">
                  <c:v>410000</c:v>
                </c:pt>
                <c:pt idx="2">
                  <c:v>500000</c:v>
                </c:pt>
                <c:pt idx="3">
                  <c:v>450000</c:v>
                </c:pt>
                <c:pt idx="4">
                  <c:v>360000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33-4C55-9E72-B481F69C1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858496"/>
        <c:axId val="144770176"/>
      </c:barChart>
      <c:catAx>
        <c:axId val="144858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4770176"/>
        <c:crosses val="autoZero"/>
        <c:auto val="1"/>
        <c:lblAlgn val="ctr"/>
        <c:lblOffset val="100"/>
        <c:noMultiLvlLbl val="0"/>
      </c:catAx>
      <c:valAx>
        <c:axId val="14477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85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'SL-12'!$L$16</c:f>
              <c:strCache>
                <c:ptCount val="1"/>
                <c:pt idx="0">
                  <c:v>Bil Amount</c:v>
                </c:pt>
              </c:strCache>
            </c:strRef>
          </c:tx>
          <c:invertIfNegative val="0"/>
          <c:cat>
            <c:strRef>
              <c:f>'SL-12'!$D$17:$D$21</c:f>
              <c:strCache>
                <c:ptCount val="5"/>
                <c:pt idx="0">
                  <c:v>Md. Abdur Rahman</c:v>
                </c:pt>
                <c:pt idx="1">
                  <c:v>M. A Majid</c:v>
                </c:pt>
                <c:pt idx="2">
                  <c:v>Md. Abdur Rahim</c:v>
                </c:pt>
                <c:pt idx="3">
                  <c:v>Md. Arifur Rahman</c:v>
                </c:pt>
                <c:pt idx="4">
                  <c:v>Mst Rita Begum</c:v>
                </c:pt>
              </c:strCache>
            </c:strRef>
          </c:cat>
          <c:val>
            <c:numRef>
              <c:f>'SL-12'!$L$17:$L$21</c:f>
              <c:numCache>
                <c:formatCode>General</c:formatCode>
                <c:ptCount val="5"/>
                <c:pt idx="0">
                  <c:v>5250</c:v>
                </c:pt>
                <c:pt idx="1">
                  <c:v>5250</c:v>
                </c:pt>
                <c:pt idx="2">
                  <c:v>1312.5</c:v>
                </c:pt>
                <c:pt idx="3">
                  <c:v>8085</c:v>
                </c:pt>
                <c:pt idx="4">
                  <c:v>1575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87-4D10-BA39-C00D73979E05}"/>
            </c:ext>
          </c:extLst>
        </c:ser>
        <c:ser>
          <c:idx val="1"/>
          <c:order val="1"/>
          <c:tx>
            <c:strRef>
              <c:f>'SL-12'!$G$16</c:f>
              <c:strCache>
                <c:ptCount val="1"/>
                <c:pt idx="0">
                  <c:v>Consumed Unit</c:v>
                </c:pt>
              </c:strCache>
            </c:strRef>
          </c:tx>
          <c:invertIfNegative val="0"/>
          <c:val>
            <c:numRef>
              <c:f>'SL-12'!$G$17:$G$21</c:f>
              <c:numCache>
                <c:formatCode>General</c:formatCode>
                <c:ptCount val="5"/>
                <c:pt idx="0">
                  <c:v>250</c:v>
                </c:pt>
                <c:pt idx="1">
                  <c:v>210</c:v>
                </c:pt>
                <c:pt idx="2">
                  <c:v>75</c:v>
                </c:pt>
                <c:pt idx="3">
                  <c:v>400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87-4D10-BA39-C00D73979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7368320"/>
        <c:axId val="307369856"/>
      </c:barChart>
      <c:catAx>
        <c:axId val="307368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07369856"/>
        <c:crosses val="autoZero"/>
        <c:auto val="1"/>
        <c:lblAlgn val="ctr"/>
        <c:lblOffset val="100"/>
        <c:noMultiLvlLbl val="0"/>
      </c:catAx>
      <c:valAx>
        <c:axId val="30736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368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STATEMENT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'SL-14'!$I$12</c:f>
              <c:strCache>
                <c:ptCount val="1"/>
                <c:pt idx="0">
                  <c:v>Balance</c:v>
                </c:pt>
              </c:strCache>
            </c:strRef>
          </c:tx>
          <c:cat>
            <c:numRef>
              <c:f>'SL-14'!$D$13:$D$43</c:f>
              <c:numCache>
                <c:formatCode>dd/mm/yy;@</c:formatCode>
                <c:ptCount val="31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</c:numCache>
            </c:numRef>
          </c:cat>
          <c:val>
            <c:numRef>
              <c:f>'SL-14'!$I$13:$I$43</c:f>
              <c:numCache>
                <c:formatCode>#,##0</c:formatCode>
                <c:ptCount val="31"/>
                <c:pt idx="0">
                  <c:v>20000</c:v>
                </c:pt>
                <c:pt idx="1">
                  <c:v>0</c:v>
                </c:pt>
                <c:pt idx="2">
                  <c:v>250000</c:v>
                </c:pt>
                <c:pt idx="3">
                  <c:v>255000</c:v>
                </c:pt>
                <c:pt idx="4">
                  <c:v>259500</c:v>
                </c:pt>
                <c:pt idx="5">
                  <c:v>274500</c:v>
                </c:pt>
                <c:pt idx="6">
                  <c:v>249500</c:v>
                </c:pt>
                <c:pt idx="7">
                  <c:v>284500</c:v>
                </c:pt>
                <c:pt idx="8">
                  <c:v>369500</c:v>
                </c:pt>
                <c:pt idx="9">
                  <c:v>324500</c:v>
                </c:pt>
                <c:pt idx="10">
                  <c:v>356500</c:v>
                </c:pt>
                <c:pt idx="11">
                  <c:v>386500</c:v>
                </c:pt>
                <c:pt idx="12">
                  <c:v>186500</c:v>
                </c:pt>
                <c:pt idx="13">
                  <c:v>336500</c:v>
                </c:pt>
                <c:pt idx="14">
                  <c:v>361500</c:v>
                </c:pt>
                <c:pt idx="15">
                  <c:v>391500</c:v>
                </c:pt>
                <c:pt idx="16">
                  <c:v>446500</c:v>
                </c:pt>
                <c:pt idx="17">
                  <c:v>491500</c:v>
                </c:pt>
                <c:pt idx="18">
                  <c:v>566500</c:v>
                </c:pt>
                <c:pt idx="19">
                  <c:v>471500</c:v>
                </c:pt>
                <c:pt idx="20">
                  <c:v>536500</c:v>
                </c:pt>
                <c:pt idx="21">
                  <c:v>561500</c:v>
                </c:pt>
                <c:pt idx="22">
                  <c:v>601500</c:v>
                </c:pt>
                <c:pt idx="23">
                  <c:v>586500</c:v>
                </c:pt>
                <c:pt idx="24">
                  <c:v>671500</c:v>
                </c:pt>
                <c:pt idx="25">
                  <c:v>731500</c:v>
                </c:pt>
                <c:pt idx="26">
                  <c:v>611500</c:v>
                </c:pt>
                <c:pt idx="27">
                  <c:v>626500</c:v>
                </c:pt>
                <c:pt idx="28">
                  <c:v>651500</c:v>
                </c:pt>
                <c:pt idx="29">
                  <c:v>591500</c:v>
                </c:pt>
                <c:pt idx="30">
                  <c:v>606500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E-4D9B-830F-9BADCE7BC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450304"/>
        <c:axId val="144451840"/>
      </c:lineChart>
      <c:dateAx>
        <c:axId val="144450304"/>
        <c:scaling>
          <c:orientation val="minMax"/>
        </c:scaling>
        <c:delete val="0"/>
        <c:axPos val="b"/>
        <c:numFmt formatCode="dd/mm/yy;@" sourceLinked="1"/>
        <c:majorTickMark val="none"/>
        <c:minorTickMark val="none"/>
        <c:tickLblPos val="nextTo"/>
        <c:crossAx val="144451840"/>
        <c:crosses val="autoZero"/>
        <c:auto val="1"/>
        <c:lblOffset val="100"/>
        <c:baseTimeUnit val="days"/>
      </c:dateAx>
      <c:valAx>
        <c:axId val="144451840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spPr>
          <a:ln w="9525">
            <a:noFill/>
          </a:ln>
        </c:spPr>
        <c:crossAx val="1444503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 Excel Project for SO-07.xlsx]Pivot!PivotTable1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Pivot!$C$4:$C$5</c:f>
              <c:strCache>
                <c:ptCount val="1"/>
                <c:pt idx="0">
                  <c:v>NH3</c:v>
                </c:pt>
              </c:strCache>
            </c:strRef>
          </c:tx>
          <c:invertIfNegative val="0"/>
          <c:cat>
            <c:strRef>
              <c:f>Pivot!$B$6:$B$16</c:f>
              <c:strCache>
                <c:ptCount val="10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</c:strCache>
            </c:strRef>
          </c:cat>
          <c:val>
            <c:numRef>
              <c:f>Pivot!$C$6:$C$16</c:f>
              <c:numCache>
                <c:formatCode>General</c:formatCode>
                <c:ptCount val="10"/>
                <c:pt idx="0">
                  <c:v>750000</c:v>
                </c:pt>
                <c:pt idx="1">
                  <c:v>350000</c:v>
                </c:pt>
                <c:pt idx="3">
                  <c:v>125000</c:v>
                </c:pt>
                <c:pt idx="6">
                  <c:v>710000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7F-4C0C-9625-904031DA08B5}"/>
            </c:ext>
          </c:extLst>
        </c:ser>
        <c:ser>
          <c:idx val="1"/>
          <c:order val="1"/>
          <c:tx>
            <c:strRef>
              <c:f>Pivot!$D$4:$D$5</c:f>
              <c:strCache>
                <c:ptCount val="1"/>
                <c:pt idx="0">
                  <c:v>Polythene</c:v>
                </c:pt>
              </c:strCache>
            </c:strRef>
          </c:tx>
          <c:invertIfNegative val="0"/>
          <c:cat>
            <c:strRef>
              <c:f>Pivot!$B$6:$B$16</c:f>
              <c:strCache>
                <c:ptCount val="10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</c:strCache>
            </c:strRef>
          </c:cat>
          <c:val>
            <c:numRef>
              <c:f>Pivot!$D$6:$D$16</c:f>
              <c:numCache>
                <c:formatCode>General</c:formatCode>
                <c:ptCount val="10"/>
                <c:pt idx="1">
                  <c:v>100000</c:v>
                </c:pt>
                <c:pt idx="2">
                  <c:v>73000</c:v>
                </c:pt>
                <c:pt idx="4">
                  <c:v>1435000</c:v>
                </c:pt>
                <c:pt idx="6">
                  <c:v>170000</c:v>
                </c:pt>
                <c:pt idx="8">
                  <c:v>320000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7F-4C0C-9625-904031DA08B5}"/>
            </c:ext>
          </c:extLst>
        </c:ser>
        <c:ser>
          <c:idx val="2"/>
          <c:order val="2"/>
          <c:tx>
            <c:strRef>
              <c:f>Pivot!$E$4:$E$5</c:f>
              <c:strCache>
                <c:ptCount val="1"/>
                <c:pt idx="0">
                  <c:v>Urea</c:v>
                </c:pt>
              </c:strCache>
            </c:strRef>
          </c:tx>
          <c:invertIfNegative val="0"/>
          <c:cat>
            <c:strRef>
              <c:f>Pivot!$B$6:$B$16</c:f>
              <c:strCache>
                <c:ptCount val="10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</c:strCache>
            </c:strRef>
          </c:cat>
          <c:val>
            <c:numRef>
              <c:f>Pivot!$E$6:$E$16</c:f>
              <c:numCache>
                <c:formatCode>General</c:formatCode>
                <c:ptCount val="10"/>
                <c:pt idx="0">
                  <c:v>300000</c:v>
                </c:pt>
                <c:pt idx="2">
                  <c:v>520000</c:v>
                </c:pt>
                <c:pt idx="3">
                  <c:v>310000</c:v>
                </c:pt>
                <c:pt idx="5">
                  <c:v>688000</c:v>
                </c:pt>
                <c:pt idx="7">
                  <c:v>460000</c:v>
                </c:pt>
                <c:pt idx="9">
                  <c:v>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7F-4C0C-9625-904031DA0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5507456"/>
        <c:axId val="315508992"/>
      </c:barChart>
      <c:catAx>
        <c:axId val="315507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5508992"/>
        <c:crosses val="autoZero"/>
        <c:auto val="1"/>
        <c:lblAlgn val="ctr"/>
        <c:lblOffset val="100"/>
        <c:noMultiLvlLbl val="0"/>
      </c:catAx>
      <c:valAx>
        <c:axId val="315508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5507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 Excel Project for SO-07.xlsx]Pivot!PivotTable1</c:name>
    <c:fmtId val="1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Pivot!$C$4:$C$5</c:f>
              <c:strCache>
                <c:ptCount val="1"/>
                <c:pt idx="0">
                  <c:v>NH3</c:v>
                </c:pt>
              </c:strCache>
            </c:strRef>
          </c:tx>
          <c:cat>
            <c:strRef>
              <c:f>Pivot!$B$6:$B$16</c:f>
              <c:strCache>
                <c:ptCount val="10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</c:strCache>
            </c:strRef>
          </c:cat>
          <c:val>
            <c:numRef>
              <c:f>Pivot!$C$6:$C$16</c:f>
              <c:numCache>
                <c:formatCode>General</c:formatCode>
                <c:ptCount val="10"/>
                <c:pt idx="0">
                  <c:v>750000</c:v>
                </c:pt>
                <c:pt idx="1">
                  <c:v>350000</c:v>
                </c:pt>
                <c:pt idx="3">
                  <c:v>125000</c:v>
                </c:pt>
                <c:pt idx="6">
                  <c:v>710000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F-43DD-ACF1-F997B3906D70}"/>
            </c:ext>
          </c:extLst>
        </c:ser>
        <c:ser>
          <c:idx val="1"/>
          <c:order val="1"/>
          <c:tx>
            <c:strRef>
              <c:f>Pivot!$D$4:$D$5</c:f>
              <c:strCache>
                <c:ptCount val="1"/>
                <c:pt idx="0">
                  <c:v>Polythene</c:v>
                </c:pt>
              </c:strCache>
            </c:strRef>
          </c:tx>
          <c:cat>
            <c:strRef>
              <c:f>Pivot!$B$6:$B$16</c:f>
              <c:strCache>
                <c:ptCount val="10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</c:strCache>
            </c:strRef>
          </c:cat>
          <c:val>
            <c:numRef>
              <c:f>Pivot!$D$6:$D$16</c:f>
              <c:numCache>
                <c:formatCode>General</c:formatCode>
                <c:ptCount val="10"/>
                <c:pt idx="1">
                  <c:v>100000</c:v>
                </c:pt>
                <c:pt idx="2">
                  <c:v>73000</c:v>
                </c:pt>
                <c:pt idx="4">
                  <c:v>1435000</c:v>
                </c:pt>
                <c:pt idx="6">
                  <c:v>170000</c:v>
                </c:pt>
                <c:pt idx="8">
                  <c:v>320000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7F-43DD-ACF1-F997B3906D70}"/>
            </c:ext>
          </c:extLst>
        </c:ser>
        <c:ser>
          <c:idx val="2"/>
          <c:order val="2"/>
          <c:tx>
            <c:strRef>
              <c:f>Pivot!$E$4:$E$5</c:f>
              <c:strCache>
                <c:ptCount val="1"/>
                <c:pt idx="0">
                  <c:v>Urea</c:v>
                </c:pt>
              </c:strCache>
            </c:strRef>
          </c:tx>
          <c:cat>
            <c:strRef>
              <c:f>Pivot!$B$6:$B$16</c:f>
              <c:strCache>
                <c:ptCount val="10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</c:strCache>
            </c:strRef>
          </c:cat>
          <c:val>
            <c:numRef>
              <c:f>Pivot!$E$6:$E$16</c:f>
              <c:numCache>
                <c:formatCode>General</c:formatCode>
                <c:ptCount val="10"/>
                <c:pt idx="0">
                  <c:v>300000</c:v>
                </c:pt>
                <c:pt idx="2">
                  <c:v>520000</c:v>
                </c:pt>
                <c:pt idx="3">
                  <c:v>310000</c:v>
                </c:pt>
                <c:pt idx="5">
                  <c:v>688000</c:v>
                </c:pt>
                <c:pt idx="7">
                  <c:v>460000</c:v>
                </c:pt>
                <c:pt idx="9">
                  <c:v>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7F-43DD-ACF1-F997B3906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'SL-24'!$G$12</c:f>
              <c:strCache>
                <c:ptCount val="1"/>
                <c:pt idx="0">
                  <c:v>Consumed Unit</c:v>
                </c:pt>
              </c:strCache>
            </c:strRef>
          </c:tx>
          <c:invertIfNegative val="0"/>
          <c:cat>
            <c:strRef>
              <c:f>'SL-24'!$D$13:$D$17</c:f>
              <c:strCache>
                <c:ptCount val="5"/>
                <c:pt idx="0">
                  <c:v>Md. Abdur Rahman</c:v>
                </c:pt>
                <c:pt idx="1">
                  <c:v>M. A Majid</c:v>
                </c:pt>
                <c:pt idx="2">
                  <c:v>Md. Abdur Rahim</c:v>
                </c:pt>
                <c:pt idx="3">
                  <c:v>Md. Arifur Rahman</c:v>
                </c:pt>
                <c:pt idx="4">
                  <c:v>Mst Rita Begum</c:v>
                </c:pt>
              </c:strCache>
            </c:strRef>
          </c:cat>
          <c:val>
            <c:numRef>
              <c:f>'SL-24'!$G$13:$G$17</c:f>
              <c:numCache>
                <c:formatCode>General</c:formatCode>
                <c:ptCount val="5"/>
                <c:pt idx="0">
                  <c:v>250</c:v>
                </c:pt>
                <c:pt idx="1">
                  <c:v>210</c:v>
                </c:pt>
                <c:pt idx="2">
                  <c:v>75</c:v>
                </c:pt>
                <c:pt idx="3">
                  <c:v>400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A3-44BC-BC08-B36F32D6628B}"/>
            </c:ext>
          </c:extLst>
        </c:ser>
        <c:ser>
          <c:idx val="1"/>
          <c:order val="1"/>
          <c:tx>
            <c:strRef>
              <c:f>'SL-24'!$H$12</c:f>
              <c:strCache>
                <c:ptCount val="1"/>
                <c:pt idx="0">
                  <c:v>Electricity charge</c:v>
                </c:pt>
              </c:strCache>
            </c:strRef>
          </c:tx>
          <c:invertIfNegative val="0"/>
          <c:cat>
            <c:strRef>
              <c:f>'SL-24'!$D$13:$D$17</c:f>
              <c:strCache>
                <c:ptCount val="5"/>
                <c:pt idx="0">
                  <c:v>Md. Abdur Rahman</c:v>
                </c:pt>
                <c:pt idx="1">
                  <c:v>M. A Majid</c:v>
                </c:pt>
                <c:pt idx="2">
                  <c:v>Md. Abdur Rahim</c:v>
                </c:pt>
                <c:pt idx="3">
                  <c:v>Md. Arifur Rahman</c:v>
                </c:pt>
                <c:pt idx="4">
                  <c:v>Mst Rita Begum</c:v>
                </c:pt>
              </c:strCache>
            </c:strRef>
          </c:cat>
          <c:val>
            <c:numRef>
              <c:f>'SL-24'!$H$13:$H$17</c:f>
              <c:numCache>
                <c:formatCode>General</c:formatCode>
                <c:ptCount val="5"/>
                <c:pt idx="0">
                  <c:v>3400</c:v>
                </c:pt>
                <c:pt idx="1">
                  <c:v>2680</c:v>
                </c:pt>
                <c:pt idx="2">
                  <c:v>750</c:v>
                </c:pt>
                <c:pt idx="3">
                  <c:v>6100</c:v>
                </c:pt>
                <c:pt idx="4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A3-44BC-BC08-B36F32D6628B}"/>
            </c:ext>
          </c:extLst>
        </c:ser>
        <c:ser>
          <c:idx val="2"/>
          <c:order val="2"/>
          <c:tx>
            <c:strRef>
              <c:f>'SL-24'!$L$12</c:f>
              <c:strCache>
                <c:ptCount val="1"/>
                <c:pt idx="0">
                  <c:v>Bil Amount</c:v>
                </c:pt>
              </c:strCache>
            </c:strRef>
          </c:tx>
          <c:invertIfNegative val="0"/>
          <c:cat>
            <c:strRef>
              <c:f>'SL-24'!$D$13:$D$17</c:f>
              <c:strCache>
                <c:ptCount val="5"/>
                <c:pt idx="0">
                  <c:v>Md. Abdur Rahman</c:v>
                </c:pt>
                <c:pt idx="1">
                  <c:v>M. A Majid</c:v>
                </c:pt>
                <c:pt idx="2">
                  <c:v>Md. Abdur Rahim</c:v>
                </c:pt>
                <c:pt idx="3">
                  <c:v>Md. Arifur Rahman</c:v>
                </c:pt>
                <c:pt idx="4">
                  <c:v>Mst Rita Begum</c:v>
                </c:pt>
              </c:strCache>
            </c:strRef>
          </c:cat>
          <c:val>
            <c:numRef>
              <c:f>'SL-24'!$L$13:$L$17</c:f>
              <c:numCache>
                <c:formatCode>General</c:formatCode>
                <c:ptCount val="5"/>
                <c:pt idx="0">
                  <c:v>4095</c:v>
                </c:pt>
                <c:pt idx="1">
                  <c:v>3339</c:v>
                </c:pt>
                <c:pt idx="2">
                  <c:v>1312.5</c:v>
                </c:pt>
                <c:pt idx="3">
                  <c:v>6930</c:v>
                </c:pt>
                <c:pt idx="4">
                  <c:v>1575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A3-44BC-BC08-B36F32D66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777088"/>
        <c:axId val="307255168"/>
      </c:barChart>
      <c:catAx>
        <c:axId val="306777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07255168"/>
        <c:crosses val="autoZero"/>
        <c:auto val="1"/>
        <c:lblAlgn val="ctr"/>
        <c:lblOffset val="100"/>
        <c:noMultiLvlLbl val="0"/>
      </c:catAx>
      <c:valAx>
        <c:axId val="307255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6777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'SL-28'!$E$6:$F$6</c:f>
              <c:strCache>
                <c:ptCount val="2"/>
                <c:pt idx="0">
                  <c:v>Akbar</c:v>
                </c:pt>
                <c:pt idx="1">
                  <c:v>Gazipur</c:v>
                </c:pt>
              </c:strCache>
            </c:strRef>
          </c:tx>
          <c:invertIfNegative val="0"/>
          <c:cat>
            <c:strRef>
              <c:f>'SL-28'!$J$5</c:f>
              <c:strCache>
                <c:ptCount val="1"/>
                <c:pt idx="0">
                  <c:v>Sales Amount</c:v>
                </c:pt>
              </c:strCache>
            </c:strRef>
          </c:cat>
          <c:val>
            <c:numRef>
              <c:f>'SL-28'!$J$6</c:f>
              <c:numCache>
                <c:formatCode>General</c:formatCode>
                <c:ptCount val="1"/>
                <c:pt idx="0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5-44E4-B1A0-1194E99D641F}"/>
            </c:ext>
          </c:extLst>
        </c:ser>
        <c:ser>
          <c:idx val="1"/>
          <c:order val="1"/>
          <c:tx>
            <c:strRef>
              <c:f>'SL-28'!$E$7:$F$7</c:f>
              <c:strCache>
                <c:ptCount val="2"/>
                <c:pt idx="0">
                  <c:v>Rahman</c:v>
                </c:pt>
                <c:pt idx="1">
                  <c:v>chattogram</c:v>
                </c:pt>
              </c:strCache>
            </c:strRef>
          </c:tx>
          <c:invertIfNegative val="0"/>
          <c:cat>
            <c:strRef>
              <c:f>'SL-28'!$J$5</c:f>
              <c:strCache>
                <c:ptCount val="1"/>
                <c:pt idx="0">
                  <c:v>Sales Amount</c:v>
                </c:pt>
              </c:strCache>
            </c:strRef>
          </c:cat>
          <c:val>
            <c:numRef>
              <c:f>'SL-28'!$J$7</c:f>
              <c:numCache>
                <c:formatCode>General</c:formatCode>
                <c:ptCount val="1"/>
                <c:pt idx="0">
                  <c:v>73000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75-44E4-B1A0-1194E99D641F}"/>
            </c:ext>
          </c:extLst>
        </c:ser>
        <c:ser>
          <c:idx val="2"/>
          <c:order val="2"/>
          <c:tx>
            <c:strRef>
              <c:f>'SL-28'!$E$8:$F$8</c:f>
              <c:strCache>
                <c:ptCount val="2"/>
                <c:pt idx="0">
                  <c:v>Akbar</c:v>
                </c:pt>
                <c:pt idx="1">
                  <c:v>Joyputhat</c:v>
                </c:pt>
              </c:strCache>
            </c:strRef>
          </c:tx>
          <c:invertIfNegative val="0"/>
          <c:cat>
            <c:strRef>
              <c:f>'SL-28'!$J$5</c:f>
              <c:strCache>
                <c:ptCount val="1"/>
                <c:pt idx="0">
                  <c:v>Sales Amount</c:v>
                </c:pt>
              </c:strCache>
            </c:strRef>
          </c:cat>
          <c:val>
            <c:numRef>
              <c:f>'SL-28'!$J$8</c:f>
              <c:numCache>
                <c:formatCode>General</c:formatCode>
                <c:ptCount val="1"/>
                <c:pt idx="0">
                  <c:v>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75-44E4-B1A0-1194E99D641F}"/>
            </c:ext>
          </c:extLst>
        </c:ser>
        <c:ser>
          <c:idx val="3"/>
          <c:order val="3"/>
          <c:tx>
            <c:strRef>
              <c:f>'SL-28'!$E$9:$F$9</c:f>
              <c:strCache>
                <c:ptCount val="2"/>
                <c:pt idx="0">
                  <c:v>Rakib</c:v>
                </c:pt>
                <c:pt idx="1">
                  <c:v>Chapai</c:v>
                </c:pt>
              </c:strCache>
            </c:strRef>
          </c:tx>
          <c:invertIfNegative val="0"/>
          <c:cat>
            <c:strRef>
              <c:f>'SL-28'!$J$5</c:f>
              <c:strCache>
                <c:ptCount val="1"/>
                <c:pt idx="0">
                  <c:v>Sales Amount</c:v>
                </c:pt>
              </c:strCache>
            </c:strRef>
          </c:cat>
          <c:val>
            <c:numRef>
              <c:f>'SL-28'!$J$9</c:f>
              <c:numCache>
                <c:formatCode>General</c:formatCode>
                <c:ptCount val="1"/>
                <c:pt idx="0">
                  <c:v>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75-44E4-B1A0-1194E99D641F}"/>
            </c:ext>
          </c:extLst>
        </c:ser>
        <c:ser>
          <c:idx val="4"/>
          <c:order val="4"/>
          <c:tx>
            <c:strRef>
              <c:f>'SL-28'!$E$10:$F$10</c:f>
              <c:strCache>
                <c:ptCount val="2"/>
                <c:pt idx="0">
                  <c:v>Saraf</c:v>
                </c:pt>
                <c:pt idx="1">
                  <c:v>Natore</c:v>
                </c:pt>
              </c:strCache>
            </c:strRef>
          </c:tx>
          <c:invertIfNegative val="0"/>
          <c:cat>
            <c:strRef>
              <c:f>'SL-28'!$J$5</c:f>
              <c:strCache>
                <c:ptCount val="1"/>
                <c:pt idx="0">
                  <c:v>Sales Amount</c:v>
                </c:pt>
              </c:strCache>
            </c:strRef>
          </c:cat>
          <c:val>
            <c:numRef>
              <c:f>'SL-28'!$J$10</c:f>
              <c:numCache>
                <c:formatCode>General</c:formatCode>
                <c:ptCount val="1"/>
                <c:pt idx="0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75-44E4-B1A0-1194E99D641F}"/>
            </c:ext>
          </c:extLst>
        </c:ser>
        <c:ser>
          <c:idx val="5"/>
          <c:order val="5"/>
          <c:tx>
            <c:strRef>
              <c:f>'SL-28'!$E$11:$F$11</c:f>
              <c:strCache>
                <c:ptCount val="2"/>
                <c:pt idx="0">
                  <c:v>Ramjan</c:v>
                </c:pt>
                <c:pt idx="1">
                  <c:v>Rangpur</c:v>
                </c:pt>
              </c:strCache>
            </c:strRef>
          </c:tx>
          <c:invertIfNegative val="0"/>
          <c:cat>
            <c:strRef>
              <c:f>'SL-28'!$J$5</c:f>
              <c:strCache>
                <c:ptCount val="1"/>
                <c:pt idx="0">
                  <c:v>Sales Amount</c:v>
                </c:pt>
              </c:strCache>
            </c:strRef>
          </c:cat>
          <c:val>
            <c:numRef>
              <c:f>'SL-28'!$J$11</c:f>
              <c:numCache>
                <c:formatCode>General</c:formatCode>
                <c:ptCount val="1"/>
                <c:pt idx="0">
                  <c:v>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75-44E4-B1A0-1194E99D641F}"/>
            </c:ext>
          </c:extLst>
        </c:ser>
        <c:ser>
          <c:idx val="6"/>
          <c:order val="6"/>
          <c:tx>
            <c:strRef>
              <c:f>'SL-28'!$E$12:$F$12</c:f>
              <c:strCache>
                <c:ptCount val="2"/>
                <c:pt idx="0">
                  <c:v>Araf</c:v>
                </c:pt>
                <c:pt idx="1">
                  <c:v>Dhaka</c:v>
                </c:pt>
              </c:strCache>
            </c:strRef>
          </c:tx>
          <c:invertIfNegative val="0"/>
          <c:cat>
            <c:strRef>
              <c:f>'SL-28'!$J$5</c:f>
              <c:strCache>
                <c:ptCount val="1"/>
                <c:pt idx="0">
                  <c:v>Sales Amount</c:v>
                </c:pt>
              </c:strCache>
            </c:strRef>
          </c:cat>
          <c:val>
            <c:numRef>
              <c:f>'SL-28'!$J$12</c:f>
              <c:numCache>
                <c:formatCode>General</c:formatCode>
                <c:ptCount val="1"/>
                <c:pt idx="0">
                  <c:v>170000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75-44E4-B1A0-1194E99D641F}"/>
            </c:ext>
          </c:extLst>
        </c:ser>
        <c:ser>
          <c:idx val="7"/>
          <c:order val="7"/>
          <c:tx>
            <c:strRef>
              <c:f>'SL-28'!$E$13:$F$13</c:f>
              <c:strCache>
                <c:ptCount val="2"/>
                <c:pt idx="0">
                  <c:v>Saraf</c:v>
                </c:pt>
                <c:pt idx="1">
                  <c:v>Pabna</c:v>
                </c:pt>
              </c:strCache>
            </c:strRef>
          </c:tx>
          <c:invertIfNegative val="0"/>
          <c:cat>
            <c:strRef>
              <c:f>'SL-28'!$J$5</c:f>
              <c:strCache>
                <c:ptCount val="1"/>
                <c:pt idx="0">
                  <c:v>Sales Amount</c:v>
                </c:pt>
              </c:strCache>
            </c:strRef>
          </c:cat>
          <c:val>
            <c:numRef>
              <c:f>'SL-28'!$J$13</c:f>
              <c:numCache>
                <c:formatCode>General</c:formatCode>
                <c:ptCount val="1"/>
                <c:pt idx="0">
                  <c:v>220000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75-44E4-B1A0-1194E99D641F}"/>
            </c:ext>
          </c:extLst>
        </c:ser>
        <c:ser>
          <c:idx val="8"/>
          <c:order val="8"/>
          <c:tx>
            <c:strRef>
              <c:f>'SL-28'!$E$14:$F$14</c:f>
              <c:strCache>
                <c:ptCount val="2"/>
                <c:pt idx="0">
                  <c:v>Saraf</c:v>
                </c:pt>
                <c:pt idx="1">
                  <c:v>Naogoan</c:v>
                </c:pt>
              </c:strCache>
            </c:strRef>
          </c:tx>
          <c:invertIfNegative val="0"/>
          <c:cat>
            <c:strRef>
              <c:f>'SL-28'!$J$5</c:f>
              <c:strCache>
                <c:ptCount val="1"/>
                <c:pt idx="0">
                  <c:v>Sales Amount</c:v>
                </c:pt>
              </c:strCache>
            </c:strRef>
          </c:cat>
          <c:val>
            <c:numRef>
              <c:f>'SL-28'!$J$14</c:f>
              <c:numCache>
                <c:formatCode>General</c:formatCode>
                <c:ptCount val="1"/>
                <c:pt idx="0">
                  <c:v>160000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175-44E4-B1A0-1194E99D641F}"/>
            </c:ext>
          </c:extLst>
        </c:ser>
        <c:ser>
          <c:idx val="9"/>
          <c:order val="9"/>
          <c:tx>
            <c:strRef>
              <c:f>'SL-28'!$E$15:$F$15</c:f>
              <c:strCache>
                <c:ptCount val="2"/>
                <c:pt idx="0">
                  <c:v>Ramjan</c:v>
                </c:pt>
                <c:pt idx="1">
                  <c:v>Khulna</c:v>
                </c:pt>
              </c:strCache>
            </c:strRef>
          </c:tx>
          <c:invertIfNegative val="0"/>
          <c:cat>
            <c:strRef>
              <c:f>'SL-28'!$J$5</c:f>
              <c:strCache>
                <c:ptCount val="1"/>
                <c:pt idx="0">
                  <c:v>Sales Amount</c:v>
                </c:pt>
              </c:strCache>
            </c:strRef>
          </c:cat>
          <c:val>
            <c:numRef>
              <c:f>'SL-28'!$J$15</c:f>
              <c:numCache>
                <c:formatCode>General</c:formatCode>
                <c:ptCount val="1"/>
                <c:pt idx="0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175-44E4-B1A0-1194E99D641F}"/>
            </c:ext>
          </c:extLst>
        </c:ser>
        <c:ser>
          <c:idx val="10"/>
          <c:order val="10"/>
          <c:tx>
            <c:strRef>
              <c:f>'SL-28'!$E$16:$F$16</c:f>
              <c:strCache>
                <c:ptCount val="2"/>
                <c:pt idx="0">
                  <c:v>Akbar</c:v>
                </c:pt>
                <c:pt idx="1">
                  <c:v>Gazipur</c:v>
                </c:pt>
              </c:strCache>
            </c:strRef>
          </c:tx>
          <c:invertIfNegative val="0"/>
          <c:cat>
            <c:strRef>
              <c:f>'SL-28'!$J$5</c:f>
              <c:strCache>
                <c:ptCount val="1"/>
                <c:pt idx="0">
                  <c:v>Sales Amount</c:v>
                </c:pt>
              </c:strCache>
            </c:strRef>
          </c:cat>
          <c:val>
            <c:numRef>
              <c:f>'SL-28'!$J$16</c:f>
              <c:numCache>
                <c:formatCode>General</c:formatCode>
                <c:ptCount val="1"/>
                <c:pt idx="0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175-44E4-B1A0-1194E99D641F}"/>
            </c:ext>
          </c:extLst>
        </c:ser>
        <c:ser>
          <c:idx val="11"/>
          <c:order val="11"/>
          <c:tx>
            <c:strRef>
              <c:f>'SL-28'!$E$17:$F$17</c:f>
              <c:strCache>
                <c:ptCount val="2"/>
                <c:pt idx="0">
                  <c:v>Rahman</c:v>
                </c:pt>
                <c:pt idx="1">
                  <c:v>chattogram</c:v>
                </c:pt>
              </c:strCache>
            </c:strRef>
          </c:tx>
          <c:invertIfNegative val="0"/>
          <c:cat>
            <c:strRef>
              <c:f>'SL-28'!$J$5</c:f>
              <c:strCache>
                <c:ptCount val="1"/>
                <c:pt idx="0">
                  <c:v>Sales Amount</c:v>
                </c:pt>
              </c:strCache>
            </c:strRef>
          </c:cat>
          <c:val>
            <c:numRef>
              <c:f>'SL-28'!$J$17</c:f>
              <c:numCache>
                <c:formatCode>General</c:formatCode>
                <c:ptCount val="1"/>
                <c:pt idx="0">
                  <c:v>73000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175-44E4-B1A0-1194E99D641F}"/>
            </c:ext>
          </c:extLst>
        </c:ser>
        <c:ser>
          <c:idx val="12"/>
          <c:order val="12"/>
          <c:tx>
            <c:strRef>
              <c:f>'SL-28'!$E$18:$F$18</c:f>
              <c:strCache>
                <c:ptCount val="2"/>
                <c:pt idx="0">
                  <c:v>Akbar</c:v>
                </c:pt>
                <c:pt idx="1">
                  <c:v>Joyputhat</c:v>
                </c:pt>
              </c:strCache>
            </c:strRef>
          </c:tx>
          <c:invertIfNegative val="0"/>
          <c:cat>
            <c:strRef>
              <c:f>'SL-28'!$J$5</c:f>
              <c:strCache>
                <c:ptCount val="1"/>
                <c:pt idx="0">
                  <c:v>Sales Amount</c:v>
                </c:pt>
              </c:strCache>
            </c:strRef>
          </c:cat>
          <c:val>
            <c:numRef>
              <c:f>'SL-28'!$J$18</c:f>
              <c:numCache>
                <c:formatCode>General</c:formatCode>
                <c:ptCount val="1"/>
                <c:pt idx="0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175-44E4-B1A0-1194E99D641F}"/>
            </c:ext>
          </c:extLst>
        </c:ser>
        <c:ser>
          <c:idx val="13"/>
          <c:order val="13"/>
          <c:tx>
            <c:strRef>
              <c:f>'SL-28'!$E$19:$F$19</c:f>
              <c:strCache>
                <c:ptCount val="2"/>
                <c:pt idx="0">
                  <c:v>Rakib</c:v>
                </c:pt>
                <c:pt idx="1">
                  <c:v>Chapai</c:v>
                </c:pt>
              </c:strCache>
            </c:strRef>
          </c:tx>
          <c:invertIfNegative val="0"/>
          <c:cat>
            <c:strRef>
              <c:f>'SL-28'!$J$5</c:f>
              <c:strCache>
                <c:ptCount val="1"/>
                <c:pt idx="0">
                  <c:v>Sales Amount</c:v>
                </c:pt>
              </c:strCache>
            </c:strRef>
          </c:cat>
          <c:val>
            <c:numRef>
              <c:f>'SL-28'!$J$19</c:f>
              <c:numCache>
                <c:formatCode>General</c:formatCode>
                <c:ptCount val="1"/>
                <c:pt idx="0">
                  <c:v>130000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175-44E4-B1A0-1194E99D641F}"/>
            </c:ext>
          </c:extLst>
        </c:ser>
        <c:ser>
          <c:idx val="14"/>
          <c:order val="14"/>
          <c:tx>
            <c:strRef>
              <c:f>'SL-28'!$E$20:$F$20</c:f>
              <c:strCache>
                <c:ptCount val="2"/>
                <c:pt idx="0">
                  <c:v>Saraf</c:v>
                </c:pt>
                <c:pt idx="1">
                  <c:v>Natore</c:v>
                </c:pt>
              </c:strCache>
            </c:strRef>
          </c:tx>
          <c:invertIfNegative val="0"/>
          <c:cat>
            <c:strRef>
              <c:f>'SL-28'!$J$5</c:f>
              <c:strCache>
                <c:ptCount val="1"/>
                <c:pt idx="0">
                  <c:v>Sales Amount</c:v>
                </c:pt>
              </c:strCache>
            </c:strRef>
          </c:cat>
          <c:val>
            <c:numRef>
              <c:f>'SL-28'!$J$20</c:f>
              <c:numCache>
                <c:formatCode>General</c:formatCode>
                <c:ptCount val="1"/>
                <c:pt idx="0">
                  <c:v>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175-44E4-B1A0-1194E99D641F}"/>
            </c:ext>
          </c:extLst>
        </c:ser>
        <c:ser>
          <c:idx val="15"/>
          <c:order val="15"/>
          <c:tx>
            <c:strRef>
              <c:f>'SL-28'!$E$21:$F$21</c:f>
              <c:strCache>
                <c:ptCount val="2"/>
                <c:pt idx="0">
                  <c:v>Ramjan</c:v>
                </c:pt>
                <c:pt idx="1">
                  <c:v>Rangpur</c:v>
                </c:pt>
              </c:strCache>
            </c:strRef>
          </c:tx>
          <c:invertIfNegative val="0"/>
          <c:cat>
            <c:strRef>
              <c:f>'SL-28'!$J$5</c:f>
              <c:strCache>
                <c:ptCount val="1"/>
                <c:pt idx="0">
                  <c:v>Sales Amount</c:v>
                </c:pt>
              </c:strCache>
            </c:strRef>
          </c:cat>
          <c:val>
            <c:numRef>
              <c:f>'SL-28'!$J$21</c:f>
              <c:numCache>
                <c:formatCode>General</c:formatCode>
                <c:ptCount val="1"/>
                <c:pt idx="0">
                  <c:v>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175-44E4-B1A0-1194E99D641F}"/>
            </c:ext>
          </c:extLst>
        </c:ser>
        <c:ser>
          <c:idx val="16"/>
          <c:order val="16"/>
          <c:tx>
            <c:strRef>
              <c:f>'SL-28'!$E$22:$F$22</c:f>
              <c:strCache>
                <c:ptCount val="2"/>
                <c:pt idx="0">
                  <c:v>Araf</c:v>
                </c:pt>
                <c:pt idx="1">
                  <c:v>Dhaka</c:v>
                </c:pt>
              </c:strCache>
            </c:strRef>
          </c:tx>
          <c:invertIfNegative val="0"/>
          <c:cat>
            <c:strRef>
              <c:f>'SL-28'!$J$5</c:f>
              <c:strCache>
                <c:ptCount val="1"/>
                <c:pt idx="0">
                  <c:v>Sales Amount</c:v>
                </c:pt>
              </c:strCache>
            </c:strRef>
          </c:cat>
          <c:val>
            <c:numRef>
              <c:f>'SL-28'!$J$22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175-44E4-B1A0-1194E99D641F}"/>
            </c:ext>
          </c:extLst>
        </c:ser>
        <c:ser>
          <c:idx val="17"/>
          <c:order val="17"/>
          <c:tx>
            <c:strRef>
              <c:f>'SL-28'!$E$23:$F$23</c:f>
              <c:strCache>
                <c:ptCount val="2"/>
                <c:pt idx="0">
                  <c:v>Saraf</c:v>
                </c:pt>
                <c:pt idx="1">
                  <c:v>Pabna</c:v>
                </c:pt>
              </c:strCache>
            </c:strRef>
          </c:tx>
          <c:invertIfNegative val="0"/>
          <c:cat>
            <c:strRef>
              <c:f>'SL-28'!$J$5</c:f>
              <c:strCache>
                <c:ptCount val="1"/>
                <c:pt idx="0">
                  <c:v>Sales Amount</c:v>
                </c:pt>
              </c:strCache>
            </c:strRef>
          </c:cat>
          <c:val>
            <c:numRef>
              <c:f>'SL-28'!$J$23</c:f>
              <c:numCache>
                <c:formatCode>General</c:formatCode>
                <c:ptCount val="1"/>
                <c:pt idx="0">
                  <c:v>240000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175-44E4-B1A0-1194E99D641F}"/>
            </c:ext>
          </c:extLst>
        </c:ser>
        <c:ser>
          <c:idx val="18"/>
          <c:order val="18"/>
          <c:tx>
            <c:strRef>
              <c:f>'SL-28'!$E$24:$F$24</c:f>
              <c:strCache>
                <c:ptCount val="2"/>
                <c:pt idx="0">
                  <c:v>Saraf</c:v>
                </c:pt>
                <c:pt idx="1">
                  <c:v>Naogoan</c:v>
                </c:pt>
              </c:strCache>
            </c:strRef>
          </c:tx>
          <c:invertIfNegative val="0"/>
          <c:cat>
            <c:strRef>
              <c:f>'SL-28'!$J$5</c:f>
              <c:strCache>
                <c:ptCount val="1"/>
                <c:pt idx="0">
                  <c:v>Sales Amount</c:v>
                </c:pt>
              </c:strCache>
            </c:strRef>
          </c:cat>
          <c:val>
            <c:numRef>
              <c:f>'SL-28'!$J$24</c:f>
              <c:numCache>
                <c:formatCode>General</c:formatCode>
                <c:ptCount val="1"/>
                <c:pt idx="0">
                  <c:v>160000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175-44E4-B1A0-1194E99D641F}"/>
            </c:ext>
          </c:extLst>
        </c:ser>
        <c:ser>
          <c:idx val="19"/>
          <c:order val="19"/>
          <c:tx>
            <c:strRef>
              <c:f>'SL-28'!$E$25:$F$25</c:f>
              <c:strCache>
                <c:ptCount val="2"/>
                <c:pt idx="0">
                  <c:v>Ramjan</c:v>
                </c:pt>
                <c:pt idx="1">
                  <c:v>Khulna</c:v>
                </c:pt>
              </c:strCache>
            </c:strRef>
          </c:tx>
          <c:invertIfNegative val="0"/>
          <c:cat>
            <c:strRef>
              <c:f>'SL-28'!$J$5</c:f>
              <c:strCache>
                <c:ptCount val="1"/>
                <c:pt idx="0">
                  <c:v>Sales Amount</c:v>
                </c:pt>
              </c:strCache>
            </c:strRef>
          </c:cat>
          <c:val>
            <c:numRef>
              <c:f>'SL-28'!$J$25</c:f>
              <c:numCache>
                <c:formatCode>General</c:formatCode>
                <c:ptCount val="1"/>
                <c:pt idx="0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175-44E4-B1A0-1194E99D641F}"/>
            </c:ext>
          </c:extLst>
        </c:ser>
        <c:ser>
          <c:idx val="20"/>
          <c:order val="20"/>
          <c:tx>
            <c:strRef>
              <c:f>'SL-28'!$E$26:$F$26</c:f>
              <c:strCache>
                <c:ptCount val="2"/>
                <c:pt idx="0">
                  <c:v>Akbar</c:v>
                </c:pt>
                <c:pt idx="1">
                  <c:v>Gazipur</c:v>
                </c:pt>
              </c:strCache>
            </c:strRef>
          </c:tx>
          <c:invertIfNegative val="0"/>
          <c:cat>
            <c:strRef>
              <c:f>'SL-28'!$J$5</c:f>
              <c:strCache>
                <c:ptCount val="1"/>
                <c:pt idx="0">
                  <c:v>Sales Amount</c:v>
                </c:pt>
              </c:strCache>
            </c:strRef>
          </c:cat>
          <c:val>
            <c:numRef>
              <c:f>'SL-28'!$J$26</c:f>
              <c:numCache>
                <c:formatCode>General</c:formatCode>
                <c:ptCount val="1"/>
                <c:pt idx="0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175-44E4-B1A0-1194E99D641F}"/>
            </c:ext>
          </c:extLst>
        </c:ser>
        <c:ser>
          <c:idx val="21"/>
          <c:order val="21"/>
          <c:tx>
            <c:strRef>
              <c:f>'SL-28'!$E$27:$F$27</c:f>
              <c:strCache>
                <c:ptCount val="2"/>
                <c:pt idx="0">
                  <c:v>Rahman</c:v>
                </c:pt>
                <c:pt idx="1">
                  <c:v>chattogram</c:v>
                </c:pt>
              </c:strCache>
            </c:strRef>
          </c:tx>
          <c:invertIfNegative val="0"/>
          <c:cat>
            <c:strRef>
              <c:f>'SL-28'!$J$5</c:f>
              <c:strCache>
                <c:ptCount val="1"/>
                <c:pt idx="0">
                  <c:v>Sales Amount</c:v>
                </c:pt>
              </c:strCache>
            </c:strRef>
          </c:cat>
          <c:val>
            <c:numRef>
              <c:f>'SL-28'!$J$27</c:f>
              <c:numCache>
                <c:formatCode>General</c:formatCode>
                <c:ptCount val="1"/>
                <c:pt idx="0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175-44E4-B1A0-1194E99D641F}"/>
            </c:ext>
          </c:extLst>
        </c:ser>
        <c:ser>
          <c:idx val="22"/>
          <c:order val="22"/>
          <c:tx>
            <c:strRef>
              <c:f>'SL-28'!$E$28:$F$28</c:f>
              <c:strCache>
                <c:ptCount val="2"/>
                <c:pt idx="0">
                  <c:v>Akbar</c:v>
                </c:pt>
                <c:pt idx="1">
                  <c:v>Joyputhat</c:v>
                </c:pt>
              </c:strCache>
            </c:strRef>
          </c:tx>
          <c:invertIfNegative val="0"/>
          <c:cat>
            <c:strRef>
              <c:f>'SL-28'!$J$5</c:f>
              <c:strCache>
                <c:ptCount val="1"/>
                <c:pt idx="0">
                  <c:v>Sales Amount</c:v>
                </c:pt>
              </c:strCache>
            </c:strRef>
          </c:cat>
          <c:val>
            <c:numRef>
              <c:f>'SL-28'!$J$28</c:f>
              <c:numCache>
                <c:formatCode>General</c:formatCode>
                <c:ptCount val="1"/>
                <c:pt idx="0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175-44E4-B1A0-1194E99D641F}"/>
            </c:ext>
          </c:extLst>
        </c:ser>
        <c:ser>
          <c:idx val="23"/>
          <c:order val="23"/>
          <c:tx>
            <c:strRef>
              <c:f>'SL-28'!$E$29:$F$29</c:f>
              <c:strCache>
                <c:ptCount val="2"/>
                <c:pt idx="0">
                  <c:v>Rakib</c:v>
                </c:pt>
                <c:pt idx="1">
                  <c:v>Chapai</c:v>
                </c:pt>
              </c:strCache>
            </c:strRef>
          </c:tx>
          <c:invertIfNegative val="0"/>
          <c:cat>
            <c:strRef>
              <c:f>'SL-28'!$J$5</c:f>
              <c:strCache>
                <c:ptCount val="1"/>
                <c:pt idx="0">
                  <c:v>Sales Amount</c:v>
                </c:pt>
              </c:strCache>
            </c:strRef>
          </c:cat>
          <c:val>
            <c:numRef>
              <c:f>'SL-28'!$J$29</c:f>
              <c:numCache>
                <c:formatCode>General</c:formatCode>
                <c:ptCount val="1"/>
                <c:pt idx="0">
                  <c:v>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175-44E4-B1A0-1194E99D641F}"/>
            </c:ext>
          </c:extLst>
        </c:ser>
        <c:ser>
          <c:idx val="24"/>
          <c:order val="24"/>
          <c:tx>
            <c:strRef>
              <c:f>'SL-28'!$E$30:$F$30</c:f>
              <c:strCache>
                <c:ptCount val="2"/>
                <c:pt idx="0">
                  <c:v>Saraf</c:v>
                </c:pt>
                <c:pt idx="1">
                  <c:v>Natore</c:v>
                </c:pt>
              </c:strCache>
            </c:strRef>
          </c:tx>
          <c:invertIfNegative val="0"/>
          <c:cat>
            <c:strRef>
              <c:f>'SL-28'!$J$5</c:f>
              <c:strCache>
                <c:ptCount val="1"/>
                <c:pt idx="0">
                  <c:v>Sales Amount</c:v>
                </c:pt>
              </c:strCache>
            </c:strRef>
          </c:cat>
          <c:val>
            <c:numRef>
              <c:f>'SL-28'!$J$30</c:f>
              <c:numCache>
                <c:formatCode>General</c:formatCode>
                <c:ptCount val="1"/>
                <c:pt idx="0">
                  <c:v>950000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175-44E4-B1A0-1194E99D641F}"/>
            </c:ext>
          </c:extLst>
        </c:ser>
        <c:ser>
          <c:idx val="25"/>
          <c:order val="25"/>
          <c:tx>
            <c:strRef>
              <c:f>'SL-28'!$E$31:$F$31</c:f>
              <c:strCache>
                <c:ptCount val="2"/>
                <c:pt idx="0">
                  <c:v>Ramjan</c:v>
                </c:pt>
                <c:pt idx="1">
                  <c:v>Rangpur</c:v>
                </c:pt>
              </c:strCache>
            </c:strRef>
          </c:tx>
          <c:invertIfNegative val="0"/>
          <c:cat>
            <c:strRef>
              <c:f>'SL-28'!$J$5</c:f>
              <c:strCache>
                <c:ptCount val="1"/>
                <c:pt idx="0">
                  <c:v>Sales Amount</c:v>
                </c:pt>
              </c:strCache>
            </c:strRef>
          </c:cat>
          <c:val>
            <c:numRef>
              <c:f>'SL-28'!$J$31</c:f>
              <c:numCache>
                <c:formatCode>General</c:formatCode>
                <c:ptCount val="1"/>
                <c:pt idx="0">
                  <c:v>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175-44E4-B1A0-1194E99D641F}"/>
            </c:ext>
          </c:extLst>
        </c:ser>
        <c:ser>
          <c:idx val="26"/>
          <c:order val="26"/>
          <c:tx>
            <c:strRef>
              <c:f>'SL-28'!$E$32:$F$32</c:f>
              <c:strCache>
                <c:ptCount val="2"/>
                <c:pt idx="0">
                  <c:v>Araf</c:v>
                </c:pt>
                <c:pt idx="1">
                  <c:v>Dhaka</c:v>
                </c:pt>
              </c:strCache>
            </c:strRef>
          </c:tx>
          <c:invertIfNegative val="0"/>
          <c:cat>
            <c:strRef>
              <c:f>'SL-28'!$J$5</c:f>
              <c:strCache>
                <c:ptCount val="1"/>
                <c:pt idx="0">
                  <c:v>Sales Amount</c:v>
                </c:pt>
              </c:strCache>
            </c:strRef>
          </c:cat>
          <c:val>
            <c:numRef>
              <c:f>'SL-28'!$J$32</c:f>
              <c:numCache>
                <c:formatCode>General</c:formatCode>
                <c:ptCount val="1"/>
                <c:pt idx="0">
                  <c:v>178000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5175-44E4-B1A0-1194E99D641F}"/>
            </c:ext>
          </c:extLst>
        </c:ser>
        <c:ser>
          <c:idx val="27"/>
          <c:order val="27"/>
          <c:tx>
            <c:strRef>
              <c:f>'SL-28'!$E$33:$F$33</c:f>
              <c:strCache>
                <c:ptCount val="2"/>
                <c:pt idx="0">
                  <c:v>Saraf</c:v>
                </c:pt>
                <c:pt idx="1">
                  <c:v>Pabna</c:v>
                </c:pt>
              </c:strCache>
            </c:strRef>
          </c:tx>
          <c:invertIfNegative val="0"/>
          <c:cat>
            <c:strRef>
              <c:f>'SL-28'!$J$5</c:f>
              <c:strCache>
                <c:ptCount val="1"/>
                <c:pt idx="0">
                  <c:v>Sales Amount</c:v>
                </c:pt>
              </c:strCache>
            </c:strRef>
          </c:cat>
          <c:val>
            <c:numRef>
              <c:f>'SL-28'!$J$33</c:f>
              <c:numCache>
                <c:formatCode>General</c:formatCode>
                <c:ptCount val="1"/>
                <c:pt idx="0">
                  <c:v>220000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175-44E4-B1A0-1194E99D6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0306048"/>
        <c:axId val="370467584"/>
      </c:barChart>
      <c:catAx>
        <c:axId val="370306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0467584"/>
        <c:crosses val="autoZero"/>
        <c:auto val="1"/>
        <c:lblAlgn val="ctr"/>
        <c:lblOffset val="100"/>
        <c:noMultiLvlLbl val="0"/>
      </c:catAx>
      <c:valAx>
        <c:axId val="370467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0306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'SL-29'!$E$7</c:f>
              <c:strCache>
                <c:ptCount val="1"/>
                <c:pt idx="0">
                  <c:v>Basic Salary</c:v>
                </c:pt>
              </c:strCache>
            </c:strRef>
          </c:tx>
          <c:invertIfNegative val="0"/>
          <c:cat>
            <c:strRef>
              <c:f>'SL-29'!$D$8:$D$14</c:f>
              <c:strCache>
                <c:ptCount val="7"/>
                <c:pt idx="0">
                  <c:v>Md. Asif Iqbal</c:v>
                </c:pt>
                <c:pt idx="1">
                  <c:v>Rita Begum</c:v>
                </c:pt>
                <c:pt idx="2">
                  <c:v>Amitav Paul</c:v>
                </c:pt>
                <c:pt idx="3">
                  <c:v>Md. Abdur Rahman</c:v>
                </c:pt>
                <c:pt idx="4">
                  <c:v>Md. Joynal Abedin</c:v>
                </c:pt>
                <c:pt idx="5">
                  <c:v>Gautom Saha</c:v>
                </c:pt>
                <c:pt idx="6">
                  <c:v>Selim Iqbal</c:v>
                </c:pt>
              </c:strCache>
            </c:strRef>
          </c:cat>
          <c:val>
            <c:numRef>
              <c:f>'SL-29'!$E$8:$E$14</c:f>
              <c:numCache>
                <c:formatCode>General</c:formatCode>
                <c:ptCount val="7"/>
                <c:pt idx="0">
                  <c:v>25000</c:v>
                </c:pt>
                <c:pt idx="1">
                  <c:v>45000</c:v>
                </c:pt>
                <c:pt idx="2">
                  <c:v>65000</c:v>
                </c:pt>
                <c:pt idx="3">
                  <c:v>80000</c:v>
                </c:pt>
                <c:pt idx="4">
                  <c:v>20000</c:v>
                </c:pt>
                <c:pt idx="5">
                  <c:v>120000</c:v>
                </c:pt>
                <c:pt idx="6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C9-4CA4-AF9C-AD6719B34858}"/>
            </c:ext>
          </c:extLst>
        </c:ser>
        <c:ser>
          <c:idx val="1"/>
          <c:order val="1"/>
          <c:tx>
            <c:strRef>
              <c:f>'SL-29'!$K$7</c:f>
              <c:strCache>
                <c:ptCount val="1"/>
                <c:pt idx="0">
                  <c:v>Total Income</c:v>
                </c:pt>
              </c:strCache>
            </c:strRef>
          </c:tx>
          <c:invertIfNegative val="0"/>
          <c:cat>
            <c:strRef>
              <c:f>'SL-29'!$D$8:$D$14</c:f>
              <c:strCache>
                <c:ptCount val="7"/>
                <c:pt idx="0">
                  <c:v>Md. Asif Iqbal</c:v>
                </c:pt>
                <c:pt idx="1">
                  <c:v>Rita Begum</c:v>
                </c:pt>
                <c:pt idx="2">
                  <c:v>Amitav Paul</c:v>
                </c:pt>
                <c:pt idx="3">
                  <c:v>Md. Abdur Rahman</c:v>
                </c:pt>
                <c:pt idx="4">
                  <c:v>Md. Joynal Abedin</c:v>
                </c:pt>
                <c:pt idx="5">
                  <c:v>Gautom Saha</c:v>
                </c:pt>
                <c:pt idx="6">
                  <c:v>Selim Iqbal</c:v>
                </c:pt>
              </c:strCache>
            </c:strRef>
          </c:cat>
          <c:val>
            <c:numRef>
              <c:f>'SL-29'!$K$8:$K$14</c:f>
              <c:numCache>
                <c:formatCode>General</c:formatCode>
                <c:ptCount val="7"/>
                <c:pt idx="0">
                  <c:v>133750</c:v>
                </c:pt>
                <c:pt idx="1">
                  <c:v>240750</c:v>
                </c:pt>
                <c:pt idx="2">
                  <c:v>347750</c:v>
                </c:pt>
                <c:pt idx="3">
                  <c:v>428000</c:v>
                </c:pt>
                <c:pt idx="4">
                  <c:v>107000</c:v>
                </c:pt>
                <c:pt idx="5">
                  <c:v>642000</c:v>
                </c:pt>
                <c:pt idx="6">
                  <c:v>401250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C9-4CA4-AF9C-AD6719B34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0131328"/>
        <c:axId val="311284864"/>
      </c:barChart>
      <c:catAx>
        <c:axId val="31013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1284864"/>
        <c:crosses val="autoZero"/>
        <c:auto val="1"/>
        <c:lblAlgn val="ctr"/>
        <c:lblOffset val="100"/>
        <c:noMultiLvlLbl val="0"/>
      </c:catAx>
      <c:valAx>
        <c:axId val="311284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013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90487</xdr:colOff>
      <xdr:row>7</xdr:row>
      <xdr:rowOff>104775</xdr:rowOff>
    </xdr:from>
    <xdr:to>
      <xdr:col>14</xdr:col>
      <xdr:colOff>747712</xdr:colOff>
      <xdr:row>20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26</xdr:row>
      <xdr:rowOff>47625</xdr:rowOff>
    </xdr:from>
    <xdr:to>
      <xdr:col>11</xdr:col>
      <xdr:colOff>1209675</xdr:colOff>
      <xdr:row>44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23</xdr:row>
      <xdr:rowOff>176212</xdr:rowOff>
    </xdr:from>
    <xdr:to>
      <xdr:col>10</xdr:col>
      <xdr:colOff>161925</xdr:colOff>
      <xdr:row>38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13</xdr:row>
      <xdr:rowOff>38100</xdr:rowOff>
    </xdr:from>
    <xdr:to>
      <xdr:col>16</xdr:col>
      <xdr:colOff>542925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9</xdr:row>
      <xdr:rowOff>9525</xdr:rowOff>
    </xdr:from>
    <xdr:to>
      <xdr:col>14</xdr:col>
      <xdr:colOff>161925</xdr:colOff>
      <xdr:row>23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24</xdr:row>
      <xdr:rowOff>161925</xdr:rowOff>
    </xdr:from>
    <xdr:to>
      <xdr:col>14</xdr:col>
      <xdr:colOff>180975</xdr:colOff>
      <xdr:row>39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71437</xdr:colOff>
      <xdr:row>17</xdr:row>
      <xdr:rowOff>247650</xdr:rowOff>
    </xdr:from>
    <xdr:to>
      <xdr:col>9</xdr:col>
      <xdr:colOff>309562</xdr:colOff>
      <xdr:row>32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309562</xdr:colOff>
      <xdr:row>9</xdr:row>
      <xdr:rowOff>161925</xdr:rowOff>
    </xdr:from>
    <xdr:to>
      <xdr:col>18</xdr:col>
      <xdr:colOff>4762</xdr:colOff>
      <xdr:row>23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704850</xdr:colOff>
      <xdr:row>16</xdr:row>
      <xdr:rowOff>47625</xdr:rowOff>
    </xdr:from>
    <xdr:to>
      <xdr:col>7</xdr:col>
      <xdr:colOff>1238250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166687</xdr:colOff>
      <xdr:row>16</xdr:row>
      <xdr:rowOff>57150</xdr:rowOff>
    </xdr:from>
    <xdr:to>
      <xdr:col>13</xdr:col>
      <xdr:colOff>566737</xdr:colOff>
      <xdr:row>30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261937</xdr:colOff>
      <xdr:row>5</xdr:row>
      <xdr:rowOff>104775</xdr:rowOff>
    </xdr:from>
    <xdr:to>
      <xdr:col>18</xdr:col>
      <xdr:colOff>566737</xdr:colOff>
      <xdr:row>13</xdr:row>
      <xdr:rowOff>257175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290512</xdr:colOff>
      <xdr:row>15</xdr:row>
      <xdr:rowOff>104775</xdr:rowOff>
    </xdr:from>
    <xdr:to>
      <xdr:col>21</xdr:col>
      <xdr:colOff>595312</xdr:colOff>
      <xdr:row>29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st/Desktop/SMART%20OFFICE-07/Lecture%20on%20M-9&amp;10/Add-Data-to-an-Existing-Ch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ragging"/>
      <sheetName val="Separate worksheet"/>
      <sheetName val="Separate worksheet chart"/>
      <sheetName val="Pasting"/>
      <sheetName val="Paste Special"/>
      <sheetName val="Sheet10"/>
      <sheetName val="Pivot Table"/>
      <sheetName val="Average"/>
      <sheetName val="Sum"/>
      <sheetName val="sumif"/>
      <sheetName val="count"/>
      <sheetName val="counta"/>
      <sheetName val="countif"/>
      <sheetName val="concatenate"/>
      <sheetName val="if"/>
      <sheetName val="vlook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8">
          <cell r="C8" t="str">
            <v>May</v>
          </cell>
          <cell r="D8">
            <v>1500</v>
          </cell>
        </row>
        <row r="9">
          <cell r="C9" t="str">
            <v>June</v>
          </cell>
          <cell r="D9">
            <v>1800</v>
          </cell>
        </row>
        <row r="10">
          <cell r="C10" t="str">
            <v>July</v>
          </cell>
          <cell r="D10">
            <v>800</v>
          </cell>
        </row>
        <row r="11">
          <cell r="C11" t="str">
            <v>August</v>
          </cell>
          <cell r="D11">
            <v>1100</v>
          </cell>
        </row>
        <row r="12">
          <cell r="C12" t="str">
            <v>September</v>
          </cell>
          <cell r="D12">
            <v>1300</v>
          </cell>
        </row>
        <row r="13">
          <cell r="C13" t="str">
            <v>October</v>
          </cell>
          <cell r="D13">
            <v>700</v>
          </cell>
        </row>
        <row r="14">
          <cell r="C14" t="str">
            <v>November</v>
          </cell>
          <cell r="D14">
            <v>1400</v>
          </cell>
        </row>
        <row r="15">
          <cell r="C15" t="str">
            <v>December</v>
          </cell>
          <cell r="D15">
            <v>1600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mail - [2010]" refreshedDate="45637.367046296298" createdVersion="4" refreshedVersion="4" minRefreshableVersion="3" recordCount="40" xr:uid="{00000000-000A-0000-FFFF-FFFF09000000}">
  <cacheSource type="worksheet">
    <worksheetSource ref="C4:H44" sheet="SL-22"/>
  </cacheSource>
  <cacheFields count="6">
    <cacheField name="Dealers Name" numFmtId="0">
      <sharedItems count="6">
        <s v="Akbar"/>
        <s v="Rahman"/>
        <s v="Rakib"/>
        <s v="Saraf"/>
        <s v="Ramjan"/>
        <s v="Araf"/>
      </sharedItems>
    </cacheField>
    <cacheField name="Locations" numFmtId="0">
      <sharedItems count="10">
        <s v="Gazipur"/>
        <s v="chattogram"/>
        <s v="Joyputhat"/>
        <s v="Chapai"/>
        <s v="Natore"/>
        <s v="Rangpur"/>
        <s v="Dhaka"/>
        <s v="Pabna"/>
        <s v="Naogoan"/>
        <s v="Khulna"/>
      </sharedItems>
    </cacheField>
    <cacheField name="Product Name" numFmtId="0">
      <sharedItems count="3">
        <s v="Urea"/>
        <s v="NH3"/>
        <s v="Polythene"/>
      </sharedItems>
    </cacheField>
    <cacheField name="Months" numFmtId="0">
      <sharedItems count="11">
        <s v="January"/>
        <s v="July"/>
        <s v="February"/>
        <s v="March"/>
        <s v="May"/>
        <s v="August"/>
        <s v="June"/>
        <s v="April"/>
        <s v="September"/>
        <s v="October"/>
        <s v="November"/>
      </sharedItems>
    </cacheField>
    <cacheField name="Sales Quantity" numFmtId="0">
      <sharedItems containsSemiMixedTypes="0" containsString="0" containsNumber="1" containsInteger="1" minValue="50" maxValue="2000"/>
    </cacheField>
    <cacheField name="Sales Amount" numFmtId="0">
      <sharedItems containsSemiMixedTypes="0" containsString="0" containsNumber="1" containsInteger="1" minValue="40000" maxValue="950000" count="24">
        <n v="150000"/>
        <n v="73000"/>
        <n v="40000"/>
        <n v="120000"/>
        <n v="80000"/>
        <n v="250000"/>
        <n v="170000"/>
        <n v="220000"/>
        <n v="160000"/>
        <n v="300000"/>
        <n v="50000"/>
        <n v="130000"/>
        <n v="90000"/>
        <n v="210000"/>
        <n v="240000"/>
        <n v="270000"/>
        <n v="60000"/>
        <n v="950000"/>
        <n v="178000"/>
        <n v="450000"/>
        <n v="200000"/>
        <n v="280000"/>
        <n v="75000"/>
        <n v="275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x v="0"/>
    <x v="0"/>
    <x v="0"/>
    <n v="1500"/>
    <x v="0"/>
  </r>
  <r>
    <x v="1"/>
    <x v="1"/>
    <x v="1"/>
    <x v="1"/>
    <n v="100"/>
    <x v="1"/>
  </r>
  <r>
    <x v="0"/>
    <x v="2"/>
    <x v="2"/>
    <x v="2"/>
    <n v="50"/>
    <x v="2"/>
  </r>
  <r>
    <x v="2"/>
    <x v="3"/>
    <x v="0"/>
    <x v="3"/>
    <n v="1200"/>
    <x v="3"/>
  </r>
  <r>
    <x v="3"/>
    <x v="4"/>
    <x v="2"/>
    <x v="4"/>
    <n v="80"/>
    <x v="4"/>
  </r>
  <r>
    <x v="4"/>
    <x v="5"/>
    <x v="1"/>
    <x v="5"/>
    <n v="120"/>
    <x v="5"/>
  </r>
  <r>
    <x v="5"/>
    <x v="6"/>
    <x v="0"/>
    <x v="6"/>
    <n v="1700"/>
    <x v="6"/>
  </r>
  <r>
    <x v="3"/>
    <x v="7"/>
    <x v="2"/>
    <x v="1"/>
    <n v="90"/>
    <x v="7"/>
  </r>
  <r>
    <x v="3"/>
    <x v="8"/>
    <x v="0"/>
    <x v="7"/>
    <n v="1600"/>
    <x v="8"/>
  </r>
  <r>
    <x v="4"/>
    <x v="9"/>
    <x v="1"/>
    <x v="0"/>
    <n v="150"/>
    <x v="9"/>
  </r>
  <r>
    <x v="0"/>
    <x v="0"/>
    <x v="1"/>
    <x v="2"/>
    <n v="1500"/>
    <x v="0"/>
  </r>
  <r>
    <x v="1"/>
    <x v="1"/>
    <x v="2"/>
    <x v="3"/>
    <n v="100"/>
    <x v="1"/>
  </r>
  <r>
    <x v="0"/>
    <x v="2"/>
    <x v="1"/>
    <x v="7"/>
    <n v="70"/>
    <x v="10"/>
  </r>
  <r>
    <x v="2"/>
    <x v="3"/>
    <x v="2"/>
    <x v="4"/>
    <n v="1300"/>
    <x v="11"/>
  </r>
  <r>
    <x v="3"/>
    <x v="4"/>
    <x v="0"/>
    <x v="6"/>
    <n v="90"/>
    <x v="12"/>
  </r>
  <r>
    <x v="4"/>
    <x v="5"/>
    <x v="2"/>
    <x v="1"/>
    <n v="150"/>
    <x v="5"/>
  </r>
  <r>
    <x v="5"/>
    <x v="6"/>
    <x v="1"/>
    <x v="5"/>
    <n v="1900"/>
    <x v="13"/>
  </r>
  <r>
    <x v="3"/>
    <x v="7"/>
    <x v="0"/>
    <x v="8"/>
    <n v="110"/>
    <x v="14"/>
  </r>
  <r>
    <x v="3"/>
    <x v="8"/>
    <x v="2"/>
    <x v="9"/>
    <n v="1600"/>
    <x v="8"/>
  </r>
  <r>
    <x v="4"/>
    <x v="9"/>
    <x v="0"/>
    <x v="10"/>
    <n v="150"/>
    <x v="9"/>
  </r>
  <r>
    <x v="0"/>
    <x v="0"/>
    <x v="0"/>
    <x v="0"/>
    <n v="1500"/>
    <x v="0"/>
  </r>
  <r>
    <x v="1"/>
    <x v="1"/>
    <x v="1"/>
    <x v="1"/>
    <n v="140"/>
    <x v="15"/>
  </r>
  <r>
    <x v="0"/>
    <x v="2"/>
    <x v="2"/>
    <x v="2"/>
    <n v="60"/>
    <x v="16"/>
  </r>
  <r>
    <x v="2"/>
    <x v="3"/>
    <x v="0"/>
    <x v="3"/>
    <n v="1200"/>
    <x v="3"/>
  </r>
  <r>
    <x v="3"/>
    <x v="4"/>
    <x v="2"/>
    <x v="4"/>
    <n v="85"/>
    <x v="17"/>
  </r>
  <r>
    <x v="4"/>
    <x v="5"/>
    <x v="1"/>
    <x v="5"/>
    <n v="100"/>
    <x v="5"/>
  </r>
  <r>
    <x v="5"/>
    <x v="6"/>
    <x v="0"/>
    <x v="6"/>
    <n v="1450"/>
    <x v="18"/>
  </r>
  <r>
    <x v="3"/>
    <x v="7"/>
    <x v="2"/>
    <x v="1"/>
    <n v="60"/>
    <x v="7"/>
  </r>
  <r>
    <x v="3"/>
    <x v="8"/>
    <x v="0"/>
    <x v="7"/>
    <n v="1550"/>
    <x v="0"/>
  </r>
  <r>
    <x v="4"/>
    <x v="9"/>
    <x v="1"/>
    <x v="0"/>
    <n v="210"/>
    <x v="19"/>
  </r>
  <r>
    <x v="0"/>
    <x v="0"/>
    <x v="1"/>
    <x v="2"/>
    <n v="1800"/>
    <x v="20"/>
  </r>
  <r>
    <x v="1"/>
    <x v="1"/>
    <x v="0"/>
    <x v="3"/>
    <n v="1400"/>
    <x v="21"/>
  </r>
  <r>
    <x v="0"/>
    <x v="2"/>
    <x v="1"/>
    <x v="7"/>
    <n v="75"/>
    <x v="22"/>
  </r>
  <r>
    <x v="2"/>
    <x v="3"/>
    <x v="2"/>
    <x v="4"/>
    <n v="120"/>
    <x v="23"/>
  </r>
  <r>
    <x v="3"/>
    <x v="4"/>
    <x v="0"/>
    <x v="6"/>
    <n v="2000"/>
    <x v="5"/>
  </r>
  <r>
    <x v="4"/>
    <x v="5"/>
    <x v="2"/>
    <x v="1"/>
    <n v="120"/>
    <x v="5"/>
  </r>
  <r>
    <x v="5"/>
    <x v="6"/>
    <x v="2"/>
    <x v="5"/>
    <n v="400"/>
    <x v="6"/>
  </r>
  <r>
    <x v="3"/>
    <x v="7"/>
    <x v="0"/>
    <x v="8"/>
    <n v="90"/>
    <x v="7"/>
  </r>
  <r>
    <x v="3"/>
    <x v="8"/>
    <x v="2"/>
    <x v="9"/>
    <n v="1600"/>
    <x v="8"/>
  </r>
  <r>
    <x v="4"/>
    <x v="9"/>
    <x v="0"/>
    <x v="10"/>
    <n v="150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B4:F16" firstHeaderRow="1" firstDataRow="2" firstDataCol="1" rowPageCount="2" colPageCount="1"/>
  <pivotFields count="6">
    <pivotField axis="axisPage" multipleItemSelectionAllowed="1" showAll="0">
      <items count="7">
        <item x="0"/>
        <item x="5"/>
        <item x="1"/>
        <item x="2"/>
        <item x="4"/>
        <item x="3"/>
        <item t="default"/>
      </items>
    </pivotField>
    <pivotField axis="axisPage" multipleItemSelectionAllowed="1" showAll="0">
      <items count="11">
        <item x="3"/>
        <item x="1"/>
        <item x="6"/>
        <item x="0"/>
        <item x="2"/>
        <item x="9"/>
        <item x="8"/>
        <item x="4"/>
        <item x="7"/>
        <item x="5"/>
        <item t="default"/>
      </items>
    </pivotField>
    <pivotField axis="axisCol" showAll="0">
      <items count="4">
        <item x="1"/>
        <item x="2"/>
        <item x="0"/>
        <item t="default"/>
      </items>
    </pivotField>
    <pivotField axis="axisRow" showAll="0">
      <items count="12">
        <item x="0"/>
        <item x="2"/>
        <item x="3"/>
        <item x="7"/>
        <item x="4"/>
        <item x="6"/>
        <item h="1" x="1"/>
        <item x="5"/>
        <item x="8"/>
        <item x="9"/>
        <item x="10"/>
        <item t="default"/>
      </items>
    </pivotField>
    <pivotField showAll="0"/>
    <pivotField dataField="1" showAll="0">
      <items count="25">
        <item x="2"/>
        <item x="10"/>
        <item x="16"/>
        <item x="1"/>
        <item x="22"/>
        <item x="4"/>
        <item x="12"/>
        <item x="3"/>
        <item x="11"/>
        <item x="0"/>
        <item x="8"/>
        <item x="6"/>
        <item x="18"/>
        <item x="20"/>
        <item x="13"/>
        <item x="7"/>
        <item x="14"/>
        <item x="5"/>
        <item x="15"/>
        <item x="23"/>
        <item x="21"/>
        <item x="9"/>
        <item x="19"/>
        <item x="17"/>
        <item t="default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2">
    <pageField fld="0" hier="-1"/>
    <pageField fld="1" hier="-1"/>
  </pageFields>
  <dataFields count="1">
    <dataField name="Sum of Sales Amount" fld="5" baseField="0" baseItem="0"/>
  </dataFields>
  <formats count="7">
    <format dxfId="6">
      <pivotArea outline="0" collapsedLevelsAreSubtotals="1" fieldPosition="0"/>
    </format>
    <format dxfId="5">
      <pivotArea field="2" type="button" dataOnly="0" labelOnly="1" outline="0" axis="axisCol" fieldPosition="0"/>
    </format>
    <format dxfId="4">
      <pivotArea dataOnly="0" labelOnly="1" fieldPosition="0">
        <references count="1">
          <reference field="2" count="0"/>
        </references>
      </pivotArea>
    </format>
    <format dxfId="3">
      <pivotArea dataOnly="0" labelOnly="1" grandRow="1" outline="0" fieldPosition="0"/>
    </format>
    <format dxfId="2">
      <pivotArea dataOnly="0" labelOnly="1" fieldPosition="0">
        <references count="1">
          <reference field="3" count="0"/>
        </references>
      </pivotArea>
    </format>
    <format dxfId="1">
      <pivotArea dataOnly="0" labelOnly="1" grandCol="1" outline="0" fieldPosition="0"/>
    </format>
    <format dxfId="0">
      <pivotArea type="all" dataOnly="0" outline="0" fieldPosition="0"/>
    </format>
  </formats>
  <chartFormats count="2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7:O32"/>
  <sheetViews>
    <sheetView topLeftCell="B1" workbookViewId="0">
      <selection activeCell="I37" sqref="I37"/>
    </sheetView>
  </sheetViews>
  <sheetFormatPr defaultRowHeight="14.4" x14ac:dyDescent="0.3"/>
  <cols>
    <col min="5" max="5" width="14.33203125" customWidth="1"/>
    <col min="7" max="7" width="19" bestFit="1" customWidth="1"/>
    <col min="8" max="8" width="12.109375" customWidth="1"/>
    <col min="9" max="9" width="11.109375" customWidth="1"/>
    <col min="10" max="10" width="11" customWidth="1"/>
    <col min="15" max="15" width="12.6640625" customWidth="1"/>
  </cols>
  <sheetData>
    <row r="7" spans="3:15" ht="15.6" x14ac:dyDescent="0.3">
      <c r="C7" s="65" t="s">
        <v>13</v>
      </c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</row>
    <row r="8" spans="3:15" ht="15.6" x14ac:dyDescent="0.3">
      <c r="C8" s="5"/>
    </row>
    <row r="9" spans="3:15" ht="15.6" x14ac:dyDescent="0.3">
      <c r="C9" s="5" t="s">
        <v>14</v>
      </c>
    </row>
    <row r="10" spans="3:15" ht="15.6" x14ac:dyDescent="0.3">
      <c r="C10" s="6" t="s">
        <v>15</v>
      </c>
    </row>
    <row r="11" spans="3:15" ht="15.6" x14ac:dyDescent="0.3">
      <c r="C11" s="6" t="s">
        <v>16</v>
      </c>
    </row>
    <row r="12" spans="3:15" ht="15.6" x14ac:dyDescent="0.3">
      <c r="C12" s="6" t="s">
        <v>17</v>
      </c>
    </row>
    <row r="13" spans="3:15" ht="15.6" x14ac:dyDescent="0.3">
      <c r="C13" s="6" t="s">
        <v>18</v>
      </c>
    </row>
    <row r="14" spans="3:15" ht="15.6" x14ac:dyDescent="0.3">
      <c r="C14" s="6" t="s">
        <v>19</v>
      </c>
    </row>
    <row r="15" spans="3:15" ht="15.6" x14ac:dyDescent="0.3">
      <c r="C15" s="6" t="s">
        <v>20</v>
      </c>
    </row>
    <row r="16" spans="3:15" ht="15.6" x14ac:dyDescent="0.3">
      <c r="C16" s="6" t="s">
        <v>21</v>
      </c>
    </row>
    <row r="17" spans="3:15" ht="15.6" x14ac:dyDescent="0.3">
      <c r="C17" s="6" t="s">
        <v>22</v>
      </c>
    </row>
    <row r="18" spans="3:15" ht="15.6" x14ac:dyDescent="0.3">
      <c r="C18" s="6" t="s">
        <v>23</v>
      </c>
    </row>
    <row r="19" spans="3:15" ht="15.6" x14ac:dyDescent="0.3">
      <c r="C19" s="6" t="s">
        <v>29</v>
      </c>
    </row>
    <row r="20" spans="3:15" ht="22.8" x14ac:dyDescent="0.3">
      <c r="C20" s="7"/>
    </row>
    <row r="21" spans="3:15" x14ac:dyDescent="0.3">
      <c r="C21" s="8"/>
    </row>
    <row r="22" spans="3:15" ht="15" customHeight="1" x14ac:dyDescent="0.3">
      <c r="C22" s="64" t="s">
        <v>0</v>
      </c>
      <c r="D22" s="64" t="s">
        <v>24</v>
      </c>
      <c r="E22" s="64" t="s">
        <v>1</v>
      </c>
      <c r="F22" s="64" t="s">
        <v>26</v>
      </c>
      <c r="G22" s="64" t="s">
        <v>25</v>
      </c>
      <c r="H22" s="64" t="s">
        <v>27</v>
      </c>
      <c r="I22" s="64" t="s">
        <v>2</v>
      </c>
      <c r="J22" s="66" t="s">
        <v>2</v>
      </c>
      <c r="K22" s="67"/>
      <c r="L22" s="67"/>
      <c r="M22" s="67"/>
      <c r="N22" s="68"/>
      <c r="O22" s="64" t="s">
        <v>3</v>
      </c>
    </row>
    <row r="23" spans="3:15" x14ac:dyDescent="0.3">
      <c r="C23" s="64"/>
      <c r="D23" s="64"/>
      <c r="E23" s="64"/>
      <c r="F23" s="64"/>
      <c r="G23" s="64"/>
      <c r="H23" s="64"/>
      <c r="I23" s="64"/>
      <c r="J23" s="9" t="s">
        <v>4</v>
      </c>
      <c r="K23" s="9" t="s">
        <v>5</v>
      </c>
      <c r="L23" s="9" t="s">
        <v>6</v>
      </c>
      <c r="M23" s="9" t="s">
        <v>7</v>
      </c>
      <c r="N23" s="9" t="s">
        <v>30</v>
      </c>
      <c r="O23" s="64"/>
    </row>
    <row r="24" spans="3:15" x14ac:dyDescent="0.3">
      <c r="C24" s="1">
        <v>1</v>
      </c>
      <c r="D24" s="2" t="s">
        <v>8</v>
      </c>
      <c r="E24" s="1">
        <v>250000</v>
      </c>
      <c r="F24" s="1">
        <f>E24*1%</f>
        <v>2500</v>
      </c>
      <c r="G24" s="1">
        <f>E24*2%</f>
        <v>5000</v>
      </c>
      <c r="H24" s="1">
        <f>E24*2.5%</f>
        <v>6250</v>
      </c>
      <c r="I24" s="1">
        <f>E24*50%</f>
        <v>125000</v>
      </c>
      <c r="J24" s="1">
        <f>I24*30%</f>
        <v>37500</v>
      </c>
      <c r="K24" s="1">
        <f>I24*20%</f>
        <v>25000</v>
      </c>
      <c r="L24" s="1">
        <f>I24*15%</f>
        <v>18750</v>
      </c>
      <c r="M24" s="1">
        <f>I24*10%</f>
        <v>12500</v>
      </c>
      <c r="N24" s="1">
        <f>I24*25%</f>
        <v>31250</v>
      </c>
      <c r="O24" s="1">
        <f>E24+F24+G24+H24+J24+K24+L24+M24+N24</f>
        <v>388750</v>
      </c>
    </row>
    <row r="25" spans="3:15" x14ac:dyDescent="0.3">
      <c r="C25" s="1">
        <v>2</v>
      </c>
      <c r="D25" s="2" t="s">
        <v>9</v>
      </c>
      <c r="E25" s="1">
        <v>350000</v>
      </c>
      <c r="F25" s="1">
        <f t="shared" ref="F25:F28" si="0">E25*1%</f>
        <v>3500</v>
      </c>
      <c r="G25" s="1">
        <f t="shared" ref="G25:G28" si="1">E25*2%</f>
        <v>7000</v>
      </c>
      <c r="H25" s="1">
        <f t="shared" ref="H25:H28" si="2">E25*2.5%</f>
        <v>8750</v>
      </c>
      <c r="I25" s="1">
        <f t="shared" ref="I25:I28" si="3">E25*50%</f>
        <v>175000</v>
      </c>
      <c r="J25" s="1">
        <f t="shared" ref="J25:J28" si="4">I25*30%</f>
        <v>52500</v>
      </c>
      <c r="K25" s="1">
        <f t="shared" ref="K25:K28" si="5">I25*20%</f>
        <v>35000</v>
      </c>
      <c r="L25" s="1">
        <f t="shared" ref="L25:L28" si="6">I25*15%</f>
        <v>26250</v>
      </c>
      <c r="M25" s="1">
        <f t="shared" ref="M25:M28" si="7">I25*10%</f>
        <v>17500</v>
      </c>
      <c r="N25" s="1">
        <f t="shared" ref="N25:N28" si="8">I25*25%</f>
        <v>43750</v>
      </c>
      <c r="O25" s="1">
        <f t="shared" ref="O25:O28" si="9">E25+F25+G25+H25+J25+K25+L25+M25+N25</f>
        <v>544250</v>
      </c>
    </row>
    <row r="26" spans="3:15" x14ac:dyDescent="0.3">
      <c r="C26" s="1">
        <v>3</v>
      </c>
      <c r="D26" s="2" t="s">
        <v>10</v>
      </c>
      <c r="E26" s="1">
        <v>200000</v>
      </c>
      <c r="F26" s="1">
        <f t="shared" si="0"/>
        <v>2000</v>
      </c>
      <c r="G26" s="1">
        <f t="shared" si="1"/>
        <v>4000</v>
      </c>
      <c r="H26" s="1">
        <f t="shared" si="2"/>
        <v>5000</v>
      </c>
      <c r="I26" s="1">
        <f t="shared" si="3"/>
        <v>100000</v>
      </c>
      <c r="J26" s="1">
        <f t="shared" si="4"/>
        <v>30000</v>
      </c>
      <c r="K26" s="1">
        <f t="shared" si="5"/>
        <v>20000</v>
      </c>
      <c r="L26" s="1">
        <f t="shared" si="6"/>
        <v>15000</v>
      </c>
      <c r="M26" s="1">
        <f t="shared" si="7"/>
        <v>10000</v>
      </c>
      <c r="N26" s="1">
        <f t="shared" si="8"/>
        <v>25000</v>
      </c>
      <c r="O26" s="1">
        <f t="shared" si="9"/>
        <v>311000</v>
      </c>
    </row>
    <row r="27" spans="3:15" x14ac:dyDescent="0.3">
      <c r="C27" s="1">
        <v>4</v>
      </c>
      <c r="D27" s="2" t="s">
        <v>11</v>
      </c>
      <c r="E27" s="1">
        <v>500000</v>
      </c>
      <c r="F27" s="1">
        <f t="shared" si="0"/>
        <v>5000</v>
      </c>
      <c r="G27" s="1">
        <f t="shared" si="1"/>
        <v>10000</v>
      </c>
      <c r="H27" s="1">
        <f t="shared" si="2"/>
        <v>12500</v>
      </c>
      <c r="I27" s="1">
        <f t="shared" si="3"/>
        <v>250000</v>
      </c>
      <c r="J27" s="1">
        <f t="shared" si="4"/>
        <v>75000</v>
      </c>
      <c r="K27" s="1">
        <f t="shared" si="5"/>
        <v>50000</v>
      </c>
      <c r="L27" s="1">
        <f t="shared" si="6"/>
        <v>37500</v>
      </c>
      <c r="M27" s="1">
        <f t="shared" si="7"/>
        <v>25000</v>
      </c>
      <c r="N27" s="1">
        <f t="shared" si="8"/>
        <v>62500</v>
      </c>
      <c r="O27" s="1">
        <f t="shared" si="9"/>
        <v>777500</v>
      </c>
    </row>
    <row r="28" spans="3:15" ht="27.6" x14ac:dyDescent="0.3">
      <c r="C28" s="1">
        <v>5</v>
      </c>
      <c r="D28" s="2" t="s">
        <v>12</v>
      </c>
      <c r="E28" s="1">
        <v>450000</v>
      </c>
      <c r="F28" s="1">
        <f t="shared" si="0"/>
        <v>4500</v>
      </c>
      <c r="G28" s="1">
        <f t="shared" si="1"/>
        <v>9000</v>
      </c>
      <c r="H28" s="1">
        <f t="shared" si="2"/>
        <v>11250</v>
      </c>
      <c r="I28" s="1">
        <f t="shared" si="3"/>
        <v>225000</v>
      </c>
      <c r="J28" s="1">
        <f t="shared" si="4"/>
        <v>67500</v>
      </c>
      <c r="K28" s="1">
        <f t="shared" si="5"/>
        <v>45000</v>
      </c>
      <c r="L28" s="1">
        <f t="shared" si="6"/>
        <v>33750</v>
      </c>
      <c r="M28" s="1">
        <f t="shared" si="7"/>
        <v>22500</v>
      </c>
      <c r="N28" s="1">
        <f t="shared" si="8"/>
        <v>56250</v>
      </c>
      <c r="O28" s="1">
        <f t="shared" si="9"/>
        <v>699750</v>
      </c>
    </row>
    <row r="32" spans="3:15" x14ac:dyDescent="0.3">
      <c r="H32" t="s">
        <v>28</v>
      </c>
    </row>
  </sheetData>
  <mergeCells count="10">
    <mergeCell ref="O22:O23"/>
    <mergeCell ref="C7:O7"/>
    <mergeCell ref="H22:H23"/>
    <mergeCell ref="J22:N22"/>
    <mergeCell ref="C22:C23"/>
    <mergeCell ref="D22:D23"/>
    <mergeCell ref="E22:E23"/>
    <mergeCell ref="F22:F23"/>
    <mergeCell ref="G22:G23"/>
    <mergeCell ref="I22:I2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4:H44"/>
  <sheetViews>
    <sheetView workbookViewId="0">
      <selection activeCell="C4" sqref="C4:H32"/>
    </sheetView>
  </sheetViews>
  <sheetFormatPr defaultRowHeight="14.4" x14ac:dyDescent="0.3"/>
  <cols>
    <col min="3" max="3" width="13.5546875" bestFit="1" customWidth="1"/>
    <col min="4" max="4" width="11" bestFit="1" customWidth="1"/>
    <col min="5" max="5" width="13.6640625" bestFit="1" customWidth="1"/>
    <col min="6" max="6" width="10.88671875" bestFit="1" customWidth="1"/>
    <col min="7" max="7" width="13.88671875" bestFit="1" customWidth="1"/>
    <col min="8" max="8" width="13.33203125" bestFit="1" customWidth="1"/>
  </cols>
  <sheetData>
    <row r="4" spans="3:8" x14ac:dyDescent="0.3">
      <c r="C4" s="56" t="s">
        <v>148</v>
      </c>
      <c r="D4" s="56" t="s">
        <v>149</v>
      </c>
      <c r="E4" s="56" t="s">
        <v>24</v>
      </c>
      <c r="F4" s="56" t="s">
        <v>64</v>
      </c>
      <c r="G4" s="56" t="s">
        <v>150</v>
      </c>
      <c r="H4" s="56" t="s">
        <v>151</v>
      </c>
    </row>
    <row r="5" spans="3:8" x14ac:dyDescent="0.3">
      <c r="C5" s="4" t="s">
        <v>152</v>
      </c>
      <c r="D5" s="4" t="s">
        <v>153</v>
      </c>
      <c r="E5" s="4" t="s">
        <v>154</v>
      </c>
      <c r="F5" s="4" t="s">
        <v>66</v>
      </c>
      <c r="G5" s="4">
        <v>1500</v>
      </c>
      <c r="H5" s="4">
        <v>150000</v>
      </c>
    </row>
    <row r="6" spans="3:8" x14ac:dyDescent="0.3">
      <c r="C6" s="4" t="s">
        <v>60</v>
      </c>
      <c r="D6" s="4" t="s">
        <v>155</v>
      </c>
      <c r="E6" s="4" t="s">
        <v>156</v>
      </c>
      <c r="F6" s="4" t="s">
        <v>72</v>
      </c>
      <c r="G6" s="4">
        <v>100</v>
      </c>
      <c r="H6" s="4">
        <v>73000</v>
      </c>
    </row>
    <row r="7" spans="3:8" x14ac:dyDescent="0.3">
      <c r="C7" s="4" t="s">
        <v>152</v>
      </c>
      <c r="D7" s="4" t="s">
        <v>157</v>
      </c>
      <c r="E7" s="4" t="s">
        <v>158</v>
      </c>
      <c r="F7" s="4" t="s">
        <v>67</v>
      </c>
      <c r="G7" s="4">
        <v>50</v>
      </c>
      <c r="H7" s="4">
        <v>40000</v>
      </c>
    </row>
    <row r="8" spans="3:8" x14ac:dyDescent="0.3">
      <c r="C8" s="4" t="s">
        <v>159</v>
      </c>
      <c r="D8" s="4" t="s">
        <v>160</v>
      </c>
      <c r="E8" s="4" t="s">
        <v>154</v>
      </c>
      <c r="F8" s="4" t="s">
        <v>68</v>
      </c>
      <c r="G8" s="4">
        <v>1200</v>
      </c>
      <c r="H8" s="4">
        <v>120000</v>
      </c>
    </row>
    <row r="9" spans="3:8" x14ac:dyDescent="0.3">
      <c r="C9" s="4" t="s">
        <v>161</v>
      </c>
      <c r="D9" s="4" t="s">
        <v>162</v>
      </c>
      <c r="E9" s="4" t="s">
        <v>158</v>
      </c>
      <c r="F9" s="4" t="s">
        <v>70</v>
      </c>
      <c r="G9" s="4">
        <v>80</v>
      </c>
      <c r="H9" s="4">
        <v>80000</v>
      </c>
    </row>
    <row r="10" spans="3:8" x14ac:dyDescent="0.3">
      <c r="C10" s="4" t="s">
        <v>163</v>
      </c>
      <c r="D10" s="4" t="s">
        <v>164</v>
      </c>
      <c r="E10" s="4" t="s">
        <v>156</v>
      </c>
      <c r="F10" s="4" t="s">
        <v>73</v>
      </c>
      <c r="G10" s="4">
        <v>120</v>
      </c>
      <c r="H10" s="4">
        <v>250000</v>
      </c>
    </row>
    <row r="11" spans="3:8" x14ac:dyDescent="0.3">
      <c r="C11" s="4" t="s">
        <v>165</v>
      </c>
      <c r="D11" s="4" t="s">
        <v>166</v>
      </c>
      <c r="E11" s="4" t="s">
        <v>154</v>
      </c>
      <c r="F11" s="4" t="s">
        <v>71</v>
      </c>
      <c r="G11" s="4">
        <v>1700</v>
      </c>
      <c r="H11" s="4">
        <v>170000</v>
      </c>
    </row>
    <row r="12" spans="3:8" x14ac:dyDescent="0.3">
      <c r="C12" s="4" t="s">
        <v>161</v>
      </c>
      <c r="D12" s="4" t="s">
        <v>167</v>
      </c>
      <c r="E12" s="4" t="s">
        <v>158</v>
      </c>
      <c r="F12" s="4" t="s">
        <v>72</v>
      </c>
      <c r="G12" s="4">
        <v>90</v>
      </c>
      <c r="H12" s="4">
        <v>220000</v>
      </c>
    </row>
    <row r="13" spans="3:8" x14ac:dyDescent="0.3">
      <c r="C13" s="4" t="s">
        <v>161</v>
      </c>
      <c r="D13" s="4" t="s">
        <v>168</v>
      </c>
      <c r="E13" s="4" t="s">
        <v>154</v>
      </c>
      <c r="F13" s="4" t="s">
        <v>69</v>
      </c>
      <c r="G13" s="4">
        <v>1600</v>
      </c>
      <c r="H13" s="4">
        <v>160000</v>
      </c>
    </row>
    <row r="14" spans="3:8" x14ac:dyDescent="0.3">
      <c r="C14" s="4" t="s">
        <v>163</v>
      </c>
      <c r="D14" s="4" t="s">
        <v>169</v>
      </c>
      <c r="E14" s="4" t="s">
        <v>156</v>
      </c>
      <c r="F14" s="4" t="s">
        <v>66</v>
      </c>
      <c r="G14" s="4">
        <v>150</v>
      </c>
      <c r="H14" s="4">
        <v>300000</v>
      </c>
    </row>
    <row r="15" spans="3:8" x14ac:dyDescent="0.3">
      <c r="C15" s="4" t="s">
        <v>152</v>
      </c>
      <c r="D15" s="4" t="s">
        <v>153</v>
      </c>
      <c r="E15" s="4" t="s">
        <v>156</v>
      </c>
      <c r="F15" s="4" t="s">
        <v>67</v>
      </c>
      <c r="G15" s="4">
        <v>1500</v>
      </c>
      <c r="H15" s="4">
        <v>150000</v>
      </c>
    </row>
    <row r="16" spans="3:8" x14ac:dyDescent="0.3">
      <c r="C16" s="4" t="s">
        <v>60</v>
      </c>
      <c r="D16" s="4" t="s">
        <v>155</v>
      </c>
      <c r="E16" s="4" t="s">
        <v>158</v>
      </c>
      <c r="F16" s="4" t="s">
        <v>68</v>
      </c>
      <c r="G16" s="4">
        <v>100</v>
      </c>
      <c r="H16" s="4">
        <v>73000</v>
      </c>
    </row>
    <row r="17" spans="3:8" x14ac:dyDescent="0.3">
      <c r="C17" s="4" t="s">
        <v>152</v>
      </c>
      <c r="D17" s="4" t="s">
        <v>157</v>
      </c>
      <c r="E17" s="4" t="s">
        <v>156</v>
      </c>
      <c r="F17" s="4" t="s">
        <v>69</v>
      </c>
      <c r="G17" s="4">
        <v>70</v>
      </c>
      <c r="H17" s="4">
        <v>50000</v>
      </c>
    </row>
    <row r="18" spans="3:8" x14ac:dyDescent="0.3">
      <c r="C18" s="4" t="s">
        <v>159</v>
      </c>
      <c r="D18" s="4" t="s">
        <v>160</v>
      </c>
      <c r="E18" s="4" t="s">
        <v>158</v>
      </c>
      <c r="F18" s="4" t="s">
        <v>70</v>
      </c>
      <c r="G18" s="4">
        <v>1300</v>
      </c>
      <c r="H18" s="4">
        <v>130000</v>
      </c>
    </row>
    <row r="19" spans="3:8" x14ac:dyDescent="0.3">
      <c r="C19" s="4" t="s">
        <v>161</v>
      </c>
      <c r="D19" s="4" t="s">
        <v>162</v>
      </c>
      <c r="E19" s="4" t="s">
        <v>154</v>
      </c>
      <c r="F19" s="4" t="s">
        <v>71</v>
      </c>
      <c r="G19" s="4">
        <v>90</v>
      </c>
      <c r="H19" s="4">
        <v>90000</v>
      </c>
    </row>
    <row r="20" spans="3:8" x14ac:dyDescent="0.3">
      <c r="C20" s="4" t="s">
        <v>163</v>
      </c>
      <c r="D20" s="4" t="s">
        <v>164</v>
      </c>
      <c r="E20" s="4" t="s">
        <v>158</v>
      </c>
      <c r="F20" s="4" t="s">
        <v>72</v>
      </c>
      <c r="G20" s="4">
        <v>150</v>
      </c>
      <c r="H20" s="4">
        <v>250000</v>
      </c>
    </row>
    <row r="21" spans="3:8" x14ac:dyDescent="0.3">
      <c r="C21" s="4" t="s">
        <v>165</v>
      </c>
      <c r="D21" s="4" t="s">
        <v>166</v>
      </c>
      <c r="E21" s="4" t="s">
        <v>156</v>
      </c>
      <c r="F21" s="4" t="s">
        <v>73</v>
      </c>
      <c r="G21" s="4">
        <v>1900</v>
      </c>
      <c r="H21" s="4">
        <v>210000</v>
      </c>
    </row>
    <row r="22" spans="3:8" x14ac:dyDescent="0.3">
      <c r="C22" s="4" t="s">
        <v>161</v>
      </c>
      <c r="D22" s="4" t="s">
        <v>167</v>
      </c>
      <c r="E22" s="4" t="s">
        <v>154</v>
      </c>
      <c r="F22" s="4" t="s">
        <v>74</v>
      </c>
      <c r="G22" s="4">
        <v>110</v>
      </c>
      <c r="H22" s="4">
        <v>240000</v>
      </c>
    </row>
    <row r="23" spans="3:8" x14ac:dyDescent="0.3">
      <c r="C23" s="4" t="s">
        <v>161</v>
      </c>
      <c r="D23" s="4" t="s">
        <v>168</v>
      </c>
      <c r="E23" s="4" t="s">
        <v>158</v>
      </c>
      <c r="F23" s="4" t="s">
        <v>75</v>
      </c>
      <c r="G23" s="4">
        <v>1600</v>
      </c>
      <c r="H23" s="4">
        <v>160000</v>
      </c>
    </row>
    <row r="24" spans="3:8" x14ac:dyDescent="0.3">
      <c r="C24" s="4" t="s">
        <v>163</v>
      </c>
      <c r="D24" s="4" t="s">
        <v>169</v>
      </c>
      <c r="E24" s="4" t="s">
        <v>154</v>
      </c>
      <c r="F24" s="4" t="s">
        <v>76</v>
      </c>
      <c r="G24" s="4">
        <v>150</v>
      </c>
      <c r="H24" s="4">
        <v>300000</v>
      </c>
    </row>
    <row r="25" spans="3:8" x14ac:dyDescent="0.3">
      <c r="C25" s="4" t="s">
        <v>152</v>
      </c>
      <c r="D25" s="4" t="s">
        <v>153</v>
      </c>
      <c r="E25" s="4" t="s">
        <v>154</v>
      </c>
      <c r="F25" s="4" t="s">
        <v>66</v>
      </c>
      <c r="G25" s="4">
        <v>1500</v>
      </c>
      <c r="H25" s="4">
        <v>150000</v>
      </c>
    </row>
    <row r="26" spans="3:8" x14ac:dyDescent="0.3">
      <c r="C26" s="4" t="s">
        <v>60</v>
      </c>
      <c r="D26" s="4" t="s">
        <v>155</v>
      </c>
      <c r="E26" s="4" t="s">
        <v>156</v>
      </c>
      <c r="F26" s="4" t="s">
        <v>72</v>
      </c>
      <c r="G26" s="4">
        <v>140</v>
      </c>
      <c r="H26" s="4">
        <v>270000</v>
      </c>
    </row>
    <row r="27" spans="3:8" x14ac:dyDescent="0.3">
      <c r="C27" s="4" t="s">
        <v>152</v>
      </c>
      <c r="D27" s="4" t="s">
        <v>157</v>
      </c>
      <c r="E27" s="4" t="s">
        <v>158</v>
      </c>
      <c r="F27" s="4" t="s">
        <v>67</v>
      </c>
      <c r="G27" s="4">
        <v>60</v>
      </c>
      <c r="H27" s="4">
        <v>60000</v>
      </c>
    </row>
    <row r="28" spans="3:8" x14ac:dyDescent="0.3">
      <c r="C28" s="4" t="s">
        <v>159</v>
      </c>
      <c r="D28" s="4" t="s">
        <v>160</v>
      </c>
      <c r="E28" s="4" t="s">
        <v>154</v>
      </c>
      <c r="F28" s="4" t="s">
        <v>68</v>
      </c>
      <c r="G28" s="4">
        <v>1200</v>
      </c>
      <c r="H28" s="4">
        <v>120000</v>
      </c>
    </row>
    <row r="29" spans="3:8" x14ac:dyDescent="0.3">
      <c r="C29" s="4" t="s">
        <v>161</v>
      </c>
      <c r="D29" s="4" t="s">
        <v>162</v>
      </c>
      <c r="E29" s="4" t="s">
        <v>158</v>
      </c>
      <c r="F29" s="4" t="s">
        <v>70</v>
      </c>
      <c r="G29" s="4">
        <v>85</v>
      </c>
      <c r="H29" s="4">
        <v>950000</v>
      </c>
    </row>
    <row r="30" spans="3:8" x14ac:dyDescent="0.3">
      <c r="C30" s="4" t="s">
        <v>163</v>
      </c>
      <c r="D30" s="4" t="s">
        <v>164</v>
      </c>
      <c r="E30" s="4" t="s">
        <v>156</v>
      </c>
      <c r="F30" s="4" t="s">
        <v>73</v>
      </c>
      <c r="G30" s="4">
        <v>100</v>
      </c>
      <c r="H30" s="4">
        <v>250000</v>
      </c>
    </row>
    <row r="31" spans="3:8" x14ac:dyDescent="0.3">
      <c r="C31" s="4" t="s">
        <v>165</v>
      </c>
      <c r="D31" s="4" t="s">
        <v>166</v>
      </c>
      <c r="E31" s="4" t="s">
        <v>154</v>
      </c>
      <c r="F31" s="4" t="s">
        <v>71</v>
      </c>
      <c r="G31" s="4">
        <v>1450</v>
      </c>
      <c r="H31" s="4">
        <v>178000</v>
      </c>
    </row>
    <row r="32" spans="3:8" x14ac:dyDescent="0.3">
      <c r="C32" s="4" t="s">
        <v>161</v>
      </c>
      <c r="D32" s="4" t="s">
        <v>167</v>
      </c>
      <c r="E32" s="4" t="s">
        <v>158</v>
      </c>
      <c r="F32" s="4" t="s">
        <v>72</v>
      </c>
      <c r="G32" s="4">
        <v>60</v>
      </c>
      <c r="H32" s="4">
        <v>220000</v>
      </c>
    </row>
    <row r="33" spans="3:8" x14ac:dyDescent="0.3">
      <c r="C33" s="4" t="s">
        <v>161</v>
      </c>
      <c r="D33" s="4" t="s">
        <v>168</v>
      </c>
      <c r="E33" s="4" t="s">
        <v>154</v>
      </c>
      <c r="F33" s="4" t="s">
        <v>69</v>
      </c>
      <c r="G33" s="4">
        <v>1550</v>
      </c>
      <c r="H33" s="4">
        <v>150000</v>
      </c>
    </row>
    <row r="34" spans="3:8" x14ac:dyDescent="0.3">
      <c r="C34" s="4" t="s">
        <v>163</v>
      </c>
      <c r="D34" s="4" t="s">
        <v>169</v>
      </c>
      <c r="E34" s="4" t="s">
        <v>156</v>
      </c>
      <c r="F34" s="4" t="s">
        <v>66</v>
      </c>
      <c r="G34" s="4">
        <v>210</v>
      </c>
      <c r="H34" s="4">
        <v>450000</v>
      </c>
    </row>
    <row r="35" spans="3:8" x14ac:dyDescent="0.3">
      <c r="C35" s="4" t="s">
        <v>152</v>
      </c>
      <c r="D35" s="4" t="s">
        <v>153</v>
      </c>
      <c r="E35" s="4" t="s">
        <v>156</v>
      </c>
      <c r="F35" s="4" t="s">
        <v>67</v>
      </c>
      <c r="G35" s="4">
        <v>1800</v>
      </c>
      <c r="H35" s="4">
        <v>200000</v>
      </c>
    </row>
    <row r="36" spans="3:8" x14ac:dyDescent="0.3">
      <c r="C36" s="4" t="s">
        <v>60</v>
      </c>
      <c r="D36" s="4" t="s">
        <v>155</v>
      </c>
      <c r="E36" s="4" t="s">
        <v>154</v>
      </c>
      <c r="F36" s="4" t="s">
        <v>68</v>
      </c>
      <c r="G36" s="4">
        <v>1400</v>
      </c>
      <c r="H36" s="4">
        <v>280000</v>
      </c>
    </row>
    <row r="37" spans="3:8" x14ac:dyDescent="0.3">
      <c r="C37" s="4" t="s">
        <v>152</v>
      </c>
      <c r="D37" s="4" t="s">
        <v>157</v>
      </c>
      <c r="E37" s="4" t="s">
        <v>156</v>
      </c>
      <c r="F37" s="4" t="s">
        <v>69</v>
      </c>
      <c r="G37" s="4">
        <v>75</v>
      </c>
      <c r="H37" s="4">
        <v>75000</v>
      </c>
    </row>
    <row r="38" spans="3:8" x14ac:dyDescent="0.3">
      <c r="C38" s="4" t="s">
        <v>159</v>
      </c>
      <c r="D38" s="4" t="s">
        <v>160</v>
      </c>
      <c r="E38" s="4" t="s">
        <v>158</v>
      </c>
      <c r="F38" s="4" t="s">
        <v>70</v>
      </c>
      <c r="G38" s="4">
        <v>120</v>
      </c>
      <c r="H38" s="4">
        <v>275000</v>
      </c>
    </row>
    <row r="39" spans="3:8" x14ac:dyDescent="0.3">
      <c r="C39" s="4" t="s">
        <v>161</v>
      </c>
      <c r="D39" s="4" t="s">
        <v>162</v>
      </c>
      <c r="E39" s="4" t="s">
        <v>154</v>
      </c>
      <c r="F39" s="4" t="s">
        <v>71</v>
      </c>
      <c r="G39" s="4">
        <v>2000</v>
      </c>
      <c r="H39" s="4">
        <v>250000</v>
      </c>
    </row>
    <row r="40" spans="3:8" x14ac:dyDescent="0.3">
      <c r="C40" s="4" t="s">
        <v>163</v>
      </c>
      <c r="D40" s="4" t="s">
        <v>164</v>
      </c>
      <c r="E40" s="4" t="s">
        <v>158</v>
      </c>
      <c r="F40" s="4" t="s">
        <v>72</v>
      </c>
      <c r="G40" s="4">
        <v>120</v>
      </c>
      <c r="H40" s="4">
        <v>250000</v>
      </c>
    </row>
    <row r="41" spans="3:8" x14ac:dyDescent="0.3">
      <c r="C41" s="4" t="s">
        <v>165</v>
      </c>
      <c r="D41" s="4" t="s">
        <v>166</v>
      </c>
      <c r="E41" s="4" t="s">
        <v>158</v>
      </c>
      <c r="F41" s="4" t="s">
        <v>73</v>
      </c>
      <c r="G41" s="4">
        <v>400</v>
      </c>
      <c r="H41" s="4">
        <v>170000</v>
      </c>
    </row>
    <row r="42" spans="3:8" x14ac:dyDescent="0.3">
      <c r="C42" s="4" t="s">
        <v>161</v>
      </c>
      <c r="D42" s="4" t="s">
        <v>167</v>
      </c>
      <c r="E42" s="4" t="s">
        <v>154</v>
      </c>
      <c r="F42" s="4" t="s">
        <v>74</v>
      </c>
      <c r="G42" s="4">
        <v>90</v>
      </c>
      <c r="H42" s="4">
        <v>220000</v>
      </c>
    </row>
    <row r="43" spans="3:8" x14ac:dyDescent="0.3">
      <c r="C43" s="4" t="s">
        <v>161</v>
      </c>
      <c r="D43" s="4" t="s">
        <v>168</v>
      </c>
      <c r="E43" s="4" t="s">
        <v>158</v>
      </c>
      <c r="F43" s="4" t="s">
        <v>75</v>
      </c>
      <c r="G43" s="4">
        <v>1600</v>
      </c>
      <c r="H43" s="4">
        <v>160000</v>
      </c>
    </row>
    <row r="44" spans="3:8" x14ac:dyDescent="0.3">
      <c r="C44" s="4" t="s">
        <v>163</v>
      </c>
      <c r="D44" s="4" t="s">
        <v>169</v>
      </c>
      <c r="E44" s="4" t="s">
        <v>154</v>
      </c>
      <c r="F44" s="4" t="s">
        <v>76</v>
      </c>
      <c r="G44" s="4">
        <v>150</v>
      </c>
      <c r="H44" s="4">
        <v>300000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9:L18"/>
  <sheetViews>
    <sheetView tabSelected="1" topLeftCell="A16" workbookViewId="0">
      <selection activeCell="O15" sqref="O15"/>
    </sheetView>
  </sheetViews>
  <sheetFormatPr defaultRowHeight="14.4" x14ac:dyDescent="0.3"/>
  <cols>
    <col min="4" max="4" width="19.6640625" customWidth="1"/>
    <col min="5" max="5" width="9.6640625" customWidth="1"/>
    <col min="6" max="6" width="12.109375" customWidth="1"/>
    <col min="7" max="7" width="15.44140625" customWidth="1"/>
    <col min="8" max="8" width="15.109375" customWidth="1"/>
    <col min="9" max="9" width="12.5546875" customWidth="1"/>
    <col min="10" max="10" width="12.6640625" customWidth="1"/>
    <col min="12" max="12" width="12.109375" customWidth="1"/>
  </cols>
  <sheetData>
    <row r="9" spans="3:12" ht="45.6" x14ac:dyDescent="0.75">
      <c r="C9" s="86" t="s">
        <v>110</v>
      </c>
      <c r="D9" s="86"/>
      <c r="E9" s="86"/>
      <c r="F9" s="86"/>
      <c r="G9" s="86"/>
      <c r="H9" s="86"/>
      <c r="I9" s="86"/>
      <c r="J9" s="86"/>
      <c r="K9" s="86"/>
      <c r="L9" s="86"/>
    </row>
    <row r="10" spans="3:12" x14ac:dyDescent="0.3">
      <c r="C10" s="10"/>
      <c r="D10" s="10"/>
      <c r="E10" s="10"/>
      <c r="F10" s="10"/>
      <c r="G10" s="10"/>
      <c r="H10" s="10"/>
      <c r="I10" s="10"/>
      <c r="J10" s="10"/>
      <c r="K10" s="10"/>
      <c r="L10" s="10"/>
    </row>
    <row r="11" spans="3:12" ht="21" x14ac:dyDescent="0.4">
      <c r="C11" s="10"/>
      <c r="D11" s="10"/>
      <c r="E11" s="10"/>
      <c r="F11" s="10"/>
      <c r="G11" s="10"/>
      <c r="H11" s="10"/>
      <c r="I11" s="10"/>
      <c r="J11" s="10"/>
      <c r="K11" s="75" t="s">
        <v>111</v>
      </c>
      <c r="L11" s="75"/>
    </row>
    <row r="12" spans="3:12" ht="34.799999999999997" x14ac:dyDescent="0.3">
      <c r="C12" s="33" t="s">
        <v>0</v>
      </c>
      <c r="D12" s="33" t="s">
        <v>96</v>
      </c>
      <c r="E12" s="33" t="s">
        <v>97</v>
      </c>
      <c r="F12" s="33" t="s">
        <v>98</v>
      </c>
      <c r="G12" s="33" t="s">
        <v>99</v>
      </c>
      <c r="H12" s="33" t="s">
        <v>100</v>
      </c>
      <c r="I12" s="33" t="s">
        <v>101</v>
      </c>
      <c r="J12" s="33" t="s">
        <v>102</v>
      </c>
      <c r="K12" s="33" t="s">
        <v>109</v>
      </c>
      <c r="L12" s="33" t="s">
        <v>103</v>
      </c>
    </row>
    <row r="13" spans="3:12" ht="24.9" customHeight="1" x14ac:dyDescent="0.3">
      <c r="C13" s="3">
        <v>1</v>
      </c>
      <c r="D13" s="43" t="s">
        <v>104</v>
      </c>
      <c r="E13" s="3">
        <v>1250</v>
      </c>
      <c r="F13" s="3">
        <v>1000</v>
      </c>
      <c r="G13" s="3">
        <f>E13-F13</f>
        <v>250</v>
      </c>
      <c r="H13" s="3">
        <f>IF(G13&lt;100,G13*10,IF(G13&lt;=200,100*10+(G13-100)*15,100*10+100*15+(G13-200)*18))</f>
        <v>3400</v>
      </c>
      <c r="I13" s="3">
        <v>500</v>
      </c>
      <c r="J13" s="3">
        <v>25</v>
      </c>
      <c r="K13" s="3">
        <f>H13*5%</f>
        <v>170</v>
      </c>
      <c r="L13" s="3">
        <f>SUM(H13:K13)</f>
        <v>4095</v>
      </c>
    </row>
    <row r="14" spans="3:12" ht="24.9" customHeight="1" x14ac:dyDescent="0.3">
      <c r="C14" s="3">
        <v>2</v>
      </c>
      <c r="D14" s="43" t="s">
        <v>105</v>
      </c>
      <c r="E14" s="3">
        <v>2010</v>
      </c>
      <c r="F14" s="3">
        <v>1800</v>
      </c>
      <c r="G14" s="3">
        <f t="shared" ref="G14:G17" si="0">E14-F14</f>
        <v>210</v>
      </c>
      <c r="H14" s="3">
        <f t="shared" ref="H14:H17" si="1">IF(G14&lt;100,G14*10,IF(G14&lt;=200,100*10+(G14-100)*15,100*10+100*15+(G14-200)*18))</f>
        <v>2680</v>
      </c>
      <c r="I14" s="3">
        <v>500</v>
      </c>
      <c r="J14" s="3">
        <v>25</v>
      </c>
      <c r="K14" s="3">
        <f t="shared" ref="K14:K17" si="2">H14*5%</f>
        <v>134</v>
      </c>
      <c r="L14" s="3">
        <f t="shared" ref="L14:L17" si="3">SUM(H14:K14)</f>
        <v>3339</v>
      </c>
    </row>
    <row r="15" spans="3:12" ht="24.9" customHeight="1" x14ac:dyDescent="0.3">
      <c r="C15" s="3">
        <v>3</v>
      </c>
      <c r="D15" s="43" t="s">
        <v>106</v>
      </c>
      <c r="E15" s="3">
        <v>1350</v>
      </c>
      <c r="F15" s="3">
        <v>1275</v>
      </c>
      <c r="G15" s="3">
        <f t="shared" si="0"/>
        <v>75</v>
      </c>
      <c r="H15" s="3">
        <f t="shared" si="1"/>
        <v>750</v>
      </c>
      <c r="I15" s="3">
        <v>500</v>
      </c>
      <c r="J15" s="3">
        <v>25</v>
      </c>
      <c r="K15" s="3">
        <f t="shared" si="2"/>
        <v>37.5</v>
      </c>
      <c r="L15" s="3">
        <f t="shared" si="3"/>
        <v>1312.5</v>
      </c>
    </row>
    <row r="16" spans="3:12" ht="24.9" customHeight="1" x14ac:dyDescent="0.3">
      <c r="C16" s="3">
        <v>4</v>
      </c>
      <c r="D16" s="43" t="s">
        <v>107</v>
      </c>
      <c r="E16" s="3">
        <v>4400</v>
      </c>
      <c r="F16" s="3">
        <v>4000</v>
      </c>
      <c r="G16" s="3">
        <f t="shared" si="0"/>
        <v>400</v>
      </c>
      <c r="H16" s="3">
        <f t="shared" si="1"/>
        <v>6100</v>
      </c>
      <c r="I16" s="3">
        <v>500</v>
      </c>
      <c r="J16" s="3">
        <v>25</v>
      </c>
      <c r="K16" s="3">
        <f t="shared" si="2"/>
        <v>305</v>
      </c>
      <c r="L16" s="3">
        <f t="shared" si="3"/>
        <v>6930</v>
      </c>
    </row>
    <row r="17" spans="3:12" ht="24.9" customHeight="1" x14ac:dyDescent="0.3">
      <c r="C17" s="3">
        <v>5</v>
      </c>
      <c r="D17" s="43" t="s">
        <v>108</v>
      </c>
      <c r="E17" s="3">
        <v>3250</v>
      </c>
      <c r="F17" s="3">
        <v>3150</v>
      </c>
      <c r="G17" s="3">
        <f t="shared" si="0"/>
        <v>100</v>
      </c>
      <c r="H17" s="3">
        <f t="shared" si="1"/>
        <v>1000</v>
      </c>
      <c r="I17" s="3">
        <v>500</v>
      </c>
      <c r="J17" s="3">
        <v>25</v>
      </c>
      <c r="K17" s="3">
        <f t="shared" si="2"/>
        <v>50</v>
      </c>
      <c r="L17" s="3">
        <f t="shared" si="3"/>
        <v>1575</v>
      </c>
    </row>
    <row r="18" spans="3:12" ht="24.9" customHeight="1" x14ac:dyDescent="0.3"/>
  </sheetData>
  <mergeCells count="2">
    <mergeCell ref="C9:L9"/>
    <mergeCell ref="K11:L1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E5:J34"/>
  <sheetViews>
    <sheetView topLeftCell="C2" workbookViewId="0">
      <selection activeCell="N30" sqref="N30"/>
    </sheetView>
  </sheetViews>
  <sheetFormatPr defaultColWidth="9.109375" defaultRowHeight="13.8" x14ac:dyDescent="0.25"/>
  <cols>
    <col min="1" max="4" width="9.109375" style="10"/>
    <col min="5" max="5" width="18.109375" style="10" bestFit="1" customWidth="1"/>
    <col min="6" max="6" width="12.6640625" style="10" bestFit="1" customWidth="1"/>
    <col min="7" max="7" width="18.44140625" style="10" bestFit="1" customWidth="1"/>
    <col min="8" max="8" width="10.109375" style="10" bestFit="1" customWidth="1"/>
    <col min="9" max="9" width="18.5546875" style="13" bestFit="1" customWidth="1"/>
    <col min="10" max="10" width="17.5546875" style="10" bestFit="1" customWidth="1"/>
    <col min="11" max="16384" width="9.109375" style="10"/>
  </cols>
  <sheetData>
    <row r="5" spans="5:10" s="15" customFormat="1" ht="18" x14ac:dyDescent="0.35">
      <c r="E5" s="34" t="s">
        <v>148</v>
      </c>
      <c r="F5" s="34" t="s">
        <v>149</v>
      </c>
      <c r="G5" s="34" t="s">
        <v>24</v>
      </c>
      <c r="H5" s="34" t="s">
        <v>64</v>
      </c>
      <c r="I5" s="34" t="s">
        <v>150</v>
      </c>
      <c r="J5" s="34" t="s">
        <v>151</v>
      </c>
    </row>
    <row r="6" spans="5:10" ht="15.6" x14ac:dyDescent="0.25">
      <c r="E6" s="59" t="s">
        <v>152</v>
      </c>
      <c r="F6" s="11" t="s">
        <v>153</v>
      </c>
      <c r="G6" s="11" t="s">
        <v>154</v>
      </c>
      <c r="H6" s="11" t="s">
        <v>66</v>
      </c>
      <c r="I6" s="11">
        <v>1500</v>
      </c>
      <c r="J6" s="60">
        <v>150000</v>
      </c>
    </row>
    <row r="7" spans="5:10" ht="15.6" x14ac:dyDescent="0.25">
      <c r="E7" s="59" t="s">
        <v>60</v>
      </c>
      <c r="F7" s="11" t="s">
        <v>155</v>
      </c>
      <c r="G7" s="11" t="s">
        <v>156</v>
      </c>
      <c r="H7" s="11" t="s">
        <v>72</v>
      </c>
      <c r="I7" s="11">
        <v>100</v>
      </c>
      <c r="J7" s="60">
        <v>73000</v>
      </c>
    </row>
    <row r="8" spans="5:10" ht="15.6" x14ac:dyDescent="0.25">
      <c r="E8" s="59" t="s">
        <v>152</v>
      </c>
      <c r="F8" s="11" t="s">
        <v>157</v>
      </c>
      <c r="G8" s="11" t="s">
        <v>158</v>
      </c>
      <c r="H8" s="11" t="s">
        <v>67</v>
      </c>
      <c r="I8" s="11">
        <v>50</v>
      </c>
      <c r="J8" s="60">
        <v>40000</v>
      </c>
    </row>
    <row r="9" spans="5:10" ht="15.6" x14ac:dyDescent="0.25">
      <c r="E9" s="59" t="s">
        <v>159</v>
      </c>
      <c r="F9" s="11" t="s">
        <v>160</v>
      </c>
      <c r="G9" s="11" t="s">
        <v>154</v>
      </c>
      <c r="H9" s="11" t="s">
        <v>68</v>
      </c>
      <c r="I9" s="11">
        <v>1200</v>
      </c>
      <c r="J9" s="60">
        <v>120000</v>
      </c>
    </row>
    <row r="10" spans="5:10" ht="15.6" x14ac:dyDescent="0.25">
      <c r="E10" s="59" t="s">
        <v>161</v>
      </c>
      <c r="F10" s="11" t="s">
        <v>162</v>
      </c>
      <c r="G10" s="11" t="s">
        <v>158</v>
      </c>
      <c r="H10" s="11" t="s">
        <v>70</v>
      </c>
      <c r="I10" s="11">
        <v>80</v>
      </c>
      <c r="J10" s="60">
        <v>80000</v>
      </c>
    </row>
    <row r="11" spans="5:10" ht="15.6" x14ac:dyDescent="0.25">
      <c r="E11" s="59" t="s">
        <v>163</v>
      </c>
      <c r="F11" s="11" t="s">
        <v>164</v>
      </c>
      <c r="G11" s="11" t="s">
        <v>156</v>
      </c>
      <c r="H11" s="11" t="s">
        <v>73</v>
      </c>
      <c r="I11" s="11">
        <v>120</v>
      </c>
      <c r="J11" s="60">
        <v>250000</v>
      </c>
    </row>
    <row r="12" spans="5:10" ht="15.6" x14ac:dyDescent="0.25">
      <c r="E12" s="59" t="s">
        <v>165</v>
      </c>
      <c r="F12" s="11" t="s">
        <v>166</v>
      </c>
      <c r="G12" s="11" t="s">
        <v>154</v>
      </c>
      <c r="H12" s="11" t="s">
        <v>71</v>
      </c>
      <c r="I12" s="11">
        <v>1700</v>
      </c>
      <c r="J12" s="60">
        <v>170000</v>
      </c>
    </row>
    <row r="13" spans="5:10" ht="15.6" x14ac:dyDescent="0.25">
      <c r="E13" s="59" t="s">
        <v>161</v>
      </c>
      <c r="F13" s="11" t="s">
        <v>167</v>
      </c>
      <c r="G13" s="11" t="s">
        <v>158</v>
      </c>
      <c r="H13" s="11" t="s">
        <v>72</v>
      </c>
      <c r="I13" s="11">
        <v>90</v>
      </c>
      <c r="J13" s="60">
        <v>220000</v>
      </c>
    </row>
    <row r="14" spans="5:10" ht="15.6" x14ac:dyDescent="0.25">
      <c r="E14" s="59" t="s">
        <v>161</v>
      </c>
      <c r="F14" s="11" t="s">
        <v>168</v>
      </c>
      <c r="G14" s="11" t="s">
        <v>154</v>
      </c>
      <c r="H14" s="11" t="s">
        <v>69</v>
      </c>
      <c r="I14" s="11">
        <v>1600</v>
      </c>
      <c r="J14" s="60">
        <v>160000</v>
      </c>
    </row>
    <row r="15" spans="5:10" ht="15.6" x14ac:dyDescent="0.25">
      <c r="E15" s="59" t="s">
        <v>163</v>
      </c>
      <c r="F15" s="11" t="s">
        <v>169</v>
      </c>
      <c r="G15" s="11" t="s">
        <v>156</v>
      </c>
      <c r="H15" s="11" t="s">
        <v>66</v>
      </c>
      <c r="I15" s="11">
        <v>150</v>
      </c>
      <c r="J15" s="60">
        <v>300000</v>
      </c>
    </row>
    <row r="16" spans="5:10" ht="15.6" x14ac:dyDescent="0.25">
      <c r="E16" s="59" t="s">
        <v>152</v>
      </c>
      <c r="F16" s="11" t="s">
        <v>153</v>
      </c>
      <c r="G16" s="11" t="s">
        <v>156</v>
      </c>
      <c r="H16" s="11" t="s">
        <v>67</v>
      </c>
      <c r="I16" s="11">
        <v>1500</v>
      </c>
      <c r="J16" s="60">
        <v>150000</v>
      </c>
    </row>
    <row r="17" spans="5:10" ht="15.6" x14ac:dyDescent="0.25">
      <c r="E17" s="59" t="s">
        <v>60</v>
      </c>
      <c r="F17" s="11" t="s">
        <v>155</v>
      </c>
      <c r="G17" s="11" t="s">
        <v>158</v>
      </c>
      <c r="H17" s="11" t="s">
        <v>68</v>
      </c>
      <c r="I17" s="11">
        <v>100</v>
      </c>
      <c r="J17" s="60">
        <v>73000</v>
      </c>
    </row>
    <row r="18" spans="5:10" ht="15.6" x14ac:dyDescent="0.25">
      <c r="E18" s="59" t="s">
        <v>152</v>
      </c>
      <c r="F18" s="11" t="s">
        <v>157</v>
      </c>
      <c r="G18" s="11" t="s">
        <v>156</v>
      </c>
      <c r="H18" s="11" t="s">
        <v>69</v>
      </c>
      <c r="I18" s="11">
        <v>70</v>
      </c>
      <c r="J18" s="60">
        <v>50000</v>
      </c>
    </row>
    <row r="19" spans="5:10" ht="15.6" x14ac:dyDescent="0.25">
      <c r="E19" s="59" t="s">
        <v>159</v>
      </c>
      <c r="F19" s="11" t="s">
        <v>160</v>
      </c>
      <c r="G19" s="11" t="s">
        <v>158</v>
      </c>
      <c r="H19" s="11" t="s">
        <v>70</v>
      </c>
      <c r="I19" s="11">
        <v>1300</v>
      </c>
      <c r="J19" s="60">
        <v>130000</v>
      </c>
    </row>
    <row r="20" spans="5:10" ht="15.6" x14ac:dyDescent="0.25">
      <c r="E20" s="59" t="s">
        <v>161</v>
      </c>
      <c r="F20" s="11" t="s">
        <v>162</v>
      </c>
      <c r="G20" s="11" t="s">
        <v>154</v>
      </c>
      <c r="H20" s="11" t="s">
        <v>71</v>
      </c>
      <c r="I20" s="11">
        <v>90</v>
      </c>
      <c r="J20" s="60">
        <v>90000</v>
      </c>
    </row>
    <row r="21" spans="5:10" ht="15.6" x14ac:dyDescent="0.25">
      <c r="E21" s="59" t="s">
        <v>163</v>
      </c>
      <c r="F21" s="11" t="s">
        <v>164</v>
      </c>
      <c r="G21" s="11" t="s">
        <v>158</v>
      </c>
      <c r="H21" s="11" t="s">
        <v>72</v>
      </c>
      <c r="I21" s="11">
        <v>150</v>
      </c>
      <c r="J21" s="60">
        <v>250000</v>
      </c>
    </row>
    <row r="22" spans="5:10" ht="15.6" x14ac:dyDescent="0.25">
      <c r="E22" s="59" t="s">
        <v>165</v>
      </c>
      <c r="F22" s="11" t="s">
        <v>166</v>
      </c>
      <c r="G22" s="11" t="s">
        <v>156</v>
      </c>
      <c r="H22" s="11" t="s">
        <v>73</v>
      </c>
      <c r="I22" s="11">
        <v>1900</v>
      </c>
      <c r="J22" s="60">
        <v>210000</v>
      </c>
    </row>
    <row r="23" spans="5:10" ht="15.6" x14ac:dyDescent="0.25">
      <c r="E23" s="59" t="s">
        <v>161</v>
      </c>
      <c r="F23" s="11" t="s">
        <v>167</v>
      </c>
      <c r="G23" s="11" t="s">
        <v>154</v>
      </c>
      <c r="H23" s="11" t="s">
        <v>74</v>
      </c>
      <c r="I23" s="11">
        <v>110</v>
      </c>
      <c r="J23" s="60">
        <v>240000</v>
      </c>
    </row>
    <row r="24" spans="5:10" ht="15.6" x14ac:dyDescent="0.25">
      <c r="E24" s="59" t="s">
        <v>161</v>
      </c>
      <c r="F24" s="11" t="s">
        <v>168</v>
      </c>
      <c r="G24" s="11" t="s">
        <v>158</v>
      </c>
      <c r="H24" s="11" t="s">
        <v>75</v>
      </c>
      <c r="I24" s="11">
        <v>1600</v>
      </c>
      <c r="J24" s="60">
        <v>160000</v>
      </c>
    </row>
    <row r="25" spans="5:10" ht="15.6" x14ac:dyDescent="0.25">
      <c r="E25" s="59" t="s">
        <v>163</v>
      </c>
      <c r="F25" s="11" t="s">
        <v>169</v>
      </c>
      <c r="G25" s="11" t="s">
        <v>154</v>
      </c>
      <c r="H25" s="11" t="s">
        <v>76</v>
      </c>
      <c r="I25" s="11">
        <v>150</v>
      </c>
      <c r="J25" s="60">
        <v>300000</v>
      </c>
    </row>
    <row r="26" spans="5:10" ht="15.6" x14ac:dyDescent="0.25">
      <c r="E26" s="59" t="s">
        <v>152</v>
      </c>
      <c r="F26" s="11" t="s">
        <v>153</v>
      </c>
      <c r="G26" s="11" t="s">
        <v>154</v>
      </c>
      <c r="H26" s="11" t="s">
        <v>66</v>
      </c>
      <c r="I26" s="11">
        <v>1500</v>
      </c>
      <c r="J26" s="60">
        <v>150000</v>
      </c>
    </row>
    <row r="27" spans="5:10" ht="15.6" x14ac:dyDescent="0.25">
      <c r="E27" s="59" t="s">
        <v>60</v>
      </c>
      <c r="F27" s="11" t="s">
        <v>155</v>
      </c>
      <c r="G27" s="11" t="s">
        <v>156</v>
      </c>
      <c r="H27" s="11" t="s">
        <v>72</v>
      </c>
      <c r="I27" s="11">
        <v>140</v>
      </c>
      <c r="J27" s="60">
        <v>270000</v>
      </c>
    </row>
    <row r="28" spans="5:10" ht="15.6" x14ac:dyDescent="0.25">
      <c r="E28" s="59" t="s">
        <v>152</v>
      </c>
      <c r="F28" s="11" t="s">
        <v>157</v>
      </c>
      <c r="G28" s="11" t="s">
        <v>158</v>
      </c>
      <c r="H28" s="11" t="s">
        <v>67</v>
      </c>
      <c r="I28" s="11">
        <v>60</v>
      </c>
      <c r="J28" s="60">
        <v>60000</v>
      </c>
    </row>
    <row r="29" spans="5:10" ht="15.6" x14ac:dyDescent="0.25">
      <c r="E29" s="59" t="s">
        <v>159</v>
      </c>
      <c r="F29" s="11" t="s">
        <v>160</v>
      </c>
      <c r="G29" s="11" t="s">
        <v>154</v>
      </c>
      <c r="H29" s="11" t="s">
        <v>68</v>
      </c>
      <c r="I29" s="11">
        <v>1200</v>
      </c>
      <c r="J29" s="60">
        <v>120000</v>
      </c>
    </row>
    <row r="30" spans="5:10" ht="15.6" x14ac:dyDescent="0.25">
      <c r="E30" s="59" t="s">
        <v>161</v>
      </c>
      <c r="F30" s="11" t="s">
        <v>162</v>
      </c>
      <c r="G30" s="11" t="s">
        <v>158</v>
      </c>
      <c r="H30" s="11" t="s">
        <v>70</v>
      </c>
      <c r="I30" s="11">
        <v>85</v>
      </c>
      <c r="J30" s="60">
        <v>950000</v>
      </c>
    </row>
    <row r="31" spans="5:10" ht="15.6" x14ac:dyDescent="0.25">
      <c r="E31" s="59" t="s">
        <v>163</v>
      </c>
      <c r="F31" s="11" t="s">
        <v>164</v>
      </c>
      <c r="G31" s="11" t="s">
        <v>156</v>
      </c>
      <c r="H31" s="11" t="s">
        <v>73</v>
      </c>
      <c r="I31" s="11">
        <v>100</v>
      </c>
      <c r="J31" s="60">
        <v>250000</v>
      </c>
    </row>
    <row r="32" spans="5:10" ht="15.6" x14ac:dyDescent="0.25">
      <c r="E32" s="59" t="s">
        <v>165</v>
      </c>
      <c r="F32" s="11" t="s">
        <v>166</v>
      </c>
      <c r="G32" s="11" t="s">
        <v>154</v>
      </c>
      <c r="H32" s="11" t="s">
        <v>71</v>
      </c>
      <c r="I32" s="11">
        <v>1450</v>
      </c>
      <c r="J32" s="60">
        <v>178000</v>
      </c>
    </row>
    <row r="33" spans="5:10" ht="15.6" x14ac:dyDescent="0.25">
      <c r="E33" s="59" t="s">
        <v>161</v>
      </c>
      <c r="F33" s="11" t="s">
        <v>167</v>
      </c>
      <c r="G33" s="11" t="s">
        <v>158</v>
      </c>
      <c r="H33" s="11" t="s">
        <v>72</v>
      </c>
      <c r="I33" s="11">
        <v>60</v>
      </c>
      <c r="J33" s="60">
        <v>220000</v>
      </c>
    </row>
    <row r="34" spans="5:10" s="62" customFormat="1" ht="15.6" x14ac:dyDescent="0.3">
      <c r="E34" s="95" t="s">
        <v>50</v>
      </c>
      <c r="F34" s="96"/>
      <c r="G34" s="96"/>
      <c r="H34" s="97"/>
      <c r="I34" s="61">
        <f>SUM(I6:I33)</f>
        <v>18155</v>
      </c>
      <c r="J34" s="61">
        <f>SUM(J6:J33)</f>
        <v>5414000</v>
      </c>
    </row>
  </sheetData>
  <mergeCells count="1">
    <mergeCell ref="E34:H3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C4:K15"/>
  <sheetViews>
    <sheetView workbookViewId="0">
      <selection activeCell="C4" sqref="C4:K15"/>
    </sheetView>
  </sheetViews>
  <sheetFormatPr defaultColWidth="9.109375" defaultRowHeight="13.8" x14ac:dyDescent="0.25"/>
  <cols>
    <col min="1" max="2" width="9.109375" style="10"/>
    <col min="3" max="3" width="4.33203125" style="13" customWidth="1"/>
    <col min="4" max="4" width="20.33203125" style="10" bestFit="1" customWidth="1"/>
    <col min="5" max="5" width="11.88671875" style="13" customWidth="1"/>
    <col min="6" max="6" width="14.33203125" style="13" customWidth="1"/>
    <col min="7" max="7" width="14.109375" style="13" customWidth="1"/>
    <col min="8" max="8" width="19.5546875" style="13" customWidth="1"/>
    <col min="9" max="9" width="9.44140625" style="13" customWidth="1"/>
    <col min="10" max="10" width="16.5546875" style="13" bestFit="1" customWidth="1"/>
    <col min="11" max="11" width="18.33203125" style="13" customWidth="1"/>
    <col min="12" max="16384" width="9.109375" style="10"/>
  </cols>
  <sheetData>
    <row r="4" spans="3:11" ht="27.6" x14ac:dyDescent="0.45">
      <c r="C4" s="92" t="s">
        <v>146</v>
      </c>
      <c r="D4" s="92"/>
      <c r="E4" s="92"/>
      <c r="F4" s="92"/>
      <c r="G4" s="92"/>
      <c r="H4" s="92"/>
      <c r="I4" s="92"/>
      <c r="J4" s="92"/>
      <c r="K4" s="92"/>
    </row>
    <row r="5" spans="3:11" ht="15.6" x14ac:dyDescent="0.25">
      <c r="J5" s="93" t="s">
        <v>145</v>
      </c>
      <c r="K5" s="93"/>
    </row>
    <row r="7" spans="3:11" s="18" customFormat="1" ht="42" x14ac:dyDescent="0.4">
      <c r="C7" s="53" t="s">
        <v>0</v>
      </c>
      <c r="D7" s="53" t="s">
        <v>147</v>
      </c>
      <c r="E7" s="53" t="s">
        <v>132</v>
      </c>
      <c r="F7" s="53" t="s">
        <v>133</v>
      </c>
      <c r="G7" s="53" t="s">
        <v>134</v>
      </c>
      <c r="H7" s="53" t="s">
        <v>135</v>
      </c>
      <c r="I7" s="53" t="s">
        <v>136</v>
      </c>
      <c r="J7" s="23" t="s">
        <v>144</v>
      </c>
      <c r="K7" s="53" t="s">
        <v>137</v>
      </c>
    </row>
    <row r="8" spans="3:11" ht="24.9" customHeight="1" x14ac:dyDescent="0.25">
      <c r="C8" s="3">
        <v>1</v>
      </c>
      <c r="D8" s="52" t="s">
        <v>138</v>
      </c>
      <c r="E8" s="3">
        <v>25000</v>
      </c>
      <c r="F8" s="3">
        <f>E8*2.5</f>
        <v>62500</v>
      </c>
      <c r="G8" s="3">
        <f>E8*2</f>
        <v>50000</v>
      </c>
      <c r="H8" s="3">
        <f>E8*5%</f>
        <v>1250</v>
      </c>
      <c r="I8" s="3">
        <f t="shared" ref="I8:I14" si="0">E8*10%</f>
        <v>2500</v>
      </c>
      <c r="J8" s="14">
        <f>E8*10%</f>
        <v>2500</v>
      </c>
      <c r="K8" s="3">
        <f>E8+F8+G8+H8-I8-J8</f>
        <v>133750</v>
      </c>
    </row>
    <row r="9" spans="3:11" ht="24.9" customHeight="1" x14ac:dyDescent="0.25">
      <c r="C9" s="3">
        <v>2</v>
      </c>
      <c r="D9" s="52" t="s">
        <v>139</v>
      </c>
      <c r="E9" s="3">
        <v>45000</v>
      </c>
      <c r="F9" s="3">
        <f t="shared" ref="F9:F14" si="1">E9*2.5</f>
        <v>112500</v>
      </c>
      <c r="G9" s="3">
        <f t="shared" ref="G9:G14" si="2">E9*2</f>
        <v>90000</v>
      </c>
      <c r="H9" s="3">
        <f t="shared" ref="H9:H14" si="3">E9*5%</f>
        <v>2250</v>
      </c>
      <c r="I9" s="3">
        <f t="shared" si="0"/>
        <v>4500</v>
      </c>
      <c r="J9" s="14">
        <f t="shared" ref="J9:J14" si="4">E9*10%</f>
        <v>4500</v>
      </c>
      <c r="K9" s="3">
        <f t="shared" ref="K9:K14" si="5">E9+F9+G9+H9-I9-J9</f>
        <v>240750</v>
      </c>
    </row>
    <row r="10" spans="3:11" ht="24.9" customHeight="1" x14ac:dyDescent="0.25">
      <c r="C10" s="3">
        <v>3</v>
      </c>
      <c r="D10" s="52" t="s">
        <v>140</v>
      </c>
      <c r="E10" s="3">
        <v>65000</v>
      </c>
      <c r="F10" s="3">
        <f t="shared" si="1"/>
        <v>162500</v>
      </c>
      <c r="G10" s="3">
        <f t="shared" si="2"/>
        <v>130000</v>
      </c>
      <c r="H10" s="3">
        <f t="shared" si="3"/>
        <v>3250</v>
      </c>
      <c r="I10" s="3">
        <f t="shared" si="0"/>
        <v>6500</v>
      </c>
      <c r="J10" s="14">
        <f t="shared" si="4"/>
        <v>6500</v>
      </c>
      <c r="K10" s="3">
        <f t="shared" si="5"/>
        <v>347750</v>
      </c>
    </row>
    <row r="11" spans="3:11" ht="24.9" customHeight="1" x14ac:dyDescent="0.25">
      <c r="C11" s="3">
        <v>4</v>
      </c>
      <c r="D11" s="52" t="s">
        <v>104</v>
      </c>
      <c r="E11" s="3">
        <v>80000</v>
      </c>
      <c r="F11" s="3">
        <f t="shared" si="1"/>
        <v>200000</v>
      </c>
      <c r="G11" s="3">
        <f t="shared" si="2"/>
        <v>160000</v>
      </c>
      <c r="H11" s="3">
        <f t="shared" si="3"/>
        <v>4000</v>
      </c>
      <c r="I11" s="3">
        <f t="shared" si="0"/>
        <v>8000</v>
      </c>
      <c r="J11" s="14">
        <f t="shared" si="4"/>
        <v>8000</v>
      </c>
      <c r="K11" s="3">
        <f t="shared" si="5"/>
        <v>428000</v>
      </c>
    </row>
    <row r="12" spans="3:11" ht="24.9" customHeight="1" x14ac:dyDescent="0.25">
      <c r="C12" s="3">
        <v>5</v>
      </c>
      <c r="D12" s="52" t="s">
        <v>141</v>
      </c>
      <c r="E12" s="3">
        <v>20000</v>
      </c>
      <c r="F12" s="3">
        <f t="shared" si="1"/>
        <v>50000</v>
      </c>
      <c r="G12" s="3">
        <f t="shared" si="2"/>
        <v>40000</v>
      </c>
      <c r="H12" s="3">
        <f t="shared" si="3"/>
        <v>1000</v>
      </c>
      <c r="I12" s="3">
        <f t="shared" si="0"/>
        <v>2000</v>
      </c>
      <c r="J12" s="14">
        <f t="shared" si="4"/>
        <v>2000</v>
      </c>
      <c r="K12" s="3">
        <f t="shared" si="5"/>
        <v>107000</v>
      </c>
    </row>
    <row r="13" spans="3:11" ht="24.9" customHeight="1" x14ac:dyDescent="0.25">
      <c r="C13" s="3">
        <v>6</v>
      </c>
      <c r="D13" s="52" t="s">
        <v>142</v>
      </c>
      <c r="E13" s="3">
        <v>120000</v>
      </c>
      <c r="F13" s="3">
        <f t="shared" si="1"/>
        <v>300000</v>
      </c>
      <c r="G13" s="3">
        <f t="shared" si="2"/>
        <v>240000</v>
      </c>
      <c r="H13" s="3">
        <f t="shared" si="3"/>
        <v>6000</v>
      </c>
      <c r="I13" s="3">
        <f t="shared" si="0"/>
        <v>12000</v>
      </c>
      <c r="J13" s="14">
        <f t="shared" si="4"/>
        <v>12000</v>
      </c>
      <c r="K13" s="3">
        <f t="shared" si="5"/>
        <v>642000</v>
      </c>
    </row>
    <row r="14" spans="3:11" ht="24.9" customHeight="1" x14ac:dyDescent="0.25">
      <c r="C14" s="3">
        <v>7</v>
      </c>
      <c r="D14" s="52" t="s">
        <v>143</v>
      </c>
      <c r="E14" s="3">
        <v>75000</v>
      </c>
      <c r="F14" s="3">
        <f t="shared" si="1"/>
        <v>187500</v>
      </c>
      <c r="G14" s="3">
        <f t="shared" si="2"/>
        <v>150000</v>
      </c>
      <c r="H14" s="3">
        <f t="shared" si="3"/>
        <v>3750</v>
      </c>
      <c r="I14" s="3">
        <f t="shared" si="0"/>
        <v>7500</v>
      </c>
      <c r="J14" s="14">
        <f t="shared" si="4"/>
        <v>7500</v>
      </c>
      <c r="K14" s="3">
        <f t="shared" si="5"/>
        <v>401250</v>
      </c>
    </row>
    <row r="15" spans="3:11" s="29" customFormat="1" ht="24.9" customHeight="1" x14ac:dyDescent="0.3">
      <c r="C15" s="94" t="s">
        <v>50</v>
      </c>
      <c r="D15" s="94"/>
      <c r="E15" s="54">
        <f>SUM(E8:E14)</f>
        <v>430000</v>
      </c>
      <c r="F15" s="54">
        <f t="shared" ref="F15:K15" si="6">SUM(F8:F14)</f>
        <v>1075000</v>
      </c>
      <c r="G15" s="54">
        <f t="shared" si="6"/>
        <v>860000</v>
      </c>
      <c r="H15" s="54">
        <f t="shared" si="6"/>
        <v>21500</v>
      </c>
      <c r="I15" s="54">
        <f t="shared" si="6"/>
        <v>43000</v>
      </c>
      <c r="J15" s="54">
        <f t="shared" si="6"/>
        <v>43000</v>
      </c>
      <c r="K15" s="54">
        <f t="shared" si="6"/>
        <v>2300500</v>
      </c>
    </row>
  </sheetData>
  <mergeCells count="3">
    <mergeCell ref="C4:K4"/>
    <mergeCell ref="C15:D15"/>
    <mergeCell ref="J5:K5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C9:L20"/>
  <sheetViews>
    <sheetView topLeftCell="C4" workbookViewId="0">
      <selection activeCell="I31" sqref="I31"/>
    </sheetView>
  </sheetViews>
  <sheetFormatPr defaultRowHeight="14.4" x14ac:dyDescent="0.3"/>
  <cols>
    <col min="4" max="4" width="24.5546875" customWidth="1"/>
    <col min="5" max="5" width="17" customWidth="1"/>
    <col min="6" max="6" width="20.109375" customWidth="1"/>
    <col min="7" max="7" width="20.44140625" customWidth="1"/>
    <col min="8" max="8" width="15.44140625" customWidth="1"/>
    <col min="10" max="10" width="22.5546875" customWidth="1"/>
    <col min="11" max="11" width="12.88671875" style="4" customWidth="1"/>
    <col min="12" max="12" width="12.109375" style="4" customWidth="1"/>
  </cols>
  <sheetData>
    <row r="9" spans="3:12" ht="27.6" x14ac:dyDescent="0.45">
      <c r="C9" s="92" t="s">
        <v>176</v>
      </c>
      <c r="D9" s="92"/>
      <c r="E9" s="92"/>
      <c r="F9" s="92"/>
      <c r="G9" s="92"/>
      <c r="H9" s="92"/>
      <c r="I9" s="92"/>
      <c r="J9" s="92"/>
    </row>
    <row r="10" spans="3:12" ht="15.6" x14ac:dyDescent="0.3">
      <c r="C10" s="13"/>
      <c r="D10" s="10"/>
      <c r="E10" s="13"/>
      <c r="F10" s="13"/>
      <c r="G10" s="13"/>
      <c r="H10" s="13"/>
      <c r="I10" s="13"/>
      <c r="J10" s="55"/>
    </row>
    <row r="11" spans="3:12" x14ac:dyDescent="0.3">
      <c r="C11" s="13"/>
      <c r="D11" s="10"/>
      <c r="E11" s="13"/>
      <c r="F11" s="13"/>
      <c r="G11" s="13"/>
      <c r="H11" s="13"/>
      <c r="I11" s="13"/>
      <c r="J11" s="13"/>
    </row>
    <row r="12" spans="3:12" ht="42" x14ac:dyDescent="0.3">
      <c r="C12" s="53" t="s">
        <v>0</v>
      </c>
      <c r="D12" s="53" t="s">
        <v>147</v>
      </c>
      <c r="E12" s="53" t="s">
        <v>132</v>
      </c>
      <c r="F12" s="53" t="s">
        <v>133</v>
      </c>
      <c r="G12" s="53" t="s">
        <v>134</v>
      </c>
      <c r="H12" s="53" t="s">
        <v>135</v>
      </c>
      <c r="I12" s="53" t="s">
        <v>136</v>
      </c>
      <c r="J12" s="53" t="s">
        <v>137</v>
      </c>
      <c r="K12" s="53" t="s">
        <v>175</v>
      </c>
      <c r="L12" s="53" t="s">
        <v>144</v>
      </c>
    </row>
    <row r="13" spans="3:12" ht="15.6" x14ac:dyDescent="0.3">
      <c r="C13" s="3">
        <v>1</v>
      </c>
      <c r="D13" s="52" t="s">
        <v>138</v>
      </c>
      <c r="E13" s="3">
        <v>25000</v>
      </c>
      <c r="F13" s="3">
        <f>E13*2.5</f>
        <v>62500</v>
      </c>
      <c r="G13" s="3">
        <f>E13*2</f>
        <v>50000</v>
      </c>
      <c r="H13" s="3">
        <f>E13*5%</f>
        <v>1250</v>
      </c>
      <c r="I13" s="3">
        <f t="shared" ref="I13:I19" si="0">E13*10%</f>
        <v>2500</v>
      </c>
      <c r="J13" s="3">
        <f>SUM(E13:I13)</f>
        <v>141250</v>
      </c>
      <c r="K13" s="14">
        <f>J13-I13-H13</f>
        <v>137500</v>
      </c>
      <c r="L13" s="63">
        <f>K13*10%</f>
        <v>13750</v>
      </c>
    </row>
    <row r="14" spans="3:12" ht="15.6" x14ac:dyDescent="0.3">
      <c r="C14" s="3">
        <v>2</v>
      </c>
      <c r="D14" s="52" t="s">
        <v>139</v>
      </c>
      <c r="E14" s="3">
        <v>45000</v>
      </c>
      <c r="F14" s="3">
        <f t="shared" ref="F14:F19" si="1">E14*2.5</f>
        <v>112500</v>
      </c>
      <c r="G14" s="3">
        <f t="shared" ref="G14:G19" si="2">E14*2</f>
        <v>90000</v>
      </c>
      <c r="H14" s="3">
        <f t="shared" ref="H14:H19" si="3">E14*5%</f>
        <v>2250</v>
      </c>
      <c r="I14" s="3">
        <f t="shared" si="0"/>
        <v>4500</v>
      </c>
      <c r="J14" s="3">
        <f t="shared" ref="J14:J19" si="4">SUM(E14:I14)</f>
        <v>254250</v>
      </c>
      <c r="K14" s="14">
        <f t="shared" ref="K14:K20" si="5">J14-I14-H14</f>
        <v>247500</v>
      </c>
      <c r="L14" s="63">
        <f t="shared" ref="L14:L20" si="6">K14*10%</f>
        <v>24750</v>
      </c>
    </row>
    <row r="15" spans="3:12" ht="15.6" x14ac:dyDescent="0.3">
      <c r="C15" s="3">
        <v>3</v>
      </c>
      <c r="D15" s="52" t="s">
        <v>140</v>
      </c>
      <c r="E15" s="3">
        <v>65000</v>
      </c>
      <c r="F15" s="3">
        <f t="shared" si="1"/>
        <v>162500</v>
      </c>
      <c r="G15" s="3">
        <f t="shared" si="2"/>
        <v>130000</v>
      </c>
      <c r="H15" s="3">
        <f t="shared" si="3"/>
        <v>3250</v>
      </c>
      <c r="I15" s="3">
        <f t="shared" si="0"/>
        <v>6500</v>
      </c>
      <c r="J15" s="3">
        <f t="shared" si="4"/>
        <v>367250</v>
      </c>
      <c r="K15" s="14">
        <f t="shared" si="5"/>
        <v>357500</v>
      </c>
      <c r="L15" s="63">
        <f t="shared" si="6"/>
        <v>35750</v>
      </c>
    </row>
    <row r="16" spans="3:12" ht="15.6" x14ac:dyDescent="0.3">
      <c r="C16" s="3">
        <v>4</v>
      </c>
      <c r="D16" s="52" t="s">
        <v>104</v>
      </c>
      <c r="E16" s="3">
        <v>80000</v>
      </c>
      <c r="F16" s="3">
        <f t="shared" si="1"/>
        <v>200000</v>
      </c>
      <c r="G16" s="3">
        <f t="shared" si="2"/>
        <v>160000</v>
      </c>
      <c r="H16" s="3">
        <f t="shared" si="3"/>
        <v>4000</v>
      </c>
      <c r="I16" s="3">
        <f t="shared" si="0"/>
        <v>8000</v>
      </c>
      <c r="J16" s="3">
        <f t="shared" si="4"/>
        <v>452000</v>
      </c>
      <c r="K16" s="14">
        <f t="shared" si="5"/>
        <v>440000</v>
      </c>
      <c r="L16" s="63">
        <f t="shared" si="6"/>
        <v>44000</v>
      </c>
    </row>
    <row r="17" spans="3:12" ht="15.6" x14ac:dyDescent="0.3">
      <c r="C17" s="3">
        <v>5</v>
      </c>
      <c r="D17" s="52" t="s">
        <v>141</v>
      </c>
      <c r="E17" s="3">
        <v>20000</v>
      </c>
      <c r="F17" s="3">
        <f t="shared" si="1"/>
        <v>50000</v>
      </c>
      <c r="G17" s="3">
        <f t="shared" si="2"/>
        <v>40000</v>
      </c>
      <c r="H17" s="3">
        <f t="shared" si="3"/>
        <v>1000</v>
      </c>
      <c r="I17" s="3">
        <f t="shared" si="0"/>
        <v>2000</v>
      </c>
      <c r="J17" s="3">
        <f t="shared" si="4"/>
        <v>113000</v>
      </c>
      <c r="K17" s="14">
        <f t="shared" si="5"/>
        <v>110000</v>
      </c>
      <c r="L17" s="63">
        <f t="shared" si="6"/>
        <v>11000</v>
      </c>
    </row>
    <row r="18" spans="3:12" ht="15.6" x14ac:dyDescent="0.3">
      <c r="C18" s="3">
        <v>6</v>
      </c>
      <c r="D18" s="52" t="s">
        <v>142</v>
      </c>
      <c r="E18" s="3">
        <v>120000</v>
      </c>
      <c r="F18" s="3">
        <f t="shared" si="1"/>
        <v>300000</v>
      </c>
      <c r="G18" s="3">
        <f t="shared" si="2"/>
        <v>240000</v>
      </c>
      <c r="H18" s="3">
        <f t="shared" si="3"/>
        <v>6000</v>
      </c>
      <c r="I18" s="3">
        <f t="shared" si="0"/>
        <v>12000</v>
      </c>
      <c r="J18" s="3">
        <f t="shared" si="4"/>
        <v>678000</v>
      </c>
      <c r="K18" s="14">
        <f t="shared" si="5"/>
        <v>660000</v>
      </c>
      <c r="L18" s="63">
        <f t="shared" si="6"/>
        <v>66000</v>
      </c>
    </row>
    <row r="19" spans="3:12" ht="15.6" x14ac:dyDescent="0.3">
      <c r="C19" s="3">
        <v>7</v>
      </c>
      <c r="D19" s="52" t="s">
        <v>143</v>
      </c>
      <c r="E19" s="3">
        <v>75000</v>
      </c>
      <c r="F19" s="3">
        <f t="shared" si="1"/>
        <v>187500</v>
      </c>
      <c r="G19" s="3">
        <f t="shared" si="2"/>
        <v>150000</v>
      </c>
      <c r="H19" s="3">
        <f t="shared" si="3"/>
        <v>3750</v>
      </c>
      <c r="I19" s="3">
        <f t="shared" si="0"/>
        <v>7500</v>
      </c>
      <c r="J19" s="3">
        <f t="shared" si="4"/>
        <v>423750</v>
      </c>
      <c r="K19" s="14">
        <f t="shared" si="5"/>
        <v>412500</v>
      </c>
      <c r="L19" s="63">
        <f t="shared" si="6"/>
        <v>41250</v>
      </c>
    </row>
    <row r="20" spans="3:12" ht="17.399999999999999" x14ac:dyDescent="0.3">
      <c r="C20" s="94" t="s">
        <v>50</v>
      </c>
      <c r="D20" s="94"/>
      <c r="E20" s="54">
        <f>SUM(E13:E19)</f>
        <v>430000</v>
      </c>
      <c r="F20" s="54">
        <f t="shared" ref="F20:I20" si="7">SUM(F13:F19)</f>
        <v>1075000</v>
      </c>
      <c r="G20" s="54">
        <f t="shared" si="7"/>
        <v>860000</v>
      </c>
      <c r="H20" s="54">
        <f t="shared" si="7"/>
        <v>21500</v>
      </c>
      <c r="I20" s="54">
        <f t="shared" si="7"/>
        <v>43000</v>
      </c>
      <c r="J20" s="54">
        <f>SUM(J13:J19)</f>
        <v>2429500</v>
      </c>
      <c r="K20" s="54">
        <f t="shared" si="5"/>
        <v>2365000</v>
      </c>
      <c r="L20" s="34">
        <f t="shared" si="6"/>
        <v>236500</v>
      </c>
    </row>
  </sheetData>
  <mergeCells count="2">
    <mergeCell ref="C9:J9"/>
    <mergeCell ref="C20:D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2:N25"/>
  <sheetViews>
    <sheetView topLeftCell="A12" zoomScale="90" zoomScaleNormal="90" workbookViewId="0">
      <selection activeCell="N32" sqref="N32"/>
    </sheetView>
  </sheetViews>
  <sheetFormatPr defaultColWidth="9.109375" defaultRowHeight="13.8" x14ac:dyDescent="0.25"/>
  <cols>
    <col min="1" max="1" width="7.6640625" style="10" customWidth="1"/>
    <col min="2" max="2" width="4.44140625" style="10" bestFit="1" customWidth="1"/>
    <col min="3" max="3" width="13.6640625" style="10" customWidth="1"/>
    <col min="4" max="4" width="13" style="13" customWidth="1"/>
    <col min="5" max="5" width="13.44140625" style="13" bestFit="1" customWidth="1"/>
    <col min="6" max="6" width="12.44140625" style="13" customWidth="1"/>
    <col min="7" max="7" width="11.33203125" style="13" customWidth="1"/>
    <col min="8" max="8" width="13.6640625" style="13" customWidth="1"/>
    <col min="9" max="9" width="9.109375" style="13"/>
    <col min="10" max="10" width="13.88671875" style="13" bestFit="1" customWidth="1"/>
    <col min="11" max="11" width="14" style="13" bestFit="1" customWidth="1"/>
    <col min="12" max="12" width="13.5546875" style="13" customWidth="1"/>
    <col min="13" max="13" width="9.109375" style="10"/>
    <col min="14" max="14" width="24.109375" style="10" bestFit="1" customWidth="1"/>
    <col min="15" max="16384" width="9.109375" style="10"/>
  </cols>
  <sheetData>
    <row r="12" spans="3:14" ht="32.4" x14ac:dyDescent="0.55000000000000004">
      <c r="C12" s="73" t="s">
        <v>34</v>
      </c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</row>
    <row r="13" spans="3:14" ht="21" x14ac:dyDescent="0.4">
      <c r="M13" s="75" t="s">
        <v>48</v>
      </c>
      <c r="N13" s="75"/>
    </row>
    <row r="14" spans="3:14" s="25" customFormat="1" ht="27.6" x14ac:dyDescent="0.45">
      <c r="C14" s="71" t="s">
        <v>31</v>
      </c>
      <c r="D14" s="71"/>
      <c r="E14" s="71"/>
      <c r="F14" s="72" t="s">
        <v>32</v>
      </c>
      <c r="G14" s="72"/>
      <c r="H14" s="72"/>
      <c r="I14" s="74" t="s">
        <v>33</v>
      </c>
      <c r="J14" s="74"/>
      <c r="K14" s="74"/>
      <c r="L14" s="74"/>
      <c r="M14" s="74"/>
      <c r="N14" s="74"/>
    </row>
    <row r="15" spans="3:14" s="19" customFormat="1" ht="21" x14ac:dyDescent="0.3">
      <c r="C15" s="21" t="s">
        <v>35</v>
      </c>
      <c r="D15" s="21" t="s">
        <v>36</v>
      </c>
      <c r="E15" s="21" t="s">
        <v>37</v>
      </c>
      <c r="F15" s="20" t="s">
        <v>35</v>
      </c>
      <c r="G15" s="20" t="s">
        <v>36</v>
      </c>
      <c r="H15" s="20" t="s">
        <v>37</v>
      </c>
      <c r="I15" s="24" t="s">
        <v>0</v>
      </c>
      <c r="J15" s="24" t="s">
        <v>36</v>
      </c>
      <c r="K15" s="24" t="s">
        <v>31</v>
      </c>
      <c r="L15" s="24" t="s">
        <v>32</v>
      </c>
      <c r="M15" s="24" t="s">
        <v>33</v>
      </c>
      <c r="N15" s="24" t="s">
        <v>38</v>
      </c>
    </row>
    <row r="16" spans="3:14" s="15" customFormat="1" ht="18" x14ac:dyDescent="0.35">
      <c r="C16" s="22">
        <v>45301</v>
      </c>
      <c r="D16" s="16" t="s">
        <v>39</v>
      </c>
      <c r="E16" s="16">
        <v>10</v>
      </c>
      <c r="F16" s="26">
        <v>45301</v>
      </c>
      <c r="G16" s="16" t="s">
        <v>39</v>
      </c>
      <c r="H16" s="16">
        <v>2</v>
      </c>
      <c r="I16" s="16">
        <v>1</v>
      </c>
      <c r="J16" s="16" t="s">
        <v>39</v>
      </c>
      <c r="K16" s="16">
        <f>E16</f>
        <v>10</v>
      </c>
      <c r="L16" s="16">
        <f>H16</f>
        <v>2</v>
      </c>
      <c r="M16" s="16">
        <f>K16-L16</f>
        <v>8</v>
      </c>
      <c r="N16" s="17" t="str">
        <f>IF(M16&lt;5,"Please Update Stock","")</f>
        <v/>
      </c>
    </row>
    <row r="17" spans="3:14" s="15" customFormat="1" ht="18" x14ac:dyDescent="0.35">
      <c r="C17" s="22">
        <v>45302</v>
      </c>
      <c r="D17" s="16" t="s">
        <v>40</v>
      </c>
      <c r="E17" s="16">
        <v>5</v>
      </c>
      <c r="F17" s="26">
        <v>45302</v>
      </c>
      <c r="G17" s="16" t="s">
        <v>40</v>
      </c>
      <c r="H17" s="16">
        <v>5</v>
      </c>
      <c r="I17" s="16">
        <v>2</v>
      </c>
      <c r="J17" s="16" t="s">
        <v>40</v>
      </c>
      <c r="K17" s="16">
        <f t="shared" ref="K17:K24" si="0">E17</f>
        <v>5</v>
      </c>
      <c r="L17" s="16">
        <f t="shared" ref="L17:L24" si="1">H17</f>
        <v>5</v>
      </c>
      <c r="M17" s="16">
        <f t="shared" ref="M17:M24" si="2">K17-L17</f>
        <v>0</v>
      </c>
      <c r="N17" s="17" t="str">
        <f t="shared" ref="N17:N24" si="3">IF(M17&lt;5,"Please Update Stock","")</f>
        <v>Please Update Stock</v>
      </c>
    </row>
    <row r="18" spans="3:14" s="15" customFormat="1" ht="18" x14ac:dyDescent="0.35">
      <c r="C18" s="22">
        <v>45303</v>
      </c>
      <c r="D18" s="16" t="s">
        <v>41</v>
      </c>
      <c r="E18" s="16">
        <v>8</v>
      </c>
      <c r="F18" s="26">
        <v>45303</v>
      </c>
      <c r="G18" s="16" t="s">
        <v>41</v>
      </c>
      <c r="H18" s="16">
        <v>5</v>
      </c>
      <c r="I18" s="16">
        <v>3</v>
      </c>
      <c r="J18" s="16" t="s">
        <v>41</v>
      </c>
      <c r="K18" s="16">
        <f t="shared" si="0"/>
        <v>8</v>
      </c>
      <c r="L18" s="16">
        <f t="shared" si="1"/>
        <v>5</v>
      </c>
      <c r="M18" s="16">
        <f t="shared" si="2"/>
        <v>3</v>
      </c>
      <c r="N18" s="17" t="str">
        <f t="shared" si="3"/>
        <v>Please Update Stock</v>
      </c>
    </row>
    <row r="19" spans="3:14" s="15" customFormat="1" ht="18" x14ac:dyDescent="0.35">
      <c r="C19" s="22">
        <v>45304</v>
      </c>
      <c r="D19" s="16" t="s">
        <v>42</v>
      </c>
      <c r="E19" s="16">
        <v>7</v>
      </c>
      <c r="F19" s="26">
        <v>45304</v>
      </c>
      <c r="G19" s="16" t="s">
        <v>42</v>
      </c>
      <c r="H19" s="16">
        <v>7</v>
      </c>
      <c r="I19" s="16">
        <v>4</v>
      </c>
      <c r="J19" s="16" t="s">
        <v>42</v>
      </c>
      <c r="K19" s="16">
        <f t="shared" si="0"/>
        <v>7</v>
      </c>
      <c r="L19" s="16">
        <f t="shared" si="1"/>
        <v>7</v>
      </c>
      <c r="M19" s="16">
        <f t="shared" si="2"/>
        <v>0</v>
      </c>
      <c r="N19" s="17" t="str">
        <f t="shared" si="3"/>
        <v>Please Update Stock</v>
      </c>
    </row>
    <row r="20" spans="3:14" s="15" customFormat="1" ht="18" x14ac:dyDescent="0.35">
      <c r="C20" s="22">
        <v>45305</v>
      </c>
      <c r="D20" s="16" t="s">
        <v>43</v>
      </c>
      <c r="E20" s="16">
        <v>4</v>
      </c>
      <c r="F20" s="26">
        <v>45305</v>
      </c>
      <c r="G20" s="16" t="s">
        <v>43</v>
      </c>
      <c r="H20" s="16">
        <v>3</v>
      </c>
      <c r="I20" s="16">
        <v>5</v>
      </c>
      <c r="J20" s="16" t="s">
        <v>43</v>
      </c>
      <c r="K20" s="16">
        <f t="shared" si="0"/>
        <v>4</v>
      </c>
      <c r="L20" s="16">
        <f t="shared" si="1"/>
        <v>3</v>
      </c>
      <c r="M20" s="16">
        <f t="shared" si="2"/>
        <v>1</v>
      </c>
      <c r="N20" s="17" t="str">
        <f t="shared" si="3"/>
        <v>Please Update Stock</v>
      </c>
    </row>
    <row r="21" spans="3:14" s="15" customFormat="1" ht="18" x14ac:dyDescent="0.35">
      <c r="C21" s="22">
        <v>45306</v>
      </c>
      <c r="D21" s="16" t="s">
        <v>44</v>
      </c>
      <c r="E21" s="16">
        <v>9</v>
      </c>
      <c r="F21" s="26">
        <v>45306</v>
      </c>
      <c r="G21" s="16" t="s">
        <v>44</v>
      </c>
      <c r="H21" s="16">
        <v>8</v>
      </c>
      <c r="I21" s="16">
        <v>6</v>
      </c>
      <c r="J21" s="16" t="s">
        <v>44</v>
      </c>
      <c r="K21" s="16">
        <f t="shared" si="0"/>
        <v>9</v>
      </c>
      <c r="L21" s="16">
        <f t="shared" si="1"/>
        <v>8</v>
      </c>
      <c r="M21" s="16">
        <f t="shared" si="2"/>
        <v>1</v>
      </c>
      <c r="N21" s="17" t="str">
        <f t="shared" si="3"/>
        <v>Please Update Stock</v>
      </c>
    </row>
    <row r="22" spans="3:14" s="15" customFormat="1" ht="18" x14ac:dyDescent="0.35">
      <c r="C22" s="22">
        <v>45307</v>
      </c>
      <c r="D22" s="16" t="s">
        <v>45</v>
      </c>
      <c r="E22" s="16">
        <v>12</v>
      </c>
      <c r="F22" s="26">
        <v>45307</v>
      </c>
      <c r="G22" s="16" t="s">
        <v>45</v>
      </c>
      <c r="H22" s="16">
        <v>3</v>
      </c>
      <c r="I22" s="16">
        <v>7</v>
      </c>
      <c r="J22" s="16" t="s">
        <v>45</v>
      </c>
      <c r="K22" s="16">
        <f t="shared" si="0"/>
        <v>12</v>
      </c>
      <c r="L22" s="16">
        <f t="shared" si="1"/>
        <v>3</v>
      </c>
      <c r="M22" s="16">
        <f t="shared" si="2"/>
        <v>9</v>
      </c>
      <c r="N22" s="17" t="str">
        <f t="shared" si="3"/>
        <v/>
      </c>
    </row>
    <row r="23" spans="3:14" s="15" customFormat="1" ht="18" x14ac:dyDescent="0.35">
      <c r="C23" s="22">
        <v>45308</v>
      </c>
      <c r="D23" s="16" t="s">
        <v>46</v>
      </c>
      <c r="E23" s="16">
        <v>15</v>
      </c>
      <c r="F23" s="26">
        <v>45308</v>
      </c>
      <c r="G23" s="16" t="s">
        <v>46</v>
      </c>
      <c r="H23" s="16">
        <v>6</v>
      </c>
      <c r="I23" s="16">
        <v>8</v>
      </c>
      <c r="J23" s="16" t="s">
        <v>46</v>
      </c>
      <c r="K23" s="16">
        <f t="shared" si="0"/>
        <v>15</v>
      </c>
      <c r="L23" s="16">
        <f t="shared" si="1"/>
        <v>6</v>
      </c>
      <c r="M23" s="16">
        <f t="shared" si="2"/>
        <v>9</v>
      </c>
      <c r="N23" s="17" t="str">
        <f t="shared" si="3"/>
        <v/>
      </c>
    </row>
    <row r="24" spans="3:14" s="15" customFormat="1" ht="18" x14ac:dyDescent="0.35">
      <c r="C24" s="22">
        <v>45309</v>
      </c>
      <c r="D24" s="16" t="s">
        <v>47</v>
      </c>
      <c r="E24" s="16">
        <v>20</v>
      </c>
      <c r="F24" s="26">
        <v>45309</v>
      </c>
      <c r="G24" s="16" t="s">
        <v>47</v>
      </c>
      <c r="H24" s="16">
        <v>10</v>
      </c>
      <c r="I24" s="16">
        <v>9</v>
      </c>
      <c r="J24" s="16" t="s">
        <v>47</v>
      </c>
      <c r="K24" s="16">
        <f t="shared" si="0"/>
        <v>20</v>
      </c>
      <c r="L24" s="16">
        <f t="shared" si="1"/>
        <v>10</v>
      </c>
      <c r="M24" s="16">
        <f t="shared" si="2"/>
        <v>10</v>
      </c>
      <c r="N24" s="17" t="str">
        <f t="shared" si="3"/>
        <v/>
      </c>
    </row>
    <row r="25" spans="3:14" s="15" customFormat="1" ht="22.8" x14ac:dyDescent="0.4">
      <c r="C25" s="76" t="s">
        <v>49</v>
      </c>
      <c r="D25" s="76"/>
      <c r="E25" s="27">
        <f>SUM(E16:E24)</f>
        <v>90</v>
      </c>
      <c r="F25" s="69" t="s">
        <v>50</v>
      </c>
      <c r="G25" s="70"/>
      <c r="H25" s="27">
        <f t="shared" ref="H25:M25" si="4">SUM(H16:H24)</f>
        <v>49</v>
      </c>
      <c r="I25" s="69" t="s">
        <v>50</v>
      </c>
      <c r="J25" s="70"/>
      <c r="K25" s="27">
        <f t="shared" si="4"/>
        <v>90</v>
      </c>
      <c r="L25" s="27">
        <f t="shared" si="4"/>
        <v>49</v>
      </c>
      <c r="M25" s="27">
        <f t="shared" si="4"/>
        <v>41</v>
      </c>
      <c r="N25" s="28"/>
    </row>
  </sheetData>
  <mergeCells count="8">
    <mergeCell ref="I25:J25"/>
    <mergeCell ref="C14:E14"/>
    <mergeCell ref="F14:H14"/>
    <mergeCell ref="C12:N12"/>
    <mergeCell ref="I14:N14"/>
    <mergeCell ref="M13:N13"/>
    <mergeCell ref="C25:D25"/>
    <mergeCell ref="F25:G2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7:L19"/>
  <sheetViews>
    <sheetView topLeftCell="B7" workbookViewId="0">
      <selection activeCell="C12" sqref="C12:L19"/>
    </sheetView>
  </sheetViews>
  <sheetFormatPr defaultColWidth="9.109375" defaultRowHeight="13.8" x14ac:dyDescent="0.25"/>
  <cols>
    <col min="1" max="3" width="9.109375" style="10"/>
    <col min="4" max="4" width="21.44140625" style="10" bestFit="1" customWidth="1"/>
    <col min="5" max="5" width="9.88671875" style="10" bestFit="1" customWidth="1"/>
    <col min="6" max="6" width="13.5546875" style="10" bestFit="1" customWidth="1"/>
    <col min="7" max="8" width="9.88671875" style="10" bestFit="1" customWidth="1"/>
    <col min="9" max="9" width="14.5546875" style="10" bestFit="1" customWidth="1"/>
    <col min="10" max="11" width="16.33203125" style="10" bestFit="1" customWidth="1"/>
    <col min="12" max="12" width="46.6640625" style="10" customWidth="1"/>
    <col min="13" max="16384" width="9.109375" style="10"/>
  </cols>
  <sheetData>
    <row r="7" spans="3:12" ht="28.5" customHeight="1" x14ac:dyDescent="0.25"/>
    <row r="8" spans="3:12" ht="79.5" customHeight="1" x14ac:dyDescent="1.45">
      <c r="C8" s="79" t="s">
        <v>61</v>
      </c>
      <c r="D8" s="80"/>
      <c r="E8" s="80"/>
      <c r="F8" s="80"/>
      <c r="G8" s="80"/>
      <c r="H8" s="80"/>
      <c r="I8" s="80"/>
      <c r="J8" s="80"/>
      <c r="K8" s="80"/>
      <c r="L8" s="80"/>
    </row>
    <row r="10" spans="3:12" ht="17.399999999999999" x14ac:dyDescent="0.3">
      <c r="L10" s="36" t="s">
        <v>62</v>
      </c>
    </row>
    <row r="12" spans="3:12" s="29" customFormat="1" ht="24" customHeight="1" x14ac:dyDescent="0.3">
      <c r="C12" s="77" t="s">
        <v>0</v>
      </c>
      <c r="D12" s="77" t="s">
        <v>51</v>
      </c>
      <c r="E12" s="77" t="s">
        <v>24</v>
      </c>
      <c r="F12" s="77"/>
      <c r="G12" s="77"/>
      <c r="H12" s="77"/>
      <c r="I12" s="77" t="s">
        <v>52</v>
      </c>
      <c r="J12" s="77" t="s">
        <v>53</v>
      </c>
      <c r="K12" s="77" t="s">
        <v>54</v>
      </c>
      <c r="L12" s="77" t="s">
        <v>55</v>
      </c>
    </row>
    <row r="13" spans="3:12" s="29" customFormat="1" ht="19.5" customHeight="1" x14ac:dyDescent="0.3">
      <c r="C13" s="77"/>
      <c r="D13" s="77"/>
      <c r="E13" s="33" t="s">
        <v>8</v>
      </c>
      <c r="F13" s="33" t="s">
        <v>12</v>
      </c>
      <c r="G13" s="33" t="s">
        <v>10</v>
      </c>
      <c r="H13" s="33" t="s">
        <v>11</v>
      </c>
      <c r="I13" s="77"/>
      <c r="J13" s="77"/>
      <c r="K13" s="77"/>
      <c r="L13" s="77"/>
    </row>
    <row r="14" spans="3:12" s="13" customFormat="1" ht="24.9" customHeight="1" x14ac:dyDescent="0.3">
      <c r="C14" s="3">
        <v>1</v>
      </c>
      <c r="D14" s="30" t="s">
        <v>56</v>
      </c>
      <c r="E14" s="3">
        <v>11000</v>
      </c>
      <c r="F14" s="3">
        <v>75000</v>
      </c>
      <c r="G14" s="3">
        <v>90000</v>
      </c>
      <c r="H14" s="3">
        <v>140000</v>
      </c>
      <c r="I14" s="3">
        <f>SUM(E14:H14)</f>
        <v>316000</v>
      </c>
      <c r="J14" s="3">
        <v>320000</v>
      </c>
      <c r="K14" s="31">
        <f>(I14/J14)*100%</f>
        <v>0.98750000000000004</v>
      </c>
      <c r="L14" s="3">
        <f>IF(K14&gt;80%,I14*25%,0)</f>
        <v>79000</v>
      </c>
    </row>
    <row r="15" spans="3:12" s="13" customFormat="1" ht="24.9" customHeight="1" x14ac:dyDescent="0.3">
      <c r="C15" s="3">
        <v>2</v>
      </c>
      <c r="D15" s="30" t="s">
        <v>57</v>
      </c>
      <c r="E15" s="3">
        <v>15000</v>
      </c>
      <c r="F15" s="3">
        <v>60000</v>
      </c>
      <c r="G15" s="3">
        <v>105000</v>
      </c>
      <c r="H15" s="3">
        <v>70000</v>
      </c>
      <c r="I15" s="3">
        <f t="shared" ref="I15:I18" si="0">SUM(E15:H15)</f>
        <v>250000</v>
      </c>
      <c r="J15" s="3">
        <v>410000</v>
      </c>
      <c r="K15" s="31">
        <f t="shared" ref="K15:K18" si="1">(I15/J15)*100%</f>
        <v>0.6097560975609756</v>
      </c>
      <c r="L15" s="3">
        <f t="shared" ref="L15:L18" si="2">IF(K15&gt;80%,I15*25%,0)</f>
        <v>0</v>
      </c>
    </row>
    <row r="16" spans="3:12" s="13" customFormat="1" ht="24.9" customHeight="1" x14ac:dyDescent="0.3">
      <c r="C16" s="3">
        <v>3</v>
      </c>
      <c r="D16" s="30" t="s">
        <v>58</v>
      </c>
      <c r="E16" s="3">
        <v>80000</v>
      </c>
      <c r="F16" s="3">
        <v>120000</v>
      </c>
      <c r="G16" s="3">
        <v>75000</v>
      </c>
      <c r="H16" s="3">
        <v>45000</v>
      </c>
      <c r="I16" s="3">
        <f t="shared" si="0"/>
        <v>320000</v>
      </c>
      <c r="J16" s="3">
        <v>500000</v>
      </c>
      <c r="K16" s="31">
        <f t="shared" si="1"/>
        <v>0.64</v>
      </c>
      <c r="L16" s="3">
        <f t="shared" si="2"/>
        <v>0</v>
      </c>
    </row>
    <row r="17" spans="3:12" s="13" customFormat="1" ht="24.9" customHeight="1" x14ac:dyDescent="0.3">
      <c r="C17" s="3">
        <v>4</v>
      </c>
      <c r="D17" s="30" t="s">
        <v>59</v>
      </c>
      <c r="E17" s="3">
        <v>18000</v>
      </c>
      <c r="F17" s="3">
        <v>70000</v>
      </c>
      <c r="G17" s="3">
        <v>95000</v>
      </c>
      <c r="H17" s="3">
        <v>125000</v>
      </c>
      <c r="I17" s="3">
        <f t="shared" si="0"/>
        <v>308000</v>
      </c>
      <c r="J17" s="3">
        <v>450000</v>
      </c>
      <c r="K17" s="31">
        <f t="shared" si="1"/>
        <v>0.68444444444444441</v>
      </c>
      <c r="L17" s="3">
        <f t="shared" si="2"/>
        <v>0</v>
      </c>
    </row>
    <row r="18" spans="3:12" s="13" customFormat="1" ht="24.9" customHeight="1" x14ac:dyDescent="0.3">
      <c r="C18" s="3">
        <v>5</v>
      </c>
      <c r="D18" s="30" t="s">
        <v>60</v>
      </c>
      <c r="E18" s="3">
        <v>50000</v>
      </c>
      <c r="F18" s="3">
        <v>100000</v>
      </c>
      <c r="G18" s="3">
        <v>130000</v>
      </c>
      <c r="H18" s="3">
        <v>65000</v>
      </c>
      <c r="I18" s="3">
        <f t="shared" si="0"/>
        <v>345000</v>
      </c>
      <c r="J18" s="3">
        <v>360000</v>
      </c>
      <c r="K18" s="31">
        <f t="shared" si="1"/>
        <v>0.95833333333333337</v>
      </c>
      <c r="L18" s="3">
        <f t="shared" si="2"/>
        <v>86250</v>
      </c>
    </row>
    <row r="19" spans="3:12" s="29" customFormat="1" ht="17.399999999999999" x14ac:dyDescent="0.3">
      <c r="C19" s="78" t="s">
        <v>50</v>
      </c>
      <c r="D19" s="78"/>
      <c r="E19" s="35">
        <f>SUM(E14:E18)</f>
        <v>174000</v>
      </c>
      <c r="F19" s="35">
        <f t="shared" ref="F19:L19" si="3">SUM(F14:F18)</f>
        <v>425000</v>
      </c>
      <c r="G19" s="35">
        <f t="shared" si="3"/>
        <v>495000</v>
      </c>
      <c r="H19" s="35">
        <f t="shared" si="3"/>
        <v>445000</v>
      </c>
      <c r="I19" s="35">
        <f t="shared" si="3"/>
        <v>1539000</v>
      </c>
      <c r="J19" s="35">
        <f t="shared" si="3"/>
        <v>2040000</v>
      </c>
      <c r="K19" s="35"/>
      <c r="L19" s="35">
        <f t="shared" si="3"/>
        <v>165250</v>
      </c>
    </row>
  </sheetData>
  <mergeCells count="9">
    <mergeCell ref="L12:L13"/>
    <mergeCell ref="C19:D19"/>
    <mergeCell ref="C8:L8"/>
    <mergeCell ref="C12:C13"/>
    <mergeCell ref="D12:D13"/>
    <mergeCell ref="E12:H12"/>
    <mergeCell ref="I12:I13"/>
    <mergeCell ref="J12:J13"/>
    <mergeCell ref="K12:K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7:M66"/>
  <sheetViews>
    <sheetView topLeftCell="A42" zoomScale="120" zoomScaleNormal="120" workbookViewId="0">
      <selection activeCell="G57" sqref="G57:H57"/>
    </sheetView>
  </sheetViews>
  <sheetFormatPr defaultColWidth="9.109375" defaultRowHeight="13.8" x14ac:dyDescent="0.25"/>
  <cols>
    <col min="1" max="2" width="9.109375" style="10"/>
    <col min="3" max="3" width="10.88671875" style="10" bestFit="1" customWidth="1"/>
    <col min="4" max="4" width="11.33203125" style="10" customWidth="1"/>
    <col min="5" max="10" width="9.109375" style="10"/>
    <col min="11" max="11" width="11" style="10" customWidth="1"/>
    <col min="12" max="16384" width="9.109375" style="10"/>
  </cols>
  <sheetData>
    <row r="7" spans="2:12" x14ac:dyDescent="0.25">
      <c r="C7" s="82" t="s">
        <v>90</v>
      </c>
      <c r="D7" s="82"/>
      <c r="G7" s="82" t="s">
        <v>91</v>
      </c>
      <c r="H7" s="82"/>
      <c r="K7" s="82" t="s">
        <v>92</v>
      </c>
      <c r="L7" s="82"/>
    </row>
    <row r="8" spans="2:12" x14ac:dyDescent="0.25">
      <c r="B8" s="13"/>
      <c r="C8" s="37" t="s">
        <v>64</v>
      </c>
      <c r="D8" s="11" t="s">
        <v>65</v>
      </c>
      <c r="F8" s="13"/>
      <c r="G8" s="37" t="s">
        <v>78</v>
      </c>
      <c r="H8" s="11" t="s">
        <v>32</v>
      </c>
      <c r="K8" s="12" t="str">
        <f>[1]Sum!C8</f>
        <v>May</v>
      </c>
      <c r="L8" s="11">
        <f>[1]Sum!D8</f>
        <v>1500</v>
      </c>
    </row>
    <row r="9" spans="2:12" x14ac:dyDescent="0.25">
      <c r="B9" s="13"/>
      <c r="C9" s="38" t="s">
        <v>66</v>
      </c>
      <c r="D9" s="11">
        <v>1000</v>
      </c>
      <c r="F9" s="13"/>
      <c r="G9" s="38" t="s">
        <v>56</v>
      </c>
      <c r="H9" s="11">
        <v>1000</v>
      </c>
      <c r="K9" s="12" t="str">
        <f>[1]Sum!C9</f>
        <v>June</v>
      </c>
      <c r="L9" s="11">
        <f>[1]Sum!D9</f>
        <v>1800</v>
      </c>
    </row>
    <row r="10" spans="2:12" x14ac:dyDescent="0.25">
      <c r="B10" s="13"/>
      <c r="C10" s="38" t="s">
        <v>67</v>
      </c>
      <c r="D10" s="11">
        <v>900</v>
      </c>
      <c r="F10" s="13"/>
      <c r="G10" s="38" t="s">
        <v>57</v>
      </c>
      <c r="H10" s="11">
        <v>900</v>
      </c>
      <c r="K10" s="12" t="str">
        <f>[1]Sum!C10</f>
        <v>July</v>
      </c>
      <c r="L10" s="11">
        <f>[1]Sum!D10</f>
        <v>800</v>
      </c>
    </row>
    <row r="11" spans="2:12" x14ac:dyDescent="0.25">
      <c r="B11" s="13"/>
      <c r="C11" s="38" t="s">
        <v>68</v>
      </c>
      <c r="D11" s="11">
        <v>500</v>
      </c>
      <c r="F11" s="13"/>
      <c r="G11" s="38" t="s">
        <v>56</v>
      </c>
      <c r="H11" s="11">
        <v>500</v>
      </c>
      <c r="K11" s="12" t="str">
        <f>[1]Sum!C11</f>
        <v>August</v>
      </c>
      <c r="L11" s="11">
        <f>[1]Sum!D11</f>
        <v>1100</v>
      </c>
    </row>
    <row r="12" spans="2:12" x14ac:dyDescent="0.25">
      <c r="B12" s="13"/>
      <c r="C12" s="38" t="s">
        <v>69</v>
      </c>
      <c r="D12" s="11">
        <v>1200</v>
      </c>
      <c r="F12" s="13"/>
      <c r="G12" s="38" t="s">
        <v>60</v>
      </c>
      <c r="H12" s="11">
        <v>1200</v>
      </c>
      <c r="K12" s="12" t="str">
        <f>[1]Sum!C12</f>
        <v>September</v>
      </c>
      <c r="L12" s="11">
        <f>[1]Sum!D12</f>
        <v>1300</v>
      </c>
    </row>
    <row r="13" spans="2:12" x14ac:dyDescent="0.25">
      <c r="B13" s="13"/>
      <c r="C13" s="38" t="s">
        <v>70</v>
      </c>
      <c r="D13" s="11">
        <v>1500</v>
      </c>
      <c r="F13" s="13"/>
      <c r="G13" s="38" t="s">
        <v>57</v>
      </c>
      <c r="H13" s="11">
        <v>1500</v>
      </c>
      <c r="K13" s="12" t="str">
        <f>[1]Sum!C13</f>
        <v>October</v>
      </c>
      <c r="L13" s="11">
        <f>[1]Sum!D13</f>
        <v>700</v>
      </c>
    </row>
    <row r="14" spans="2:12" x14ac:dyDescent="0.25">
      <c r="B14" s="13"/>
      <c r="C14" s="38" t="s">
        <v>71</v>
      </c>
      <c r="D14" s="11">
        <v>1800</v>
      </c>
      <c r="F14" s="13"/>
      <c r="G14" s="38" t="s">
        <v>58</v>
      </c>
      <c r="H14" s="11">
        <v>1800</v>
      </c>
      <c r="K14" s="12" t="str">
        <f>[1]Sum!C14</f>
        <v>November</v>
      </c>
      <c r="L14" s="11">
        <f>[1]Sum!D14</f>
        <v>1400</v>
      </c>
    </row>
    <row r="15" spans="2:12" x14ac:dyDescent="0.25">
      <c r="B15" s="13"/>
      <c r="C15" s="38" t="s">
        <v>72</v>
      </c>
      <c r="D15" s="11">
        <v>800</v>
      </c>
      <c r="F15" s="13"/>
      <c r="G15" s="38" t="s">
        <v>59</v>
      </c>
      <c r="H15" s="11">
        <v>800</v>
      </c>
      <c r="K15" s="12" t="str">
        <f>[1]Sum!C15</f>
        <v>December</v>
      </c>
      <c r="L15" s="11">
        <f>[1]Sum!D15</f>
        <v>1600</v>
      </c>
    </row>
    <row r="16" spans="2:12" x14ac:dyDescent="0.25">
      <c r="B16" s="13"/>
      <c r="C16" s="38" t="s">
        <v>73</v>
      </c>
      <c r="D16" s="11">
        <v>1100</v>
      </c>
      <c r="F16" s="13"/>
      <c r="G16" s="38" t="s">
        <v>60</v>
      </c>
      <c r="H16" s="11">
        <v>1100</v>
      </c>
      <c r="K16" s="12" t="s">
        <v>63</v>
      </c>
      <c r="L16" s="11">
        <f>AVERAGE(L8:L15)</f>
        <v>1275</v>
      </c>
    </row>
    <row r="17" spans="2:13" x14ac:dyDescent="0.25">
      <c r="B17" s="13"/>
      <c r="C17" s="38" t="s">
        <v>74</v>
      </c>
      <c r="D17" s="11">
        <v>1300</v>
      </c>
      <c r="F17" s="13"/>
      <c r="G17" s="38" t="s">
        <v>56</v>
      </c>
      <c r="H17" s="11">
        <v>1300</v>
      </c>
    </row>
    <row r="18" spans="2:13" x14ac:dyDescent="0.25">
      <c r="B18" s="13"/>
      <c r="C18" s="38" t="s">
        <v>75</v>
      </c>
      <c r="D18" s="11">
        <v>700</v>
      </c>
      <c r="F18" s="13"/>
      <c r="G18" s="38" t="s">
        <v>58</v>
      </c>
      <c r="H18" s="11">
        <v>700</v>
      </c>
    </row>
    <row r="19" spans="2:13" x14ac:dyDescent="0.25">
      <c r="B19" s="13"/>
      <c r="C19" s="38" t="s">
        <v>76</v>
      </c>
      <c r="D19" s="11">
        <v>1400</v>
      </c>
      <c r="F19" s="13"/>
      <c r="G19" s="38" t="s">
        <v>59</v>
      </c>
      <c r="H19" s="11">
        <v>1400</v>
      </c>
    </row>
    <row r="20" spans="2:13" x14ac:dyDescent="0.25">
      <c r="B20" s="13"/>
      <c r="C20" s="38" t="s">
        <v>77</v>
      </c>
      <c r="D20" s="11">
        <v>1600</v>
      </c>
      <c r="F20" s="13"/>
      <c r="G20" s="38" t="s">
        <v>56</v>
      </c>
      <c r="H20" s="11">
        <v>1600</v>
      </c>
      <c r="I20" s="10">
        <f>SUMIF(D9:D20,"&gt;1000",D9:D20)</f>
        <v>9900</v>
      </c>
      <c r="J20" s="10">
        <f>SUMIF(H9:H20,"&lt;1000",H9:H20)</f>
        <v>2900</v>
      </c>
    </row>
    <row r="21" spans="2:13" x14ac:dyDescent="0.25">
      <c r="B21" s="13"/>
      <c r="C21" s="39" t="s">
        <v>50</v>
      </c>
      <c r="D21" s="11">
        <f>SUM(D9:D20)</f>
        <v>13800</v>
      </c>
      <c r="F21" s="13"/>
      <c r="G21" s="40"/>
      <c r="H21" s="13"/>
    </row>
    <row r="22" spans="2:13" x14ac:dyDescent="0.25">
      <c r="D22" s="10">
        <f>SUM(D9:D20)</f>
        <v>13800</v>
      </c>
    </row>
    <row r="23" spans="2:13" x14ac:dyDescent="0.25">
      <c r="G23" s="38" t="s">
        <v>60</v>
      </c>
      <c r="H23" s="12" t="s">
        <v>79</v>
      </c>
    </row>
    <row r="24" spans="2:13" x14ac:dyDescent="0.25">
      <c r="G24" s="12"/>
      <c r="H24" s="41">
        <f>SUMIF(G9:G20,G23,H9:H20)</f>
        <v>2300</v>
      </c>
      <c r="I24" s="10">
        <f>SUMIF(H9:H20,"&lt;1000",H9:H20)</f>
        <v>2900</v>
      </c>
    </row>
    <row r="30" spans="2:13" x14ac:dyDescent="0.25"/>
    <row r="31" spans="2:13" x14ac:dyDescent="0.25">
      <c r="D31" s="82" t="s">
        <v>93</v>
      </c>
      <c r="E31" s="82"/>
      <c r="H31" s="82" t="s">
        <v>94</v>
      </c>
      <c r="I31" s="82"/>
      <c r="K31" s="12" t="s">
        <v>82</v>
      </c>
      <c r="L31" s="12"/>
    </row>
    <row r="32" spans="2:13" x14ac:dyDescent="0.25">
      <c r="D32" s="37" t="s">
        <v>78</v>
      </c>
      <c r="E32" s="11" t="s">
        <v>32</v>
      </c>
      <c r="H32" s="37" t="s">
        <v>78</v>
      </c>
      <c r="I32" s="11" t="s">
        <v>32</v>
      </c>
      <c r="K32" s="83"/>
      <c r="L32" s="37" t="s">
        <v>78</v>
      </c>
      <c r="M32" s="13"/>
    </row>
    <row r="33" spans="4:13" x14ac:dyDescent="0.25">
      <c r="D33" s="38" t="s">
        <v>56</v>
      </c>
      <c r="E33" s="11">
        <v>1000</v>
      </c>
      <c r="H33" s="38" t="s">
        <v>56</v>
      </c>
      <c r="I33" s="11">
        <v>1000</v>
      </c>
      <c r="K33" s="84"/>
      <c r="L33" s="38" t="s">
        <v>56</v>
      </c>
      <c r="M33" s="13"/>
    </row>
    <row r="34" spans="4:13" x14ac:dyDescent="0.25">
      <c r="D34" s="38" t="s">
        <v>57</v>
      </c>
      <c r="E34" s="11">
        <v>900</v>
      </c>
      <c r="H34" s="38" t="s">
        <v>57</v>
      </c>
      <c r="I34" s="11">
        <v>900</v>
      </c>
      <c r="J34" s="10" t="b">
        <f t="shared" ref="J34:J44" si="0">IF(I34&lt;1300,TRUE,FALSE)</f>
        <v>1</v>
      </c>
      <c r="K34" s="84"/>
      <c r="L34" s="38" t="s">
        <v>57</v>
      </c>
      <c r="M34" s="13"/>
    </row>
    <row r="35" spans="4:13" x14ac:dyDescent="0.25">
      <c r="D35" s="38" t="s">
        <v>56</v>
      </c>
      <c r="E35" s="11">
        <v>500</v>
      </c>
      <c r="H35" s="38" t="s">
        <v>56</v>
      </c>
      <c r="I35" s="11">
        <v>500</v>
      </c>
      <c r="J35" s="10" t="b">
        <f t="shared" si="0"/>
        <v>1</v>
      </c>
      <c r="K35" s="84"/>
      <c r="L35" s="38" t="s">
        <v>56</v>
      </c>
      <c r="M35" s="13"/>
    </row>
    <row r="36" spans="4:13" x14ac:dyDescent="0.25">
      <c r="D36" s="38" t="s">
        <v>60</v>
      </c>
      <c r="E36" s="11">
        <v>1200</v>
      </c>
      <c r="H36" s="38" t="s">
        <v>60</v>
      </c>
      <c r="I36" s="11">
        <v>1200</v>
      </c>
      <c r="J36" s="10" t="b">
        <f t="shared" si="0"/>
        <v>1</v>
      </c>
      <c r="K36" s="84"/>
      <c r="L36" s="38" t="s">
        <v>60</v>
      </c>
      <c r="M36" s="13"/>
    </row>
    <row r="37" spans="4:13" x14ac:dyDescent="0.25">
      <c r="D37" s="38" t="s">
        <v>57</v>
      </c>
      <c r="E37" s="11">
        <v>1500</v>
      </c>
      <c r="H37" s="38" t="s">
        <v>57</v>
      </c>
      <c r="I37" s="11">
        <v>1500</v>
      </c>
      <c r="J37" s="10" t="b">
        <f t="shared" si="0"/>
        <v>0</v>
      </c>
      <c r="K37" s="84"/>
      <c r="L37" s="38" t="s">
        <v>57</v>
      </c>
      <c r="M37" s="13"/>
    </row>
    <row r="38" spans="4:13" x14ac:dyDescent="0.25">
      <c r="D38" s="38" t="s">
        <v>58</v>
      </c>
      <c r="E38" s="11">
        <v>800</v>
      </c>
      <c r="H38" s="38" t="s">
        <v>58</v>
      </c>
      <c r="I38" s="11">
        <v>1800</v>
      </c>
      <c r="J38" s="10" t="b">
        <f t="shared" si="0"/>
        <v>0</v>
      </c>
      <c r="K38" s="84"/>
      <c r="L38" s="38" t="s">
        <v>58</v>
      </c>
      <c r="M38" s="13"/>
    </row>
    <row r="39" spans="4:13" x14ac:dyDescent="0.25">
      <c r="D39" s="38" t="s">
        <v>59</v>
      </c>
      <c r="E39" s="11">
        <v>800</v>
      </c>
      <c r="H39" s="38" t="s">
        <v>59</v>
      </c>
      <c r="I39" s="11">
        <v>800</v>
      </c>
      <c r="J39" s="10" t="b">
        <f t="shared" si="0"/>
        <v>1</v>
      </c>
      <c r="K39" s="84"/>
      <c r="L39" s="38" t="s">
        <v>59</v>
      </c>
      <c r="M39" s="13"/>
    </row>
    <row r="40" spans="4:13" x14ac:dyDescent="0.25">
      <c r="D40" s="38" t="s">
        <v>60</v>
      </c>
      <c r="E40" s="11">
        <v>1100</v>
      </c>
      <c r="H40" s="38" t="s">
        <v>60</v>
      </c>
      <c r="I40" s="11">
        <v>1100</v>
      </c>
      <c r="J40" s="10" t="b">
        <f t="shared" si="0"/>
        <v>1</v>
      </c>
      <c r="K40" s="84"/>
      <c r="L40" s="38" t="s">
        <v>60</v>
      </c>
      <c r="M40" s="13"/>
    </row>
    <row r="41" spans="4:13" x14ac:dyDescent="0.25">
      <c r="D41" s="38" t="s">
        <v>56</v>
      </c>
      <c r="E41" s="11">
        <v>700</v>
      </c>
      <c r="H41" s="38" t="s">
        <v>56</v>
      </c>
      <c r="I41" s="11">
        <v>1300</v>
      </c>
      <c r="J41" s="10" t="b">
        <f t="shared" si="0"/>
        <v>0</v>
      </c>
      <c r="K41" s="84"/>
      <c r="L41" s="38" t="s">
        <v>56</v>
      </c>
      <c r="M41" s="13"/>
    </row>
    <row r="42" spans="4:13" x14ac:dyDescent="0.25">
      <c r="D42" s="38" t="s">
        <v>58</v>
      </c>
      <c r="E42" s="11">
        <v>700</v>
      </c>
      <c r="H42" s="38" t="s">
        <v>58</v>
      </c>
      <c r="I42" s="11">
        <v>700</v>
      </c>
      <c r="J42" s="10" t="b">
        <f t="shared" si="0"/>
        <v>1</v>
      </c>
      <c r="K42" s="84"/>
      <c r="L42" s="38" t="s">
        <v>58</v>
      </c>
      <c r="M42" s="13"/>
    </row>
    <row r="43" spans="4:13" x14ac:dyDescent="0.25">
      <c r="D43" s="38" t="s">
        <v>59</v>
      </c>
      <c r="E43" s="11">
        <v>1400</v>
      </c>
      <c r="H43" s="38" t="s">
        <v>59</v>
      </c>
      <c r="I43" s="11">
        <v>1400</v>
      </c>
      <c r="J43" s="10" t="b">
        <f t="shared" si="0"/>
        <v>0</v>
      </c>
      <c r="K43" s="84"/>
      <c r="L43" s="38" t="s">
        <v>59</v>
      </c>
      <c r="M43" s="13"/>
    </row>
    <row r="44" spans="4:13" x14ac:dyDescent="0.25">
      <c r="D44" s="38" t="s">
        <v>56</v>
      </c>
      <c r="E44" s="11">
        <v>1600</v>
      </c>
      <c r="H44" s="38" t="s">
        <v>56</v>
      </c>
      <c r="I44" s="11">
        <v>1600</v>
      </c>
      <c r="J44" s="10" t="b">
        <f t="shared" si="0"/>
        <v>0</v>
      </c>
      <c r="K44" s="85"/>
      <c r="L44" s="38" t="s">
        <v>56</v>
      </c>
      <c r="M44" s="13"/>
    </row>
    <row r="45" spans="4:13" x14ac:dyDescent="0.25">
      <c r="H45" s="12"/>
      <c r="I45" s="12"/>
    </row>
    <row r="46" spans="4:13" x14ac:dyDescent="0.25">
      <c r="D46" s="38" t="s">
        <v>80</v>
      </c>
      <c r="E46" s="12">
        <f>COUNT(E33:E44)</f>
        <v>12</v>
      </c>
      <c r="H46" s="38" t="s">
        <v>81</v>
      </c>
      <c r="I46" s="12">
        <f>COUNTA(H33:I44)</f>
        <v>24</v>
      </c>
      <c r="K46" s="38" t="s">
        <v>83</v>
      </c>
      <c r="L46" s="12"/>
    </row>
    <row r="47" spans="4:13" x14ac:dyDescent="0.25">
      <c r="D47" s="12"/>
      <c r="E47" s="12">
        <f>COUNT(D33:D44)</f>
        <v>0</v>
      </c>
      <c r="H47" s="12"/>
      <c r="I47" s="12">
        <f>COUNTBLANK(H32:I45)</f>
        <v>2</v>
      </c>
      <c r="K47" s="38" t="s">
        <v>56</v>
      </c>
      <c r="L47" s="12">
        <f>COUNTIF(L33:L44,K47)</f>
        <v>4</v>
      </c>
    </row>
    <row r="48" spans="4:13" x14ac:dyDescent="0.25">
      <c r="F48" s="10">
        <f>COUNTIF(E33:E44,"&lt;1000")</f>
        <v>6</v>
      </c>
    </row>
    <row r="54" spans="5:8" x14ac:dyDescent="0.25">
      <c r="E54" s="82" t="s">
        <v>95</v>
      </c>
      <c r="F54" s="82"/>
      <c r="G54" s="82"/>
      <c r="H54" s="82"/>
    </row>
    <row r="55" spans="5:8" x14ac:dyDescent="0.25">
      <c r="E55" s="12" t="s">
        <v>84</v>
      </c>
      <c r="F55" s="12"/>
      <c r="G55" s="12"/>
      <c r="H55" s="12"/>
    </row>
    <row r="56" spans="5:8" x14ac:dyDescent="0.25">
      <c r="E56" s="12" t="s">
        <v>85</v>
      </c>
      <c r="F56" s="12" t="b">
        <f>IF(E56="Banana",TRUE, FALSE)</f>
        <v>0</v>
      </c>
      <c r="G56" s="81" t="b">
        <f>K53=IF(E56="Lemon","Yes", "It is not Lemon")</f>
        <v>0</v>
      </c>
      <c r="H56" s="81"/>
    </row>
    <row r="57" spans="5:8" x14ac:dyDescent="0.25">
      <c r="E57" s="12" t="s">
        <v>86</v>
      </c>
      <c r="F57" s="12" t="b">
        <f t="shared" ref="F57:F60" si="1">IF(E57="Banana",TRUE, FALSE)</f>
        <v>0</v>
      </c>
      <c r="G57" s="81" t="str">
        <f t="shared" ref="G57:G60" si="2">IF(E57="Lemon","Yes", "It is not Lemon")</f>
        <v>It is not Lemon</v>
      </c>
      <c r="H57" s="81"/>
    </row>
    <row r="58" spans="5:8" x14ac:dyDescent="0.25">
      <c r="E58" s="12" t="s">
        <v>87</v>
      </c>
      <c r="F58" s="12" t="b">
        <f t="shared" si="1"/>
        <v>1</v>
      </c>
      <c r="G58" s="81" t="str">
        <f t="shared" si="2"/>
        <v>It is not Lemon</v>
      </c>
      <c r="H58" s="81"/>
    </row>
    <row r="59" spans="5:8" x14ac:dyDescent="0.25">
      <c r="E59" s="12" t="s">
        <v>88</v>
      </c>
      <c r="F59" s="12" t="b">
        <f t="shared" si="1"/>
        <v>0</v>
      </c>
      <c r="G59" s="81" t="str">
        <f t="shared" si="2"/>
        <v>It is not Lemon</v>
      </c>
      <c r="H59" s="81"/>
    </row>
    <row r="60" spans="5:8" x14ac:dyDescent="0.25">
      <c r="E60" s="12" t="s">
        <v>89</v>
      </c>
      <c r="F60" s="12" t="b">
        <f t="shared" si="1"/>
        <v>0</v>
      </c>
      <c r="G60" s="81" t="str">
        <f t="shared" si="2"/>
        <v>Yes</v>
      </c>
      <c r="H60" s="81"/>
    </row>
    <row r="62" spans="5:8" x14ac:dyDescent="0.25">
      <c r="E62" s="10">
        <v>10</v>
      </c>
      <c r="F62" s="10">
        <f>IF(E62&lt;25,E62*10,0)</f>
        <v>100</v>
      </c>
      <c r="G62" s="10">
        <f>IF(E62&gt;50,E62/10,E62*5)</f>
        <v>50</v>
      </c>
    </row>
    <row r="63" spans="5:8" x14ac:dyDescent="0.25">
      <c r="E63" s="10">
        <v>25</v>
      </c>
      <c r="F63" s="10">
        <f t="shared" ref="F63:F66" si="3">IF(E63&lt;25,E63*10,0)</f>
        <v>0</v>
      </c>
      <c r="G63" s="10">
        <f t="shared" ref="G63:G66" si="4">IF(E63&gt;50,E63/10,E63*5)</f>
        <v>125</v>
      </c>
    </row>
    <row r="64" spans="5:8" x14ac:dyDescent="0.25">
      <c r="E64" s="10">
        <v>68</v>
      </c>
      <c r="F64" s="10">
        <f t="shared" si="3"/>
        <v>0</v>
      </c>
      <c r="G64" s="10">
        <f t="shared" si="4"/>
        <v>6.8</v>
      </c>
    </row>
    <row r="65" spans="5:7" x14ac:dyDescent="0.25">
      <c r="E65" s="10">
        <v>24</v>
      </c>
      <c r="F65" s="10">
        <f t="shared" si="3"/>
        <v>240</v>
      </c>
      <c r="G65" s="10">
        <f t="shared" si="4"/>
        <v>120</v>
      </c>
    </row>
    <row r="66" spans="5:7" x14ac:dyDescent="0.25">
      <c r="E66" s="10">
        <v>80</v>
      </c>
      <c r="F66" s="10">
        <f t="shared" si="3"/>
        <v>0</v>
      </c>
      <c r="G66" s="10">
        <f t="shared" si="4"/>
        <v>8</v>
      </c>
    </row>
  </sheetData>
  <mergeCells count="12">
    <mergeCell ref="C7:D7"/>
    <mergeCell ref="G7:H7"/>
    <mergeCell ref="K7:L7"/>
    <mergeCell ref="D31:E31"/>
    <mergeCell ref="H31:I31"/>
    <mergeCell ref="G60:H60"/>
    <mergeCell ref="E54:H54"/>
    <mergeCell ref="K32:K44"/>
    <mergeCell ref="G56:H56"/>
    <mergeCell ref="G57:H57"/>
    <mergeCell ref="G58:H58"/>
    <mergeCell ref="G59:H5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3:L21"/>
  <sheetViews>
    <sheetView topLeftCell="B7" workbookViewId="0">
      <selection activeCell="C13" sqref="C13:L21"/>
    </sheetView>
  </sheetViews>
  <sheetFormatPr defaultColWidth="9.109375" defaultRowHeight="13.8" x14ac:dyDescent="0.25"/>
  <cols>
    <col min="1" max="2" width="9.109375" style="10"/>
    <col min="3" max="3" width="5" style="10" customWidth="1"/>
    <col min="4" max="4" width="20.44140625" style="10" customWidth="1"/>
    <col min="5" max="5" width="12.33203125" style="10" customWidth="1"/>
    <col min="6" max="6" width="13.109375" style="10" customWidth="1"/>
    <col min="7" max="7" width="14.33203125" style="10" customWidth="1"/>
    <col min="8" max="8" width="15" style="10" customWidth="1"/>
    <col min="9" max="9" width="12.44140625" style="10" customWidth="1"/>
    <col min="10" max="11" width="13.6640625" style="10" customWidth="1"/>
    <col min="12" max="12" width="12" style="10" customWidth="1"/>
    <col min="13" max="16384" width="9.109375" style="10"/>
  </cols>
  <sheetData>
    <row r="13" spans="3:12" ht="45.6" x14ac:dyDescent="0.75">
      <c r="C13" s="86" t="s">
        <v>110</v>
      </c>
      <c r="D13" s="86"/>
      <c r="E13" s="86"/>
      <c r="F13" s="86"/>
      <c r="G13" s="86"/>
      <c r="H13" s="86"/>
      <c r="I13" s="86"/>
      <c r="J13" s="86"/>
      <c r="K13" s="86"/>
      <c r="L13" s="86"/>
    </row>
    <row r="15" spans="3:12" ht="21" x14ac:dyDescent="0.4">
      <c r="K15" s="75" t="s">
        <v>111</v>
      </c>
      <c r="L15" s="75"/>
    </row>
    <row r="16" spans="3:12" s="29" customFormat="1" ht="34.799999999999997" x14ac:dyDescent="0.3">
      <c r="C16" s="33" t="s">
        <v>0</v>
      </c>
      <c r="D16" s="33" t="s">
        <v>96</v>
      </c>
      <c r="E16" s="33" t="s">
        <v>97</v>
      </c>
      <c r="F16" s="33" t="s">
        <v>98</v>
      </c>
      <c r="G16" s="33" t="s">
        <v>99</v>
      </c>
      <c r="H16" s="33" t="s">
        <v>100</v>
      </c>
      <c r="I16" s="33" t="s">
        <v>101</v>
      </c>
      <c r="J16" s="33" t="s">
        <v>102</v>
      </c>
      <c r="K16" s="33" t="s">
        <v>109</v>
      </c>
      <c r="L16" s="33" t="s">
        <v>103</v>
      </c>
    </row>
    <row r="17" spans="3:12" ht="15.6" x14ac:dyDescent="0.25">
      <c r="C17" s="3">
        <v>1</v>
      </c>
      <c r="D17" s="43" t="s">
        <v>104</v>
      </c>
      <c r="E17" s="3">
        <v>1250</v>
      </c>
      <c r="F17" s="3">
        <v>1000</v>
      </c>
      <c r="G17" s="3">
        <f>E17-F17</f>
        <v>250</v>
      </c>
      <c r="H17" s="3">
        <f>250*18</f>
        <v>4500</v>
      </c>
      <c r="I17" s="3">
        <v>500</v>
      </c>
      <c r="J17" s="3">
        <v>25</v>
      </c>
      <c r="K17" s="3">
        <f>H17*5%</f>
        <v>225</v>
      </c>
      <c r="L17" s="3">
        <f>SUM(H17:K17)</f>
        <v>5250</v>
      </c>
    </row>
    <row r="18" spans="3:12" ht="15.6" x14ac:dyDescent="0.25">
      <c r="C18" s="3">
        <v>2</v>
      </c>
      <c r="D18" s="43" t="s">
        <v>105</v>
      </c>
      <c r="E18" s="3">
        <v>2010</v>
      </c>
      <c r="F18" s="3">
        <v>1800</v>
      </c>
      <c r="G18" s="3">
        <f t="shared" ref="G18:G21" si="0">E18-F18</f>
        <v>210</v>
      </c>
      <c r="H18" s="3">
        <f t="shared" ref="H18" si="1">250*18</f>
        <v>4500</v>
      </c>
      <c r="I18" s="3">
        <v>500</v>
      </c>
      <c r="J18" s="3">
        <v>25</v>
      </c>
      <c r="K18" s="3">
        <f t="shared" ref="K18:K21" si="2">H18*5%</f>
        <v>225</v>
      </c>
      <c r="L18" s="3">
        <f t="shared" ref="L18:L21" si="3">SUM(H18:K18)</f>
        <v>5250</v>
      </c>
    </row>
    <row r="19" spans="3:12" ht="15.6" x14ac:dyDescent="0.25">
      <c r="C19" s="3">
        <v>3</v>
      </c>
      <c r="D19" s="43" t="s">
        <v>106</v>
      </c>
      <c r="E19" s="3">
        <v>1350</v>
      </c>
      <c r="F19" s="3">
        <v>1275</v>
      </c>
      <c r="G19" s="3">
        <f t="shared" si="0"/>
        <v>75</v>
      </c>
      <c r="H19" s="3">
        <f>G19*10</f>
        <v>750</v>
      </c>
      <c r="I19" s="3">
        <v>500</v>
      </c>
      <c r="J19" s="3">
        <v>25</v>
      </c>
      <c r="K19" s="3">
        <f t="shared" si="2"/>
        <v>37.5</v>
      </c>
      <c r="L19" s="3">
        <f t="shared" si="3"/>
        <v>1312.5</v>
      </c>
    </row>
    <row r="20" spans="3:12" ht="15.6" x14ac:dyDescent="0.25">
      <c r="C20" s="3">
        <v>4</v>
      </c>
      <c r="D20" s="43" t="s">
        <v>107</v>
      </c>
      <c r="E20" s="3">
        <v>4400</v>
      </c>
      <c r="F20" s="3">
        <v>4000</v>
      </c>
      <c r="G20" s="3">
        <f t="shared" si="0"/>
        <v>400</v>
      </c>
      <c r="H20" s="3">
        <f>400*18</f>
        <v>7200</v>
      </c>
      <c r="I20" s="3">
        <v>500</v>
      </c>
      <c r="J20" s="3">
        <v>25</v>
      </c>
      <c r="K20" s="3">
        <f t="shared" si="2"/>
        <v>360</v>
      </c>
      <c r="L20" s="3">
        <f t="shared" si="3"/>
        <v>8085</v>
      </c>
    </row>
    <row r="21" spans="3:12" ht="15.6" x14ac:dyDescent="0.25">
      <c r="C21" s="3">
        <v>5</v>
      </c>
      <c r="D21" s="43" t="s">
        <v>108</v>
      </c>
      <c r="E21" s="3">
        <v>3250</v>
      </c>
      <c r="F21" s="3">
        <v>3150</v>
      </c>
      <c r="G21" s="3">
        <f t="shared" si="0"/>
        <v>100</v>
      </c>
      <c r="H21" s="3">
        <f>100*10</f>
        <v>1000</v>
      </c>
      <c r="I21" s="3">
        <v>500</v>
      </c>
      <c r="J21" s="3">
        <v>25</v>
      </c>
      <c r="K21" s="3">
        <f t="shared" si="2"/>
        <v>50</v>
      </c>
      <c r="L21" s="3">
        <f t="shared" si="3"/>
        <v>1575</v>
      </c>
    </row>
  </sheetData>
  <mergeCells count="2">
    <mergeCell ref="C13:L13"/>
    <mergeCell ref="K15:L15"/>
  </mergeCells>
  <pageMargins left="0.7" right="0.7" top="0.75" bottom="0.75" header="0.3" footer="0.3"/>
  <ignoredErrors>
    <ignoredError sqref="H19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9:I44"/>
  <sheetViews>
    <sheetView topLeftCell="B7" workbookViewId="0">
      <selection activeCell="N36" sqref="N36"/>
    </sheetView>
  </sheetViews>
  <sheetFormatPr defaultColWidth="9.109375" defaultRowHeight="13.8" x14ac:dyDescent="0.25"/>
  <cols>
    <col min="1" max="3" width="9.109375" style="10"/>
    <col min="4" max="4" width="10.109375" style="13" bestFit="1" customWidth="1"/>
    <col min="5" max="5" width="18.33203125" style="10" customWidth="1"/>
    <col min="6" max="6" width="15.44140625" style="10" customWidth="1"/>
    <col min="7" max="8" width="9.109375" style="13"/>
    <col min="9" max="9" width="11.33203125" style="10" bestFit="1" customWidth="1"/>
    <col min="10" max="16384" width="9.109375" style="10"/>
  </cols>
  <sheetData>
    <row r="9" spans="4:9" ht="15" customHeight="1" x14ac:dyDescent="0.25">
      <c r="D9" s="87" t="s">
        <v>112</v>
      </c>
      <c r="E9" s="87"/>
      <c r="F9" s="87"/>
      <c r="G9" s="87"/>
      <c r="H9" s="87"/>
      <c r="I9" s="87"/>
    </row>
    <row r="12" spans="4:9" ht="17.399999999999999" x14ac:dyDescent="0.25">
      <c r="D12" s="44" t="s">
        <v>113</v>
      </c>
      <c r="E12" s="45" t="s">
        <v>114</v>
      </c>
      <c r="F12" s="45" t="s">
        <v>115</v>
      </c>
      <c r="G12" s="44" t="s">
        <v>116</v>
      </c>
      <c r="H12" s="44" t="s">
        <v>117</v>
      </c>
      <c r="I12" s="45" t="s">
        <v>118</v>
      </c>
    </row>
    <row r="13" spans="4:9" x14ac:dyDescent="0.25">
      <c r="D13" s="46">
        <v>45292</v>
      </c>
      <c r="E13" s="2" t="s">
        <v>119</v>
      </c>
      <c r="F13" s="2"/>
      <c r="G13" s="1"/>
      <c r="H13" s="1"/>
      <c r="I13" s="47">
        <v>20000</v>
      </c>
    </row>
    <row r="14" spans="4:9" x14ac:dyDescent="0.25">
      <c r="D14" s="46">
        <v>45293</v>
      </c>
      <c r="E14" s="1" t="s">
        <v>120</v>
      </c>
      <c r="F14" s="1">
        <v>1210150</v>
      </c>
      <c r="G14" s="1">
        <v>20000</v>
      </c>
      <c r="H14" s="1"/>
      <c r="I14" s="47">
        <f>I13+H14-G14</f>
        <v>0</v>
      </c>
    </row>
    <row r="15" spans="4:9" x14ac:dyDescent="0.25">
      <c r="D15" s="46">
        <v>45294</v>
      </c>
      <c r="E15" s="1" t="s">
        <v>117</v>
      </c>
      <c r="F15" s="1">
        <v>1210151</v>
      </c>
      <c r="G15" s="1"/>
      <c r="H15" s="1">
        <v>250000</v>
      </c>
      <c r="I15" s="47">
        <f t="shared" ref="I15:I43" si="0">I14+H15-G15</f>
        <v>250000</v>
      </c>
    </row>
    <row r="16" spans="4:9" x14ac:dyDescent="0.25">
      <c r="D16" s="46">
        <v>45295</v>
      </c>
      <c r="E16" s="1" t="s">
        <v>120</v>
      </c>
      <c r="F16" s="1">
        <v>1210152</v>
      </c>
      <c r="G16" s="1">
        <v>10000</v>
      </c>
      <c r="H16" s="1">
        <v>15000</v>
      </c>
      <c r="I16" s="47">
        <f t="shared" si="0"/>
        <v>255000</v>
      </c>
    </row>
    <row r="17" spans="4:9" x14ac:dyDescent="0.25">
      <c r="D17" s="46">
        <v>45296</v>
      </c>
      <c r="E17" s="1" t="s">
        <v>117</v>
      </c>
      <c r="F17" s="1">
        <v>1210153</v>
      </c>
      <c r="G17" s="1"/>
      <c r="H17" s="1">
        <v>4500</v>
      </c>
      <c r="I17" s="47">
        <f t="shared" si="0"/>
        <v>259500</v>
      </c>
    </row>
    <row r="18" spans="4:9" x14ac:dyDescent="0.25">
      <c r="D18" s="46">
        <v>45297</v>
      </c>
      <c r="E18" s="32" t="s">
        <v>117</v>
      </c>
      <c r="F18" s="1">
        <v>1210154</v>
      </c>
      <c r="G18" s="11"/>
      <c r="H18" s="1">
        <v>15000</v>
      </c>
      <c r="I18" s="47">
        <f t="shared" si="0"/>
        <v>274500</v>
      </c>
    </row>
    <row r="19" spans="4:9" x14ac:dyDescent="0.25">
      <c r="D19" s="46">
        <v>45298</v>
      </c>
      <c r="E19" s="32" t="s">
        <v>120</v>
      </c>
      <c r="F19" s="1">
        <v>1210155</v>
      </c>
      <c r="G19" s="11">
        <v>25000</v>
      </c>
      <c r="H19" s="1"/>
      <c r="I19" s="47">
        <f t="shared" si="0"/>
        <v>249500</v>
      </c>
    </row>
    <row r="20" spans="4:9" x14ac:dyDescent="0.25">
      <c r="D20" s="46">
        <v>45299</v>
      </c>
      <c r="E20" s="32" t="s">
        <v>117</v>
      </c>
      <c r="F20" s="1">
        <v>1210156</v>
      </c>
      <c r="G20" s="11"/>
      <c r="H20" s="1">
        <v>35000</v>
      </c>
      <c r="I20" s="47">
        <f t="shared" si="0"/>
        <v>284500</v>
      </c>
    </row>
    <row r="21" spans="4:9" x14ac:dyDescent="0.25">
      <c r="D21" s="46">
        <v>45300</v>
      </c>
      <c r="E21" s="32" t="s">
        <v>117</v>
      </c>
      <c r="F21" s="1">
        <v>1210157</v>
      </c>
      <c r="G21" s="11"/>
      <c r="H21" s="1">
        <v>85000</v>
      </c>
      <c r="I21" s="47">
        <f t="shared" si="0"/>
        <v>369500</v>
      </c>
    </row>
    <row r="22" spans="4:9" x14ac:dyDescent="0.25">
      <c r="D22" s="46">
        <v>45301</v>
      </c>
      <c r="E22" s="32" t="s">
        <v>120</v>
      </c>
      <c r="F22" s="1">
        <v>1210158</v>
      </c>
      <c r="G22" s="11">
        <v>50000</v>
      </c>
      <c r="H22" s="1">
        <v>5000</v>
      </c>
      <c r="I22" s="47">
        <f t="shared" si="0"/>
        <v>324500</v>
      </c>
    </row>
    <row r="23" spans="4:9" x14ac:dyDescent="0.25">
      <c r="D23" s="46">
        <v>45302</v>
      </c>
      <c r="E23" s="32" t="s">
        <v>117</v>
      </c>
      <c r="F23" s="1">
        <v>1210159</v>
      </c>
      <c r="G23" s="11"/>
      <c r="H23" s="1">
        <v>32000</v>
      </c>
      <c r="I23" s="47">
        <f t="shared" si="0"/>
        <v>356500</v>
      </c>
    </row>
    <row r="24" spans="4:9" x14ac:dyDescent="0.25">
      <c r="D24" s="46">
        <v>45303</v>
      </c>
      <c r="E24" s="32" t="s">
        <v>117</v>
      </c>
      <c r="F24" s="1">
        <v>1210160</v>
      </c>
      <c r="G24" s="11"/>
      <c r="H24" s="1">
        <v>30000</v>
      </c>
      <c r="I24" s="47">
        <f t="shared" si="0"/>
        <v>386500</v>
      </c>
    </row>
    <row r="25" spans="4:9" x14ac:dyDescent="0.25">
      <c r="D25" s="46">
        <v>45304</v>
      </c>
      <c r="E25" s="32" t="s">
        <v>120</v>
      </c>
      <c r="F25" s="1">
        <v>1210161</v>
      </c>
      <c r="G25" s="11">
        <v>200000</v>
      </c>
      <c r="H25" s="1"/>
      <c r="I25" s="47">
        <f t="shared" si="0"/>
        <v>186500</v>
      </c>
    </row>
    <row r="26" spans="4:9" x14ac:dyDescent="0.25">
      <c r="D26" s="46">
        <v>45305</v>
      </c>
      <c r="E26" s="32" t="s">
        <v>117</v>
      </c>
      <c r="F26" s="1">
        <v>1210162</v>
      </c>
      <c r="G26" s="11"/>
      <c r="H26" s="1">
        <v>150000</v>
      </c>
      <c r="I26" s="47">
        <f t="shared" si="0"/>
        <v>336500</v>
      </c>
    </row>
    <row r="27" spans="4:9" x14ac:dyDescent="0.25">
      <c r="D27" s="46">
        <v>45306</v>
      </c>
      <c r="E27" s="32" t="s">
        <v>117</v>
      </c>
      <c r="F27" s="1">
        <v>1210163</v>
      </c>
      <c r="G27" s="11"/>
      <c r="H27" s="1">
        <v>25000</v>
      </c>
      <c r="I27" s="47">
        <f t="shared" si="0"/>
        <v>361500</v>
      </c>
    </row>
    <row r="28" spans="4:9" x14ac:dyDescent="0.25">
      <c r="D28" s="46">
        <v>45307</v>
      </c>
      <c r="E28" s="32" t="s">
        <v>117</v>
      </c>
      <c r="F28" s="1">
        <v>1210164</v>
      </c>
      <c r="G28" s="11"/>
      <c r="H28" s="1">
        <v>30000</v>
      </c>
      <c r="I28" s="47">
        <f t="shared" si="0"/>
        <v>391500</v>
      </c>
    </row>
    <row r="29" spans="4:9" x14ac:dyDescent="0.25">
      <c r="D29" s="46">
        <v>45308</v>
      </c>
      <c r="E29" s="32" t="s">
        <v>117</v>
      </c>
      <c r="F29" s="1">
        <v>1210165</v>
      </c>
      <c r="G29" s="11"/>
      <c r="H29" s="1">
        <v>55000</v>
      </c>
      <c r="I29" s="47">
        <f t="shared" si="0"/>
        <v>446500</v>
      </c>
    </row>
    <row r="30" spans="4:9" x14ac:dyDescent="0.25">
      <c r="D30" s="46">
        <v>45309</v>
      </c>
      <c r="E30" s="32" t="s">
        <v>117</v>
      </c>
      <c r="F30" s="1">
        <v>1210166</v>
      </c>
      <c r="G30" s="11"/>
      <c r="H30" s="1">
        <v>45000</v>
      </c>
      <c r="I30" s="47">
        <f t="shared" si="0"/>
        <v>491500</v>
      </c>
    </row>
    <row r="31" spans="4:9" x14ac:dyDescent="0.25">
      <c r="D31" s="46">
        <v>45310</v>
      </c>
      <c r="E31" s="32" t="s">
        <v>117</v>
      </c>
      <c r="F31" s="1">
        <v>1210167</v>
      </c>
      <c r="G31" s="11"/>
      <c r="H31" s="1">
        <v>75000</v>
      </c>
      <c r="I31" s="47">
        <f t="shared" si="0"/>
        <v>566500</v>
      </c>
    </row>
    <row r="32" spans="4:9" x14ac:dyDescent="0.25">
      <c r="D32" s="46">
        <v>45311</v>
      </c>
      <c r="E32" s="32" t="s">
        <v>120</v>
      </c>
      <c r="F32" s="1">
        <v>1210168</v>
      </c>
      <c r="G32" s="11">
        <v>95000</v>
      </c>
      <c r="H32" s="1"/>
      <c r="I32" s="47">
        <f t="shared" si="0"/>
        <v>471500</v>
      </c>
    </row>
    <row r="33" spans="4:9" x14ac:dyDescent="0.25">
      <c r="D33" s="46">
        <v>45312</v>
      </c>
      <c r="E33" s="32" t="s">
        <v>117</v>
      </c>
      <c r="F33" s="1">
        <v>1210169</v>
      </c>
      <c r="G33" s="11"/>
      <c r="H33" s="1">
        <v>65000</v>
      </c>
      <c r="I33" s="47">
        <f t="shared" si="0"/>
        <v>536500</v>
      </c>
    </row>
    <row r="34" spans="4:9" x14ac:dyDescent="0.25">
      <c r="D34" s="46">
        <v>45313</v>
      </c>
      <c r="E34" s="32" t="s">
        <v>117</v>
      </c>
      <c r="F34" s="1">
        <v>1210170</v>
      </c>
      <c r="G34" s="11"/>
      <c r="H34" s="1">
        <v>25000</v>
      </c>
      <c r="I34" s="47">
        <f t="shared" si="0"/>
        <v>561500</v>
      </c>
    </row>
    <row r="35" spans="4:9" x14ac:dyDescent="0.25">
      <c r="D35" s="46">
        <v>45314</v>
      </c>
      <c r="E35" s="32" t="s">
        <v>117</v>
      </c>
      <c r="F35" s="1">
        <v>1210171</v>
      </c>
      <c r="G35" s="11"/>
      <c r="H35" s="1">
        <v>40000</v>
      </c>
      <c r="I35" s="47">
        <f t="shared" si="0"/>
        <v>601500</v>
      </c>
    </row>
    <row r="36" spans="4:9" x14ac:dyDescent="0.25">
      <c r="D36" s="46">
        <v>45315</v>
      </c>
      <c r="E36" s="32" t="s">
        <v>120</v>
      </c>
      <c r="F36" s="1">
        <v>1210172</v>
      </c>
      <c r="G36" s="11">
        <v>90000</v>
      </c>
      <c r="H36" s="1">
        <v>75000</v>
      </c>
      <c r="I36" s="47">
        <f t="shared" si="0"/>
        <v>586500</v>
      </c>
    </row>
    <row r="37" spans="4:9" x14ac:dyDescent="0.25">
      <c r="D37" s="46">
        <v>45316</v>
      </c>
      <c r="E37" s="32" t="s">
        <v>117</v>
      </c>
      <c r="F37" s="1">
        <v>1210173</v>
      </c>
      <c r="G37" s="11"/>
      <c r="H37" s="1">
        <v>85000</v>
      </c>
      <c r="I37" s="47">
        <f t="shared" si="0"/>
        <v>671500</v>
      </c>
    </row>
    <row r="38" spans="4:9" x14ac:dyDescent="0.25">
      <c r="D38" s="46">
        <v>45317</v>
      </c>
      <c r="E38" s="32" t="s">
        <v>117</v>
      </c>
      <c r="F38" s="1">
        <v>1210174</v>
      </c>
      <c r="G38" s="11"/>
      <c r="H38" s="1">
        <v>60000</v>
      </c>
      <c r="I38" s="47">
        <f t="shared" si="0"/>
        <v>731500</v>
      </c>
    </row>
    <row r="39" spans="4:9" x14ac:dyDescent="0.25">
      <c r="D39" s="46">
        <v>45318</v>
      </c>
      <c r="E39" s="32" t="s">
        <v>120</v>
      </c>
      <c r="F39" s="1">
        <v>1210175</v>
      </c>
      <c r="G39" s="11">
        <v>120000</v>
      </c>
      <c r="H39" s="1"/>
      <c r="I39" s="47">
        <f t="shared" si="0"/>
        <v>611500</v>
      </c>
    </row>
    <row r="40" spans="4:9" x14ac:dyDescent="0.25">
      <c r="D40" s="46">
        <v>45319</v>
      </c>
      <c r="E40" s="32" t="s">
        <v>117</v>
      </c>
      <c r="F40" s="1">
        <v>1210176</v>
      </c>
      <c r="G40" s="11"/>
      <c r="H40" s="1">
        <v>15000</v>
      </c>
      <c r="I40" s="47">
        <f t="shared" si="0"/>
        <v>626500</v>
      </c>
    </row>
    <row r="41" spans="4:9" x14ac:dyDescent="0.25">
      <c r="D41" s="46">
        <v>45320</v>
      </c>
      <c r="E41" s="32" t="s">
        <v>117</v>
      </c>
      <c r="F41" s="1">
        <v>1210177</v>
      </c>
      <c r="G41" s="11"/>
      <c r="H41" s="1">
        <v>25000</v>
      </c>
      <c r="I41" s="47">
        <f t="shared" si="0"/>
        <v>651500</v>
      </c>
    </row>
    <row r="42" spans="4:9" x14ac:dyDescent="0.25">
      <c r="D42" s="46">
        <v>45321</v>
      </c>
      <c r="E42" s="32" t="s">
        <v>120</v>
      </c>
      <c r="F42" s="1">
        <v>1210178</v>
      </c>
      <c r="G42" s="11">
        <v>75000</v>
      </c>
      <c r="H42" s="1">
        <v>15000</v>
      </c>
      <c r="I42" s="47">
        <f t="shared" si="0"/>
        <v>591500</v>
      </c>
    </row>
    <row r="43" spans="4:9" x14ac:dyDescent="0.25">
      <c r="D43" s="46">
        <v>45322</v>
      </c>
      <c r="E43" s="32" t="s">
        <v>117</v>
      </c>
      <c r="F43" s="1">
        <v>1210179</v>
      </c>
      <c r="G43" s="11"/>
      <c r="H43" s="1">
        <v>15000</v>
      </c>
      <c r="I43" s="47">
        <f t="shared" si="0"/>
        <v>606500</v>
      </c>
    </row>
    <row r="44" spans="4:9" x14ac:dyDescent="0.25">
      <c r="D44" s="88" t="s">
        <v>50</v>
      </c>
      <c r="E44" s="88"/>
      <c r="F44" s="88"/>
      <c r="G44" s="48">
        <f>SUM(G13:G43)</f>
        <v>685000</v>
      </c>
      <c r="H44" s="48">
        <f t="shared" ref="H44" si="1">SUM(H13:H43)</f>
        <v>1271500</v>
      </c>
      <c r="I44" s="48"/>
    </row>
  </sheetData>
  <mergeCells count="2">
    <mergeCell ref="D9:I9"/>
    <mergeCell ref="D44:F4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D15:AA23"/>
  <sheetViews>
    <sheetView zoomScale="80" zoomScaleNormal="80" workbookViewId="0">
      <selection activeCell="I32" sqref="I32"/>
    </sheetView>
  </sheetViews>
  <sheetFormatPr defaultRowHeight="14.4" x14ac:dyDescent="0.3"/>
  <cols>
    <col min="5" max="5" width="21.44140625" bestFit="1" customWidth="1"/>
    <col min="6" max="6" width="8" customWidth="1"/>
    <col min="7" max="7" width="7.33203125" customWidth="1"/>
    <col min="8" max="8" width="8" customWidth="1"/>
    <col min="9" max="11" width="10.6640625" customWidth="1"/>
    <col min="12" max="24" width="8.5546875" customWidth="1"/>
    <col min="27" max="27" width="9.109375" style="4"/>
  </cols>
  <sheetData>
    <row r="15" spans="4:27" ht="45.6" x14ac:dyDescent="0.75">
      <c r="D15" s="89" t="s">
        <v>121</v>
      </c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</row>
    <row r="17" spans="4:27" ht="18.75" customHeight="1" x14ac:dyDescent="0.3">
      <c r="D17" s="77" t="s">
        <v>0</v>
      </c>
      <c r="E17" s="77" t="s">
        <v>122</v>
      </c>
      <c r="F17" s="77" t="s">
        <v>123</v>
      </c>
      <c r="G17" s="77"/>
      <c r="H17" s="77"/>
      <c r="I17" s="77"/>
      <c r="J17" s="77"/>
      <c r="K17" s="77"/>
      <c r="L17" s="77"/>
      <c r="M17" s="77" t="s">
        <v>123</v>
      </c>
      <c r="N17" s="77"/>
      <c r="O17" s="77"/>
      <c r="P17" s="77"/>
      <c r="Q17" s="77"/>
      <c r="R17" s="77"/>
      <c r="S17" s="77"/>
      <c r="T17" s="77" t="s">
        <v>123</v>
      </c>
      <c r="U17" s="77"/>
      <c r="V17" s="77"/>
      <c r="W17" s="77"/>
      <c r="X17" s="77"/>
      <c r="Y17" s="77"/>
      <c r="Z17" s="77"/>
      <c r="AA17" s="90" t="s">
        <v>131</v>
      </c>
    </row>
    <row r="18" spans="4:27" ht="37.5" customHeight="1" x14ac:dyDescent="0.3">
      <c r="D18" s="77"/>
      <c r="E18" s="77"/>
      <c r="F18" s="33" t="s">
        <v>124</v>
      </c>
      <c r="G18" s="33" t="s">
        <v>125</v>
      </c>
      <c r="H18" s="33" t="s">
        <v>126</v>
      </c>
      <c r="I18" s="33" t="s">
        <v>129</v>
      </c>
      <c r="J18" s="33" t="s">
        <v>127</v>
      </c>
      <c r="K18" s="33" t="s">
        <v>128</v>
      </c>
      <c r="L18" s="33" t="s">
        <v>130</v>
      </c>
      <c r="M18" s="33" t="s">
        <v>124</v>
      </c>
      <c r="N18" s="33" t="s">
        <v>125</v>
      </c>
      <c r="O18" s="33" t="s">
        <v>126</v>
      </c>
      <c r="P18" s="33" t="s">
        <v>129</v>
      </c>
      <c r="Q18" s="33" t="s">
        <v>127</v>
      </c>
      <c r="R18" s="33" t="s">
        <v>128</v>
      </c>
      <c r="S18" s="33" t="s">
        <v>130</v>
      </c>
      <c r="T18" s="33" t="s">
        <v>124</v>
      </c>
      <c r="U18" s="33" t="s">
        <v>125</v>
      </c>
      <c r="V18" s="33" t="s">
        <v>126</v>
      </c>
      <c r="W18" s="33" t="s">
        <v>129</v>
      </c>
      <c r="X18" s="33" t="s">
        <v>127</v>
      </c>
      <c r="Y18" s="33" t="s">
        <v>128</v>
      </c>
      <c r="Z18" s="33" t="s">
        <v>130</v>
      </c>
      <c r="AA18" s="91"/>
    </row>
    <row r="19" spans="4:27" ht="17.399999999999999" x14ac:dyDescent="0.3">
      <c r="D19" s="3">
        <v>1</v>
      </c>
      <c r="E19" s="49" t="s">
        <v>56</v>
      </c>
      <c r="F19" s="3">
        <v>18</v>
      </c>
      <c r="G19" s="3">
        <v>15</v>
      </c>
      <c r="H19" s="3">
        <v>12</v>
      </c>
      <c r="I19" s="3">
        <f>MAX(F19:H19)</f>
        <v>18</v>
      </c>
      <c r="J19" s="3">
        <v>100</v>
      </c>
      <c r="K19" s="50">
        <f>I19*60%+J19*80%</f>
        <v>90.8</v>
      </c>
      <c r="L19" s="3">
        <f>IF(K19&gt;=90,5,IF(K19&gt;=80,4,IF(K19&gt;=70,3,IF(K19&gt;=60,2,IF(K19&gt;=50,1,0)))))</f>
        <v>5</v>
      </c>
      <c r="M19" s="3">
        <v>18</v>
      </c>
      <c r="N19" s="3">
        <v>15</v>
      </c>
      <c r="O19" s="3">
        <v>12</v>
      </c>
      <c r="P19" s="3">
        <f>MAX(M19:O19)</f>
        <v>18</v>
      </c>
      <c r="Q19" s="3">
        <v>100</v>
      </c>
      <c r="R19" s="50">
        <f>P19*40%+Q19*80%</f>
        <v>87.2</v>
      </c>
      <c r="S19" s="3">
        <f>IF(R19&gt;=90,5,IF(R19&gt;=80,4,IF(R19&gt;=70,3,IF(R19&gt;=60,2,IF(R19&gt;=50,1,0)))))</f>
        <v>4</v>
      </c>
      <c r="T19" s="3">
        <v>18</v>
      </c>
      <c r="U19" s="3">
        <v>15</v>
      </c>
      <c r="V19" s="3">
        <v>12</v>
      </c>
      <c r="W19" s="3">
        <f>MAX(T19:V19)</f>
        <v>18</v>
      </c>
      <c r="X19" s="3">
        <v>100</v>
      </c>
      <c r="Y19" s="50">
        <f>W19*30%+X19*80%</f>
        <v>85.4</v>
      </c>
      <c r="Z19" s="3">
        <f>IF(Y19&gt;=90,5,IF(Y19&gt;=80,4,IF(Y19&gt;=70,3,IF(Y19&gt;=60,2,IF(Y19&gt;=50,1,0)))))</f>
        <v>4</v>
      </c>
      <c r="AA19" s="51">
        <f>(Z19+S19+L19)/3</f>
        <v>4.333333333333333</v>
      </c>
    </row>
    <row r="20" spans="4:27" ht="17.399999999999999" x14ac:dyDescent="0.3">
      <c r="D20" s="3">
        <v>2</v>
      </c>
      <c r="E20" s="49" t="s">
        <v>57</v>
      </c>
      <c r="F20" s="3">
        <v>17</v>
      </c>
      <c r="G20" s="3">
        <v>18</v>
      </c>
      <c r="H20" s="3">
        <v>17</v>
      </c>
      <c r="I20" s="3">
        <f t="shared" ref="I20:I23" si="0">MAX(F20:H20)</f>
        <v>18</v>
      </c>
      <c r="J20" s="3">
        <v>85</v>
      </c>
      <c r="K20" s="50">
        <f t="shared" ref="K20:K23" si="1">I20*60%+J20*80%</f>
        <v>78.8</v>
      </c>
      <c r="L20" s="3">
        <f t="shared" ref="L20:L23" si="2">IF(K20&gt;=90,5,IF(K20&gt;=80,4,IF(K20&gt;=70,3,IF(K20&gt;=60,2,IF(K20&gt;=50,1,0)))))</f>
        <v>3</v>
      </c>
      <c r="M20" s="3">
        <v>17</v>
      </c>
      <c r="N20" s="3">
        <v>18</v>
      </c>
      <c r="O20" s="3">
        <v>17</v>
      </c>
      <c r="P20" s="3">
        <f t="shared" ref="P20:P23" si="3">MAX(M20:O20)</f>
        <v>18</v>
      </c>
      <c r="Q20" s="3">
        <v>85</v>
      </c>
      <c r="R20" s="50">
        <f t="shared" ref="R20:R23" si="4">P20*40%+Q20*80%</f>
        <v>75.2</v>
      </c>
      <c r="S20" s="3">
        <f t="shared" ref="S20:S23" si="5">IF(R20&gt;=90,5,IF(R20&gt;=80,4,IF(R20&gt;=70,3,IF(R20&gt;=60,2,IF(R20&gt;=50,1,0)))))</f>
        <v>3</v>
      </c>
      <c r="T20" s="3">
        <v>17</v>
      </c>
      <c r="U20" s="3">
        <v>18</v>
      </c>
      <c r="V20" s="3">
        <v>17</v>
      </c>
      <c r="W20" s="3">
        <f t="shared" ref="W20:W23" si="6">MAX(T20:V20)</f>
        <v>18</v>
      </c>
      <c r="X20" s="3">
        <v>85</v>
      </c>
      <c r="Y20" s="50">
        <f t="shared" ref="Y20:Y23" si="7">W20*30%+X20*80%</f>
        <v>73.400000000000006</v>
      </c>
      <c r="Z20" s="3">
        <f t="shared" ref="Z20:Z23" si="8">IF(Y20&gt;=90,5,IF(Y20&gt;=80,4,IF(Y20&gt;=70,3,IF(Y20&gt;=60,2,IF(Y20&gt;=50,1,0)))))</f>
        <v>3</v>
      </c>
      <c r="AA20" s="51">
        <f t="shared" ref="AA20:AA23" si="9">(Z20+S20+L20)/3</f>
        <v>3</v>
      </c>
    </row>
    <row r="21" spans="4:27" ht="17.399999999999999" x14ac:dyDescent="0.3">
      <c r="D21" s="3">
        <v>3</v>
      </c>
      <c r="E21" s="49" t="s">
        <v>58</v>
      </c>
      <c r="F21" s="3">
        <v>20</v>
      </c>
      <c r="G21" s="3">
        <v>13</v>
      </c>
      <c r="H21" s="3">
        <v>10</v>
      </c>
      <c r="I21" s="3">
        <f t="shared" si="0"/>
        <v>20</v>
      </c>
      <c r="J21" s="3">
        <v>100</v>
      </c>
      <c r="K21" s="50">
        <f t="shared" si="1"/>
        <v>92</v>
      </c>
      <c r="L21" s="3">
        <f t="shared" si="2"/>
        <v>5</v>
      </c>
      <c r="M21" s="3">
        <v>20</v>
      </c>
      <c r="N21" s="3">
        <v>13</v>
      </c>
      <c r="O21" s="3">
        <v>10</v>
      </c>
      <c r="P21" s="3">
        <f t="shared" si="3"/>
        <v>20</v>
      </c>
      <c r="Q21" s="3">
        <v>100</v>
      </c>
      <c r="R21" s="50">
        <f t="shared" si="4"/>
        <v>88</v>
      </c>
      <c r="S21" s="3">
        <f t="shared" si="5"/>
        <v>4</v>
      </c>
      <c r="T21" s="3">
        <v>20</v>
      </c>
      <c r="U21" s="3">
        <v>13</v>
      </c>
      <c r="V21" s="3">
        <v>10</v>
      </c>
      <c r="W21" s="3">
        <f t="shared" si="6"/>
        <v>20</v>
      </c>
      <c r="X21" s="3">
        <v>100</v>
      </c>
      <c r="Y21" s="50">
        <f t="shared" si="7"/>
        <v>86</v>
      </c>
      <c r="Z21" s="3">
        <f t="shared" si="8"/>
        <v>4</v>
      </c>
      <c r="AA21" s="51">
        <f t="shared" si="9"/>
        <v>4.333333333333333</v>
      </c>
    </row>
    <row r="22" spans="4:27" ht="17.399999999999999" x14ac:dyDescent="0.3">
      <c r="D22" s="3">
        <v>4</v>
      </c>
      <c r="E22" s="49" t="s">
        <v>59</v>
      </c>
      <c r="F22" s="3">
        <v>19</v>
      </c>
      <c r="G22" s="3">
        <v>12</v>
      </c>
      <c r="H22" s="3">
        <v>20</v>
      </c>
      <c r="I22" s="3">
        <f t="shared" si="0"/>
        <v>20</v>
      </c>
      <c r="J22" s="3">
        <v>95</v>
      </c>
      <c r="K22" s="50">
        <f t="shared" si="1"/>
        <v>88</v>
      </c>
      <c r="L22" s="3">
        <f t="shared" si="2"/>
        <v>4</v>
      </c>
      <c r="M22" s="3">
        <v>19</v>
      </c>
      <c r="N22" s="3">
        <v>12</v>
      </c>
      <c r="O22" s="3">
        <v>20</v>
      </c>
      <c r="P22" s="3">
        <f t="shared" si="3"/>
        <v>20</v>
      </c>
      <c r="Q22" s="3">
        <v>95</v>
      </c>
      <c r="R22" s="50">
        <f t="shared" si="4"/>
        <v>84</v>
      </c>
      <c r="S22" s="3">
        <f t="shared" si="5"/>
        <v>4</v>
      </c>
      <c r="T22" s="3">
        <v>19</v>
      </c>
      <c r="U22" s="3">
        <v>12</v>
      </c>
      <c r="V22" s="3">
        <v>20</v>
      </c>
      <c r="W22" s="3">
        <f t="shared" si="6"/>
        <v>20</v>
      </c>
      <c r="X22" s="3">
        <v>95</v>
      </c>
      <c r="Y22" s="50">
        <f t="shared" si="7"/>
        <v>82</v>
      </c>
      <c r="Z22" s="3">
        <f t="shared" si="8"/>
        <v>4</v>
      </c>
      <c r="AA22" s="51">
        <f t="shared" si="9"/>
        <v>4</v>
      </c>
    </row>
    <row r="23" spans="4:27" ht="17.399999999999999" x14ac:dyDescent="0.3">
      <c r="D23" s="3">
        <v>5</v>
      </c>
      <c r="E23" s="49" t="s">
        <v>60</v>
      </c>
      <c r="F23" s="3">
        <v>14</v>
      </c>
      <c r="G23" s="3">
        <v>19</v>
      </c>
      <c r="H23" s="3">
        <v>14</v>
      </c>
      <c r="I23" s="3">
        <f t="shared" si="0"/>
        <v>19</v>
      </c>
      <c r="J23" s="3">
        <v>80</v>
      </c>
      <c r="K23" s="50">
        <f t="shared" si="1"/>
        <v>75.400000000000006</v>
      </c>
      <c r="L23" s="3">
        <f t="shared" si="2"/>
        <v>3</v>
      </c>
      <c r="M23" s="3">
        <v>14</v>
      </c>
      <c r="N23" s="3">
        <v>19</v>
      </c>
      <c r="O23" s="3">
        <v>14</v>
      </c>
      <c r="P23" s="3">
        <f t="shared" si="3"/>
        <v>19</v>
      </c>
      <c r="Q23" s="3">
        <v>80</v>
      </c>
      <c r="R23" s="50">
        <f t="shared" si="4"/>
        <v>71.599999999999994</v>
      </c>
      <c r="S23" s="3">
        <f t="shared" si="5"/>
        <v>3</v>
      </c>
      <c r="T23" s="3">
        <v>14</v>
      </c>
      <c r="U23" s="3">
        <v>19</v>
      </c>
      <c r="V23" s="3">
        <v>14</v>
      </c>
      <c r="W23" s="3">
        <f t="shared" si="6"/>
        <v>19</v>
      </c>
      <c r="X23" s="3">
        <v>80</v>
      </c>
      <c r="Y23" s="50">
        <f t="shared" si="7"/>
        <v>69.7</v>
      </c>
      <c r="Z23" s="3">
        <f t="shared" si="8"/>
        <v>2</v>
      </c>
      <c r="AA23" s="51">
        <f t="shared" si="9"/>
        <v>2.6666666666666665</v>
      </c>
    </row>
  </sheetData>
  <mergeCells count="7">
    <mergeCell ref="D15:AA15"/>
    <mergeCell ref="M17:S17"/>
    <mergeCell ref="T17:Z17"/>
    <mergeCell ref="AA17:AA18"/>
    <mergeCell ref="D17:D18"/>
    <mergeCell ref="E17:E18"/>
    <mergeCell ref="F17:L1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7:K18"/>
  <sheetViews>
    <sheetView topLeftCell="A4" workbookViewId="0">
      <selection activeCell="J12" sqref="J12"/>
    </sheetView>
  </sheetViews>
  <sheetFormatPr defaultRowHeight="14.4" x14ac:dyDescent="0.3"/>
  <cols>
    <col min="4" max="4" width="21.33203125" customWidth="1"/>
    <col min="5" max="5" width="15" customWidth="1"/>
    <col min="6" max="6" width="16.109375" customWidth="1"/>
    <col min="7" max="7" width="19.109375" customWidth="1"/>
    <col min="8" max="8" width="15.33203125" customWidth="1"/>
    <col min="9" max="9" width="8.33203125" customWidth="1"/>
    <col min="10" max="10" width="16" customWidth="1"/>
    <col min="11" max="11" width="16.6640625" customWidth="1"/>
  </cols>
  <sheetData>
    <row r="7" spans="3:11" ht="27.6" x14ac:dyDescent="0.45">
      <c r="C7" s="92" t="s">
        <v>146</v>
      </c>
      <c r="D7" s="92"/>
      <c r="E7" s="92"/>
      <c r="F7" s="92"/>
      <c r="G7" s="92"/>
      <c r="H7" s="92"/>
      <c r="I7" s="92"/>
      <c r="J7" s="92"/>
      <c r="K7" s="92"/>
    </row>
    <row r="8" spans="3:11" ht="15.6" x14ac:dyDescent="0.3">
      <c r="C8" s="13"/>
      <c r="D8" s="10"/>
      <c r="E8" s="13"/>
      <c r="F8" s="13"/>
      <c r="G8" s="13"/>
      <c r="H8" s="13"/>
      <c r="I8" s="13"/>
      <c r="J8" s="93" t="s">
        <v>145</v>
      </c>
      <c r="K8" s="93"/>
    </row>
    <row r="9" spans="3:11" x14ac:dyDescent="0.3">
      <c r="C9" s="13"/>
      <c r="D9" s="10"/>
      <c r="E9" s="13"/>
      <c r="F9" s="13"/>
      <c r="G9" s="13"/>
      <c r="H9" s="13"/>
      <c r="I9" s="13"/>
      <c r="J9" s="13"/>
      <c r="K9" s="13"/>
    </row>
    <row r="10" spans="3:11" ht="42" x14ac:dyDescent="0.3">
      <c r="C10" s="53" t="s">
        <v>0</v>
      </c>
      <c r="D10" s="53" t="s">
        <v>147</v>
      </c>
      <c r="E10" s="53" t="s">
        <v>132</v>
      </c>
      <c r="F10" s="53" t="s">
        <v>133</v>
      </c>
      <c r="G10" s="53" t="s">
        <v>134</v>
      </c>
      <c r="H10" s="53" t="s">
        <v>135</v>
      </c>
      <c r="I10" s="53" t="s">
        <v>136</v>
      </c>
      <c r="J10" s="23" t="s">
        <v>144</v>
      </c>
      <c r="K10" s="53" t="s">
        <v>137</v>
      </c>
    </row>
    <row r="11" spans="3:11" ht="15.6" x14ac:dyDescent="0.3">
      <c r="C11" s="3">
        <v>1</v>
      </c>
      <c r="D11" s="52" t="s">
        <v>138</v>
      </c>
      <c r="E11" s="3">
        <v>25000</v>
      </c>
      <c r="F11" s="3">
        <f>E11*2.5</f>
        <v>62500</v>
      </c>
      <c r="G11" s="3">
        <f>E11*2</f>
        <v>50000</v>
      </c>
      <c r="H11" s="3">
        <f>E11*5%</f>
        <v>1250</v>
      </c>
      <c r="I11" s="3">
        <f t="shared" ref="I11:I17" si="0">E11*10%</f>
        <v>2500</v>
      </c>
      <c r="J11" s="14">
        <f>E11*10%</f>
        <v>2500</v>
      </c>
      <c r="K11" s="3">
        <f>E11+F11+G11+H11-I11-J11</f>
        <v>133750</v>
      </c>
    </row>
    <row r="12" spans="3:11" ht="15.6" x14ac:dyDescent="0.3">
      <c r="C12" s="3">
        <v>2</v>
      </c>
      <c r="D12" s="52" t="s">
        <v>139</v>
      </c>
      <c r="E12" s="3">
        <v>45000</v>
      </c>
      <c r="F12" s="3">
        <f t="shared" ref="F12:F17" si="1">E12*2.5</f>
        <v>112500</v>
      </c>
      <c r="G12" s="3">
        <f t="shared" ref="G12:G17" si="2">E12*2</f>
        <v>90000</v>
      </c>
      <c r="H12" s="3">
        <f t="shared" ref="H12:H17" si="3">E12*5%</f>
        <v>2250</v>
      </c>
      <c r="I12" s="3">
        <f t="shared" si="0"/>
        <v>4500</v>
      </c>
      <c r="J12" s="14">
        <f t="shared" ref="J12:J17" si="4">E12*10%</f>
        <v>4500</v>
      </c>
      <c r="K12" s="3">
        <f t="shared" ref="K12:K17" si="5">E12+F12+G12+H12-I12-J12</f>
        <v>240750</v>
      </c>
    </row>
    <row r="13" spans="3:11" ht="15.6" x14ac:dyDescent="0.3">
      <c r="C13" s="3">
        <v>3</v>
      </c>
      <c r="D13" s="52" t="s">
        <v>140</v>
      </c>
      <c r="E13" s="3">
        <v>65000</v>
      </c>
      <c r="F13" s="3">
        <f t="shared" si="1"/>
        <v>162500</v>
      </c>
      <c r="G13" s="3">
        <f t="shared" si="2"/>
        <v>130000</v>
      </c>
      <c r="H13" s="3">
        <f t="shared" si="3"/>
        <v>3250</v>
      </c>
      <c r="I13" s="3">
        <f t="shared" si="0"/>
        <v>6500</v>
      </c>
      <c r="J13" s="14">
        <f t="shared" si="4"/>
        <v>6500</v>
      </c>
      <c r="K13" s="3">
        <f t="shared" si="5"/>
        <v>347750</v>
      </c>
    </row>
    <row r="14" spans="3:11" ht="15.6" x14ac:dyDescent="0.3">
      <c r="C14" s="3">
        <v>4</v>
      </c>
      <c r="D14" s="52" t="s">
        <v>104</v>
      </c>
      <c r="E14" s="3">
        <v>80000</v>
      </c>
      <c r="F14" s="3">
        <f t="shared" si="1"/>
        <v>200000</v>
      </c>
      <c r="G14" s="3">
        <f t="shared" si="2"/>
        <v>160000</v>
      </c>
      <c r="H14" s="3">
        <f t="shared" si="3"/>
        <v>4000</v>
      </c>
      <c r="I14" s="3">
        <f t="shared" si="0"/>
        <v>8000</v>
      </c>
      <c r="J14" s="14">
        <f t="shared" si="4"/>
        <v>8000</v>
      </c>
      <c r="K14" s="3">
        <f t="shared" si="5"/>
        <v>428000</v>
      </c>
    </row>
    <row r="15" spans="3:11" ht="15.6" x14ac:dyDescent="0.3">
      <c r="C15" s="3">
        <v>5</v>
      </c>
      <c r="D15" s="52" t="s">
        <v>141</v>
      </c>
      <c r="E15" s="3">
        <v>20000</v>
      </c>
      <c r="F15" s="3">
        <f t="shared" si="1"/>
        <v>50000</v>
      </c>
      <c r="G15" s="3">
        <f t="shared" si="2"/>
        <v>40000</v>
      </c>
      <c r="H15" s="3">
        <f t="shared" si="3"/>
        <v>1000</v>
      </c>
      <c r="I15" s="3">
        <f t="shared" si="0"/>
        <v>2000</v>
      </c>
      <c r="J15" s="14">
        <f t="shared" si="4"/>
        <v>2000</v>
      </c>
      <c r="K15" s="3">
        <f t="shared" si="5"/>
        <v>107000</v>
      </c>
    </row>
    <row r="16" spans="3:11" ht="15.6" x14ac:dyDescent="0.3">
      <c r="C16" s="3">
        <v>6</v>
      </c>
      <c r="D16" s="52" t="s">
        <v>142</v>
      </c>
      <c r="E16" s="3">
        <v>120000</v>
      </c>
      <c r="F16" s="3">
        <f t="shared" si="1"/>
        <v>300000</v>
      </c>
      <c r="G16" s="3">
        <f t="shared" si="2"/>
        <v>240000</v>
      </c>
      <c r="H16" s="3">
        <f t="shared" si="3"/>
        <v>6000</v>
      </c>
      <c r="I16" s="3">
        <f t="shared" si="0"/>
        <v>12000</v>
      </c>
      <c r="J16" s="14">
        <f t="shared" si="4"/>
        <v>12000</v>
      </c>
      <c r="K16" s="3">
        <f t="shared" si="5"/>
        <v>642000</v>
      </c>
    </row>
    <row r="17" spans="3:11" ht="15.6" x14ac:dyDescent="0.3">
      <c r="C17" s="3">
        <v>7</v>
      </c>
      <c r="D17" s="52" t="s">
        <v>143</v>
      </c>
      <c r="E17" s="3">
        <v>75000</v>
      </c>
      <c r="F17" s="3">
        <f t="shared" si="1"/>
        <v>187500</v>
      </c>
      <c r="G17" s="3">
        <f t="shared" si="2"/>
        <v>150000</v>
      </c>
      <c r="H17" s="3">
        <f t="shared" si="3"/>
        <v>3750</v>
      </c>
      <c r="I17" s="3">
        <f t="shared" si="0"/>
        <v>7500</v>
      </c>
      <c r="J17" s="14">
        <f t="shared" si="4"/>
        <v>7500</v>
      </c>
      <c r="K17" s="3">
        <f t="shared" si="5"/>
        <v>401250</v>
      </c>
    </row>
    <row r="18" spans="3:11" ht="17.399999999999999" x14ac:dyDescent="0.3">
      <c r="C18" s="94" t="s">
        <v>50</v>
      </c>
      <c r="D18" s="94"/>
      <c r="E18" s="54">
        <f>SUM(E11:E17)</f>
        <v>430000</v>
      </c>
      <c r="F18" s="54">
        <f t="shared" ref="F18:K18" si="6">SUM(F11:F17)</f>
        <v>1075000</v>
      </c>
      <c r="G18" s="54">
        <f t="shared" si="6"/>
        <v>860000</v>
      </c>
      <c r="H18" s="54">
        <f t="shared" si="6"/>
        <v>21500</v>
      </c>
      <c r="I18" s="54">
        <f t="shared" si="6"/>
        <v>43000</v>
      </c>
      <c r="J18" s="54">
        <f t="shared" si="6"/>
        <v>43000</v>
      </c>
      <c r="K18" s="54">
        <f t="shared" si="6"/>
        <v>2300500</v>
      </c>
    </row>
  </sheetData>
  <mergeCells count="3">
    <mergeCell ref="C7:K7"/>
    <mergeCell ref="J8:K8"/>
    <mergeCell ref="C18:D1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F16"/>
  <sheetViews>
    <sheetView workbookViewId="0">
      <selection activeCell="C28" sqref="C28"/>
    </sheetView>
  </sheetViews>
  <sheetFormatPr defaultColWidth="9.109375" defaultRowHeight="13.8" x14ac:dyDescent="0.25"/>
  <cols>
    <col min="1" max="1" width="9.109375" style="10"/>
    <col min="2" max="2" width="20" style="10" bestFit="1" customWidth="1"/>
    <col min="3" max="3" width="16.33203125" style="10" customWidth="1"/>
    <col min="4" max="4" width="10.109375" style="10" customWidth="1"/>
    <col min="5" max="5" width="8" style="10" customWidth="1"/>
    <col min="6" max="6" width="11.33203125" style="10" customWidth="1"/>
    <col min="7" max="7" width="8" style="10" customWidth="1"/>
    <col min="8" max="8" width="7" style="10" customWidth="1"/>
    <col min="9" max="9" width="7.109375" style="10" customWidth="1"/>
    <col min="10" max="10" width="10.88671875" style="10" customWidth="1"/>
    <col min="11" max="11" width="8.109375" style="10" customWidth="1"/>
    <col min="12" max="12" width="10.44140625" style="10" customWidth="1"/>
    <col min="13" max="14" width="11.33203125" style="10" customWidth="1"/>
    <col min="15" max="15" width="11.44140625" style="10" bestFit="1" customWidth="1"/>
    <col min="16" max="16" width="7.109375" style="10" customWidth="1"/>
    <col min="17" max="17" width="6" style="10" customWidth="1"/>
    <col min="18" max="19" width="7" style="10" customWidth="1"/>
    <col min="20" max="20" width="10.109375" style="10" bestFit="1" customWidth="1"/>
    <col min="21" max="21" width="6.6640625" style="10" customWidth="1"/>
    <col min="22" max="24" width="7" style="10" customWidth="1"/>
    <col min="25" max="25" width="9.6640625" style="10" bestFit="1" customWidth="1"/>
    <col min="26" max="29" width="7" style="10" customWidth="1"/>
    <col min="30" max="30" width="10" style="10" bestFit="1" customWidth="1"/>
    <col min="31" max="31" width="6.33203125" style="10" customWidth="1"/>
    <col min="32" max="34" width="7" style="10" customWidth="1"/>
    <col min="35" max="35" width="9.33203125" style="10" bestFit="1" customWidth="1"/>
    <col min="36" max="36" width="9" style="10" customWidth="1"/>
    <col min="37" max="38" width="7" style="10" customWidth="1"/>
    <col min="39" max="39" width="12" style="10" bestFit="1" customWidth="1"/>
    <col min="40" max="40" width="12.6640625" style="10" bestFit="1" customWidth="1"/>
    <col min="41" max="41" width="7" style="10" customWidth="1"/>
    <col min="42" max="42" width="15.88671875" style="10" bestFit="1" customWidth="1"/>
    <col min="43" max="43" width="10" style="10" bestFit="1" customWidth="1"/>
    <col min="44" max="44" width="13.109375" style="10" bestFit="1" customWidth="1"/>
    <col min="45" max="45" width="12.33203125" style="10" bestFit="1" customWidth="1"/>
    <col min="46" max="46" width="15.44140625" style="10" bestFit="1" customWidth="1"/>
    <col min="47" max="47" width="11.33203125" style="10" bestFit="1" customWidth="1"/>
    <col min="48" max="16384" width="9.109375" style="10"/>
  </cols>
  <sheetData>
    <row r="1" spans="2:6" x14ac:dyDescent="0.25">
      <c r="B1" s="57" t="s">
        <v>148</v>
      </c>
      <c r="C1" s="10" t="s">
        <v>170</v>
      </c>
    </row>
    <row r="2" spans="2:6" x14ac:dyDescent="0.25">
      <c r="B2" s="57" t="s">
        <v>149</v>
      </c>
      <c r="C2" s="10" t="s">
        <v>170</v>
      </c>
    </row>
    <row r="4" spans="2:6" x14ac:dyDescent="0.25">
      <c r="B4" s="57" t="s">
        <v>173</v>
      </c>
      <c r="C4" s="58" t="s">
        <v>174</v>
      </c>
    </row>
    <row r="5" spans="2:6" x14ac:dyDescent="0.25">
      <c r="B5" s="57" t="s">
        <v>171</v>
      </c>
      <c r="C5" s="12" t="s">
        <v>156</v>
      </c>
      <c r="D5" s="12" t="s">
        <v>158</v>
      </c>
      <c r="E5" s="12" t="s">
        <v>154</v>
      </c>
      <c r="F5" s="12" t="s">
        <v>172</v>
      </c>
    </row>
    <row r="6" spans="2:6" x14ac:dyDescent="0.25">
      <c r="B6" s="42" t="s">
        <v>66</v>
      </c>
      <c r="C6" s="12">
        <v>750000</v>
      </c>
      <c r="D6" s="12"/>
      <c r="E6" s="12">
        <v>300000</v>
      </c>
      <c r="F6" s="12">
        <v>1050000</v>
      </c>
    </row>
    <row r="7" spans="2:6" x14ac:dyDescent="0.25">
      <c r="B7" s="42" t="s">
        <v>67</v>
      </c>
      <c r="C7" s="12">
        <v>350000</v>
      </c>
      <c r="D7" s="12">
        <v>100000</v>
      </c>
      <c r="E7" s="12"/>
      <c r="F7" s="12">
        <v>450000</v>
      </c>
    </row>
    <row r="8" spans="2:6" x14ac:dyDescent="0.25">
      <c r="B8" s="42" t="s">
        <v>68</v>
      </c>
      <c r="C8" s="12"/>
      <c r="D8" s="12">
        <v>73000</v>
      </c>
      <c r="E8" s="12">
        <v>520000</v>
      </c>
      <c r="F8" s="12">
        <v>593000</v>
      </c>
    </row>
    <row r="9" spans="2:6" x14ac:dyDescent="0.25">
      <c r="B9" s="42" t="s">
        <v>69</v>
      </c>
      <c r="C9" s="12">
        <v>125000</v>
      </c>
      <c r="D9" s="12"/>
      <c r="E9" s="12">
        <v>310000</v>
      </c>
      <c r="F9" s="12">
        <v>435000</v>
      </c>
    </row>
    <row r="10" spans="2:6" x14ac:dyDescent="0.25">
      <c r="B10" s="42" t="s">
        <v>70</v>
      </c>
      <c r="C10" s="12"/>
      <c r="D10" s="12">
        <v>1435000</v>
      </c>
      <c r="E10" s="12"/>
      <c r="F10" s="12">
        <v>1435000</v>
      </c>
    </row>
    <row r="11" spans="2:6" x14ac:dyDescent="0.25">
      <c r="B11" s="42" t="s">
        <v>71</v>
      </c>
      <c r="C11" s="12"/>
      <c r="D11" s="12"/>
      <c r="E11" s="12">
        <v>688000</v>
      </c>
      <c r="F11" s="12">
        <v>688000</v>
      </c>
    </row>
    <row r="12" spans="2:6" x14ac:dyDescent="0.25">
      <c r="B12" s="42" t="s">
        <v>73</v>
      </c>
      <c r="C12" s="12">
        <v>710000</v>
      </c>
      <c r="D12" s="12">
        <v>170000</v>
      </c>
      <c r="E12" s="12"/>
      <c r="F12" s="12">
        <v>880000</v>
      </c>
    </row>
    <row r="13" spans="2:6" x14ac:dyDescent="0.25">
      <c r="B13" s="42" t="s">
        <v>74</v>
      </c>
      <c r="C13" s="12"/>
      <c r="D13" s="12"/>
      <c r="E13" s="12">
        <v>460000</v>
      </c>
      <c r="F13" s="12">
        <v>460000</v>
      </c>
    </row>
    <row r="14" spans="2:6" x14ac:dyDescent="0.25">
      <c r="B14" s="42" t="s">
        <v>75</v>
      </c>
      <c r="C14" s="12"/>
      <c r="D14" s="12">
        <v>320000</v>
      </c>
      <c r="E14" s="12"/>
      <c r="F14" s="12">
        <v>320000</v>
      </c>
    </row>
    <row r="15" spans="2:6" x14ac:dyDescent="0.25">
      <c r="B15" s="42" t="s">
        <v>76</v>
      </c>
      <c r="C15" s="12"/>
      <c r="D15" s="12"/>
      <c r="E15" s="12">
        <v>600000</v>
      </c>
      <c r="F15" s="12">
        <v>600000</v>
      </c>
    </row>
    <row r="16" spans="2:6" x14ac:dyDescent="0.25">
      <c r="B16" s="42" t="s">
        <v>172</v>
      </c>
      <c r="C16" s="12">
        <v>1935000</v>
      </c>
      <c r="D16" s="12">
        <v>2098000</v>
      </c>
      <c r="E16" s="12">
        <v>2878000</v>
      </c>
      <c r="F16" s="12">
        <v>6911000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SL-01</vt:lpstr>
      <vt:lpstr>SL-03</vt:lpstr>
      <vt:lpstr>SL-05</vt:lpstr>
      <vt:lpstr>SL-09</vt:lpstr>
      <vt:lpstr>SL-12</vt:lpstr>
      <vt:lpstr>SL-14</vt:lpstr>
      <vt:lpstr>SL-15</vt:lpstr>
      <vt:lpstr>SL-18</vt:lpstr>
      <vt:lpstr>Pivot</vt:lpstr>
      <vt:lpstr>SL-22</vt:lpstr>
      <vt:lpstr>SL-24</vt:lpstr>
      <vt:lpstr>SL-28</vt:lpstr>
      <vt:lpstr>SL-29</vt:lpstr>
      <vt:lpstr>SL-30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Software Lab</cp:lastModifiedBy>
  <dcterms:created xsi:type="dcterms:W3CDTF">2024-12-09T09:52:36Z</dcterms:created>
  <dcterms:modified xsi:type="dcterms:W3CDTF">2024-12-12T11:10:48Z</dcterms:modified>
</cp:coreProperties>
</file>