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ettings" sheetId="2" r:id="rId4"/>
    <sheet state="visible" name="Update-Config" sheetId="3" r:id="rId5"/>
  </sheets>
  <definedNames/>
  <calcPr/>
</workbook>
</file>

<file path=xl/sharedStrings.xml><?xml version="1.0" encoding="utf-8"?>
<sst xmlns="http://schemas.openxmlformats.org/spreadsheetml/2006/main" count="1579" uniqueCount="1524">
  <si>
    <t>en</t>
  </si>
  <si>
    <t>hi</t>
  </si>
  <si>
    <t>ar</t>
  </si>
  <si>
    <t>fr</t>
  </si>
  <si>
    <t>tr</t>
  </si>
  <si>
    <t>ru</t>
  </si>
  <si>
    <t>it</t>
  </si>
  <si>
    <t>de</t>
  </si>
  <si>
    <t>ko</t>
  </si>
  <si>
    <t>zh</t>
  </si>
  <si>
    <t>es</t>
  </si>
  <si>
    <t>iw</t>
  </si>
  <si>
    <t>bn</t>
  </si>
  <si>
    <t>pt</t>
  </si>
  <si>
    <t>text_enter_social</t>
  </si>
  <si>
    <t>Or Enter Social Media</t>
  </si>
  <si>
    <t>text_sign_up</t>
  </si>
  <si>
    <t>Sign Up</t>
  </si>
  <si>
    <t>تسجيل جديد</t>
  </si>
  <si>
    <t>text_track_location</t>
  </si>
  <si>
    <t>Tracking Driver Location</t>
  </si>
  <si>
    <t>text_keep_track</t>
  </si>
  <si>
    <t>text_skip</t>
  </si>
  <si>
    <t>Skip</t>
  </si>
  <si>
    <t>تخطي</t>
  </si>
  <si>
    <t>text_next</t>
  </si>
  <si>
    <t>Next</t>
  </si>
  <si>
    <t>التالي</t>
  </si>
  <si>
    <t>text_your_ride</t>
  </si>
  <si>
    <t>Your Ride, On Demand</t>
  </si>
  <si>
    <t>text_login</t>
  </si>
  <si>
    <t>Login</t>
  </si>
  <si>
    <t>تسجيل الدخول</t>
  </si>
  <si>
    <t>text_phone_number</t>
  </si>
  <si>
    <t>Enter Mobile Number</t>
  </si>
  <si>
    <t>اكتب رقم موبايلك</t>
  </si>
  <si>
    <t>text_get_started</t>
  </si>
  <si>
    <t>Let's Get Started!</t>
  </si>
  <si>
    <t>يلا نبدأ !</t>
  </si>
  <si>
    <t>text_fill_form</t>
  </si>
  <si>
    <t>Fill the form to continue.</t>
  </si>
  <si>
    <t>عبي النموذج للمتابعة</t>
  </si>
  <si>
    <t>text_signup_social</t>
  </si>
  <si>
    <t>Sign up with Social of fill the form to continue.</t>
  </si>
  <si>
    <t>سجل عن طريق حسابات التواصل الاجتماعي , عبي النموذج للمتابعة</t>
  </si>
  <si>
    <t>text_email</t>
  </si>
  <si>
    <t>Email</t>
  </si>
  <si>
    <t>بريدك الإلكتروني</t>
  </si>
  <si>
    <t>text_name</t>
  </si>
  <si>
    <t>Name</t>
  </si>
  <si>
    <t>اسمك الكريم</t>
  </si>
  <si>
    <t>text_agree</t>
  </si>
  <si>
    <t>By Signing up, you agree to the</t>
  </si>
  <si>
    <t xml:space="preserve">بالتسجيل, إنت موافق على </t>
  </si>
  <si>
    <t>text_terms</t>
  </si>
  <si>
    <t>Terms of Service</t>
  </si>
  <si>
    <t>شروط الخدمة</t>
  </si>
  <si>
    <t>text_and</t>
  </si>
  <si>
    <t>and</t>
  </si>
  <si>
    <t>و</t>
  </si>
  <si>
    <t>text_privacy</t>
  </si>
  <si>
    <t>Privacy Policy</t>
  </si>
  <si>
    <t>سياسة الخصوصية</t>
  </si>
  <si>
    <t>text_fastest_way</t>
  </si>
  <si>
    <t>Fastest way to book Taxi without the hassle of waiting &amp; haggling of price</t>
  </si>
  <si>
    <t>اسرع طريقة لتطلب سيارة من دون ما تستنى او تفاصل</t>
  </si>
  <si>
    <t>text_phone_verify</t>
  </si>
  <si>
    <t>Phone Verification</t>
  </si>
  <si>
    <t>التحقق من رقم الموبايل</t>
  </si>
  <si>
    <t>text_enter_otp</t>
  </si>
  <si>
    <t>Please enter the 6-digit code send to you at</t>
  </si>
  <si>
    <t>يا ريت تكتب الرمز المكون من 6 أرقام واللي تم إرساله الك على</t>
  </si>
  <si>
    <t>text_resend_code</t>
  </si>
  <si>
    <t>Resend Code</t>
  </si>
  <si>
    <t>ارسل الرمز كمان مرة</t>
  </si>
  <si>
    <t>text_verify</t>
  </si>
  <si>
    <t>Verify Now</t>
  </si>
  <si>
    <t>تحقق الآن</t>
  </si>
  <si>
    <t>text_pick_up_location</t>
  </si>
  <si>
    <t>Pick up Location</t>
  </si>
  <si>
    <t>موقع الركوب</t>
  </si>
  <si>
    <t>text_drop</t>
  </si>
  <si>
    <t>Drop Location</t>
  </si>
  <si>
    <t>موقع التنزيل</t>
  </si>
  <si>
    <t>text_daily</t>
  </si>
  <si>
    <t>Daily</t>
  </si>
  <si>
    <t>يومي</t>
  </si>
  <si>
    <t>text_rental</t>
  </si>
  <si>
    <t>Rental</t>
  </si>
  <si>
    <t>أجار</t>
  </si>
  <si>
    <t>text_search</t>
  </si>
  <si>
    <t>Search</t>
  </si>
  <si>
    <t>بحث</t>
  </si>
  <si>
    <t>text_pick_up</t>
  </si>
  <si>
    <t>Pick-up</t>
  </si>
  <si>
    <t>ركوب</t>
  </si>
  <si>
    <t>text_confirm</t>
  </si>
  <si>
    <t>Confirm</t>
  </si>
  <si>
    <t>تأكيد</t>
  </si>
  <si>
    <t>text_favourites</t>
  </si>
  <si>
    <t>Favourites</t>
  </si>
  <si>
    <t>المفضلة</t>
  </si>
  <si>
    <t>text_clear</t>
  </si>
  <si>
    <t>Clear</t>
  </si>
  <si>
    <t>مسح</t>
  </si>
  <si>
    <t>text_vehicle_make</t>
  </si>
  <si>
    <t>What make of vehicle is it?</t>
  </si>
  <si>
    <t>ماركة سيارتك</t>
  </si>
  <si>
    <t>text_continue</t>
  </si>
  <si>
    <t>Continue</t>
  </si>
  <si>
    <t>تابع</t>
  </si>
  <si>
    <t>text_vehicle_model</t>
  </si>
  <si>
    <t>What model of vehicle is it?</t>
  </si>
  <si>
    <t>فئة سيارتك</t>
  </si>
  <si>
    <t>text_service_location</t>
  </si>
  <si>
    <t>What service location you want to register?</t>
  </si>
  <si>
    <t>اختار موقع الخدمة يلي حابب تسجل فيه</t>
  </si>
  <si>
    <t>text_vehicle_type</t>
  </si>
  <si>
    <t>What type of vehicle is it?</t>
  </si>
  <si>
    <t>نوع سيارتك</t>
  </si>
  <si>
    <t>text_vehicle_color</t>
  </si>
  <si>
    <t>What color of vehicle is it?</t>
  </si>
  <si>
    <t>لون سيارتك</t>
  </si>
  <si>
    <t>text_license</t>
  </si>
  <si>
    <t>Vehicle Number</t>
  </si>
  <si>
    <t>رقم اللوحة</t>
  </si>
  <si>
    <t>text_enter_vehicle</t>
  </si>
  <si>
    <t>Enter Your Vehicle Number</t>
  </si>
  <si>
    <t>اكتب رقم لوحة السيارة</t>
  </si>
  <si>
    <t>text_vehicle_model_year</t>
  </si>
  <si>
    <t>What is the Vehicle's model year</t>
  </si>
  <si>
    <t>سنة الصنع للسيارة</t>
  </si>
  <si>
    <t>text_apply_referral</t>
  </si>
  <si>
    <t>Apply Referral</t>
  </si>
  <si>
    <t>text_enter_referral</t>
  </si>
  <si>
    <t>Enter Referral Code</t>
  </si>
  <si>
    <t>text_apply</t>
  </si>
  <si>
    <t>Apply</t>
  </si>
  <si>
    <t>text_manage_docs</t>
  </si>
  <si>
    <t>Manage Documents</t>
  </si>
  <si>
    <t>إدارة المستندات</t>
  </si>
  <si>
    <t>text_passport</t>
  </si>
  <si>
    <t>Passport</t>
  </si>
  <si>
    <t>جواز السفر</t>
  </si>
  <si>
    <t>text_not_uploaded</t>
  </si>
  <si>
    <t>Not Uploaded</t>
  </si>
  <si>
    <t xml:space="preserve">ما تحملت </t>
  </si>
  <si>
    <t>text_uploaded</t>
  </si>
  <si>
    <t>Uploaded</t>
  </si>
  <si>
    <t>تم الرفع على السيرفر</t>
  </si>
  <si>
    <t>text_upload</t>
  </si>
  <si>
    <t>Upload</t>
  </si>
  <si>
    <t>رفع</t>
  </si>
  <si>
    <t>text_approval_waiting</t>
  </si>
  <si>
    <t>Verification Pending</t>
  </si>
  <si>
    <t>خليك معانا شوي , جار التحقق من الملفات</t>
  </si>
  <si>
    <t>text_send_approval</t>
  </si>
  <si>
    <t>Your document is still pending for verification. Once it's all verified you start getting rides. Please sit tight</t>
  </si>
  <si>
    <t>المستندات ما زالت تحت التدقيق, أول ما يتوافق عليها, بتبلش رحلتك مع عائلتنا</t>
  </si>
  <si>
    <t>text_upload_docs</t>
  </si>
  <si>
    <t>Upload Documents</t>
  </si>
  <si>
    <t>رفع المستندات</t>
  </si>
  <si>
    <t>text_choose_language</t>
  </si>
  <si>
    <t>Choose Language</t>
  </si>
  <si>
    <t>اختار لغتك</t>
  </si>
  <si>
    <t>text_enter_vehicle_model_year</t>
  </si>
  <si>
    <t>Enter your Vehicle Model Year</t>
  </si>
  <si>
    <t>اكتب سنة صنع السيارة</t>
  </si>
  <si>
    <t>Text_enter_vehicle_color</t>
  </si>
  <si>
    <t>Enter Your Vehicle Color</t>
  </si>
  <si>
    <t>اكتب لون سيارتك</t>
  </si>
  <si>
    <t>text_edit_docs</t>
  </si>
  <si>
    <t>Update Documents</t>
  </si>
  <si>
    <t>text_account_blocked</t>
  </si>
  <si>
    <t>Account Blocked</t>
  </si>
  <si>
    <t>الحساب توقف بشكل مؤقت</t>
  </si>
  <si>
    <t>text_document_rejected</t>
  </si>
  <si>
    <t>Your Account is blocked for the following reasons</t>
  </si>
  <si>
    <t>الحساب توقف لواحد من الأسباب التالية</t>
  </si>
  <si>
    <t>text_contact_admin</t>
  </si>
  <si>
    <t>Contact your Admin</t>
  </si>
  <si>
    <t>اتصل بالإدارة</t>
  </si>
  <si>
    <t>text_enable_location</t>
  </si>
  <si>
    <t>Please Enable Your Location</t>
  </si>
  <si>
    <t>يا ريت تفعل موقعك</t>
  </si>
  <si>
    <t>text_ok</t>
  </si>
  <si>
    <t>Ok</t>
  </si>
  <si>
    <t>موافق</t>
  </si>
  <si>
    <t>text_loc_permission</t>
  </si>
  <si>
    <t>Allow Location all the time - To book a vehicle</t>
  </si>
  <si>
    <t>خلي الموقع شغال على طول - لتحجز رحلتك</t>
  </si>
  <si>
    <t>text_off_duty</t>
  </si>
  <si>
    <t>On Duty</t>
  </si>
  <si>
    <t>text_on_duty</t>
  </si>
  <si>
    <t>Off Duty</t>
  </si>
  <si>
    <t>text_pickpoint</t>
  </si>
  <si>
    <t>Pickup point</t>
  </si>
  <si>
    <t>مكانان التحميل</t>
  </si>
  <si>
    <t>text_droppoint</t>
  </si>
  <si>
    <t>Dropout point</t>
  </si>
  <si>
    <t>مكان التنزيل</t>
  </si>
  <si>
    <t>text_decline</t>
  </si>
  <si>
    <t>Decline</t>
  </si>
  <si>
    <t>رفض</t>
  </si>
  <si>
    <t>text_accept</t>
  </si>
  <si>
    <t>Accept</t>
  </si>
  <si>
    <t>قبول</t>
  </si>
  <si>
    <t>text_call</t>
  </si>
  <si>
    <t>Call</t>
  </si>
  <si>
    <t>إتصل</t>
  </si>
  <si>
    <t>text_chat</t>
  </si>
  <si>
    <t>Chat</t>
  </si>
  <si>
    <t>دردش</t>
  </si>
  <si>
    <t>text_cancel</t>
  </si>
  <si>
    <t>Cancel</t>
  </si>
  <si>
    <t>إلغي</t>
  </si>
  <si>
    <t>text_arrived</t>
  </si>
  <si>
    <t>Arrived</t>
  </si>
  <si>
    <t>وصلت</t>
  </si>
  <si>
    <t>text_youareonline</t>
  </si>
  <si>
    <t>You are Online now</t>
  </si>
  <si>
    <t>انت هلأ متصل</t>
  </si>
  <si>
    <t>text_youareoffline</t>
  </si>
  <si>
    <t>You are Offline now</t>
  </si>
  <si>
    <t>أنت هلأ خارج الخدمة</t>
  </si>
  <si>
    <t>text_arriving</t>
  </si>
  <si>
    <t>Arriving</t>
  </si>
  <si>
    <t>بالطريق</t>
  </si>
  <si>
    <t>text_onride</t>
  </si>
  <si>
    <t>Reaching Destination</t>
  </si>
  <si>
    <t>بالطريق للتوصيل</t>
  </si>
  <si>
    <t>text_startride</t>
  </si>
  <si>
    <t>Start Ride</t>
  </si>
  <si>
    <t>بلش الرحلة</t>
  </si>
  <si>
    <t>text_endtrip</t>
  </si>
  <si>
    <t>End Trip</t>
  </si>
  <si>
    <t>انهي الرحلة</t>
  </si>
  <si>
    <t>text_driver_otp</t>
  </si>
  <si>
    <t>Enter OTP</t>
  </si>
  <si>
    <t>ادخل OTP</t>
  </si>
  <si>
    <t>text_enterdriverotp</t>
  </si>
  <si>
    <t>Enter the OTP displayed in Customer's App to start the ride</t>
  </si>
  <si>
    <t>ادخل OTP الموجود على تطبيق الراكب لتبلش الرحلة</t>
  </si>
  <si>
    <t>text_enable_history</t>
  </si>
  <si>
    <t>History</t>
  </si>
  <si>
    <t>السجل</t>
  </si>
  <si>
    <t>text_enable_wallet</t>
  </si>
  <si>
    <t>Wallet</t>
  </si>
  <si>
    <t>المحفظة</t>
  </si>
  <si>
    <t>text_enable_referal</t>
  </si>
  <si>
    <t>Referal</t>
  </si>
  <si>
    <t>text_faq</t>
  </si>
  <si>
    <t>FAQ</t>
  </si>
  <si>
    <t>الاسئلة الشائعة</t>
  </si>
  <si>
    <t>text_sos</t>
  </si>
  <si>
    <t>SOS</t>
  </si>
  <si>
    <t>text_change_language</t>
  </si>
  <si>
    <t>Change Language</t>
  </si>
  <si>
    <t xml:space="preserve">غير اللغة </t>
  </si>
  <si>
    <t>text_about</t>
  </si>
  <si>
    <t>About</t>
  </si>
  <si>
    <t>عن مشوار</t>
  </si>
  <si>
    <t>text_logout</t>
  </si>
  <si>
    <t>Logout</t>
  </si>
  <si>
    <t>text_tripsummary</t>
  </si>
  <si>
    <t>Trip Summary</t>
  </si>
  <si>
    <t>خًلاصة الرحلة</t>
  </si>
  <si>
    <t>text_reference</t>
  </si>
  <si>
    <t>Reference Number</t>
  </si>
  <si>
    <t>الرقم المرجعي</t>
  </si>
  <si>
    <t>text_rideType</t>
  </si>
  <si>
    <t>Type of Ride</t>
  </si>
  <si>
    <t>نوع الرحلة</t>
  </si>
  <si>
    <t>text_distance</t>
  </si>
  <si>
    <t>Distance</t>
  </si>
  <si>
    <t>المسافة المقطوعة</t>
  </si>
  <si>
    <t>text_duration</t>
  </si>
  <si>
    <t>Duration</t>
  </si>
  <si>
    <t xml:space="preserve">المدة </t>
  </si>
  <si>
    <t>text_tripfare</t>
  </si>
  <si>
    <t>Fare Breakup</t>
  </si>
  <si>
    <t>تفاصيل الأجرة</t>
  </si>
  <si>
    <t>text_baseprice</t>
  </si>
  <si>
    <t>Base Price</t>
  </si>
  <si>
    <t>السعر الأساسي</t>
  </si>
  <si>
    <t>text_taxes</t>
  </si>
  <si>
    <t>Taxes</t>
  </si>
  <si>
    <t>الضريبة</t>
  </si>
  <si>
    <t>text_distprice</t>
  </si>
  <si>
    <t>Distance Price</t>
  </si>
  <si>
    <t>سعر المسافة المقطوعة</t>
  </si>
  <si>
    <t>text_timeprice</t>
  </si>
  <si>
    <t>Time Price</t>
  </si>
  <si>
    <t>سعر الوقت</t>
  </si>
  <si>
    <t>text_cancelfee</t>
  </si>
  <si>
    <t>Cancellation Fee</t>
  </si>
  <si>
    <t>رسوم الألغاء</t>
  </si>
  <si>
    <t>text_convfee</t>
  </si>
  <si>
    <t>Convenience Fee</t>
  </si>
  <si>
    <t>رسوم ترفيه</t>
  </si>
  <si>
    <t>text_totalfare</t>
  </si>
  <si>
    <t>Total Fare</t>
  </si>
  <si>
    <t>الأجرة الكلية</t>
  </si>
  <si>
    <t>text_cash</t>
  </si>
  <si>
    <t>Cash</t>
  </si>
  <si>
    <t>نقداً</t>
  </si>
  <si>
    <t>text_trust_contact</t>
  </si>
  <si>
    <t>Trusted Contact</t>
  </si>
  <si>
    <t>الأصدقاء المقربين</t>
  </si>
  <si>
    <t>text_trust_contact_1</t>
  </si>
  <si>
    <t>Share your trip status</t>
  </si>
  <si>
    <t>شارك حالتك بالرحلة</t>
  </si>
  <si>
    <t>text_trust_contact_2</t>
  </si>
  <si>
    <t>You’ll be able to share your live location with one or more contacts during any trip</t>
  </si>
  <si>
    <t>رح تشارك موقعك المباشر مع شخص أو أكتر خلال أي رحلة</t>
  </si>
  <si>
    <t>text_trust_contact_3</t>
  </si>
  <si>
    <t>Set your emergency contacts</t>
  </si>
  <si>
    <t>text_trust_contact_4</t>
  </si>
  <si>
    <t>We suggest selecting responsive contacts for 
emergencies, like a local guardian or a friend nearby.</t>
  </si>
  <si>
    <t>text_add_trust_contact</t>
  </si>
  <si>
    <t>Share information and initiate automatic calls
with emergency contacts.</t>
  </si>
  <si>
    <t>text_submit</t>
  </si>
  <si>
    <t>Submit</t>
  </si>
  <si>
    <t>إرسال</t>
  </si>
  <si>
    <t>text_feedback</t>
  </si>
  <si>
    <t>Give your Feedback</t>
  </si>
  <si>
    <t>خبرنا بملاحظاتك</t>
  </si>
  <si>
    <t>text testing</t>
  </si>
  <si>
    <t>Testing</t>
  </si>
  <si>
    <t>تجربة</t>
  </si>
  <si>
    <t>text_cancel_reason</t>
  </si>
  <si>
    <t>Cancel Reason</t>
  </si>
  <si>
    <t>سبب الإلغاء</t>
  </si>
  <si>
    <t>text_cancelrequest</t>
  </si>
  <si>
    <t>Cancel Request</t>
  </si>
  <si>
    <t>إلغي الطلب</t>
  </si>
  <si>
    <t>text_entercancelreason</t>
  </si>
  <si>
    <t>Enter Cancel Reason</t>
  </si>
  <si>
    <t>خبرنا عن سبب الإلغاء</t>
  </si>
  <si>
    <t>text_pickdroplocation</t>
  </si>
  <si>
    <t>Choose Drop Location</t>
  </si>
  <si>
    <t>اختار مكان الركوب</t>
  </si>
  <si>
    <t>text_choosepicklocation</t>
  </si>
  <si>
    <t>Choose Pick Location</t>
  </si>
  <si>
    <t>اختار موقع الركوب</t>
  </si>
  <si>
    <t>text_fav_address</t>
  </si>
  <si>
    <t>Favourite Address</t>
  </si>
  <si>
    <t>عنوانك المفضل</t>
  </si>
  <si>
    <t>text_pick_suggestion</t>
  </si>
  <si>
    <t>Pickup Suggestion</t>
  </si>
  <si>
    <t>اقترح مكان الركوب</t>
  </si>
  <si>
    <t>text_drop_suggestion</t>
  </si>
  <si>
    <t>Drop Suggestion</t>
  </si>
  <si>
    <t>اقترح مكان الاسقاط</t>
  </si>
  <si>
    <t>text_chooseonmap</t>
  </si>
  <si>
    <t>Locate on Map</t>
  </si>
  <si>
    <t>حدد الموقع على الخريطة</t>
  </si>
  <si>
    <t>text_4lettersforautofill</t>
  </si>
  <si>
    <t>search destination</t>
  </si>
  <si>
    <t>اكتب 4 حروف للبحث</t>
  </si>
  <si>
    <t>text_availablerides</t>
  </si>
  <si>
    <t>Suggested Rides</t>
  </si>
  <si>
    <t>الخدمات المتوفرة</t>
  </si>
  <si>
    <t>text_paymentmethod</t>
  </si>
  <si>
    <t>Payment Method</t>
  </si>
  <si>
    <t>طريقة الدفع</t>
  </si>
  <si>
    <t>text_choose_paynoworlater</t>
  </si>
  <si>
    <t>Choose your payment now or later</t>
  </si>
  <si>
    <t>اختار طريقة الدفع هلأ أو بعدين</t>
  </si>
  <si>
    <t>text_paycash</t>
  </si>
  <si>
    <t>Pay when trip ends</t>
  </si>
  <si>
    <t>أدفع لما يخلص المشوار</t>
  </si>
  <si>
    <t>text_paycard</t>
  </si>
  <si>
    <t>For seamless and contact less payment</t>
  </si>
  <si>
    <t>الدفع بدون لمس</t>
  </si>
  <si>
    <t>text_payupi</t>
  </si>
  <si>
    <t>For faster payment</t>
  </si>
  <si>
    <t>للدفع بطريقة أسرع</t>
  </si>
  <si>
    <t>text_paywallet</t>
  </si>
  <si>
    <t>For Instant payment</t>
  </si>
  <si>
    <t>للدفع الفوري</t>
  </si>
  <si>
    <t>text_payingvia</t>
  </si>
  <si>
    <t>Paying via</t>
  </si>
  <si>
    <t>ادفع عن طريق</t>
  </si>
  <si>
    <t>text_enterpromo</t>
  </si>
  <si>
    <t>Enter Promo Code</t>
  </si>
  <si>
    <t>اكتب رمز الخصم</t>
  </si>
  <si>
    <t>text_remove</t>
  </si>
  <si>
    <t>Remove</t>
  </si>
  <si>
    <t>امسح</t>
  </si>
  <si>
    <t>text_edit</t>
  </si>
  <si>
    <t>Edit</t>
  </si>
  <si>
    <t>تعديل</t>
  </si>
  <si>
    <t>text_promoaccepted</t>
  </si>
  <si>
    <t xml:space="preserve"> Coupon Applied</t>
  </si>
  <si>
    <t>تم اضافة الكوبون</t>
  </si>
  <si>
    <t>text_promorejected</t>
  </si>
  <si>
    <t>Invalid Coupon Code</t>
  </si>
  <si>
    <t>رمز الكوبون خطأ !</t>
  </si>
  <si>
    <t>text_findingdriver</t>
  </si>
  <si>
    <t>Looking for nearby drivers</t>
  </si>
  <si>
    <t>جار البحث عن أقرب كابتن متاح</t>
  </si>
  <si>
    <t>text_finddriverdesc</t>
  </si>
  <si>
    <t>We Are Looking For Nearby Driver To Accept Your Ride. Once Accepted You Can Ride With Us! We Appreciate Your Patience!</t>
  </si>
  <si>
    <t>text_pickup_instruction</t>
  </si>
  <si>
    <t>Any Instructions for pick up</t>
  </si>
  <si>
    <t>خبر الكابتن بتعليماتك</t>
  </si>
  <si>
    <t>text_shareride</t>
  </si>
  <si>
    <t>Share Ride</t>
  </si>
  <si>
    <t>شارك مشوارك</t>
  </si>
  <si>
    <t>text_ridecancel</t>
  </si>
  <si>
    <t>Are you sure to cancel ride</t>
  </si>
  <si>
    <t>إنت متأكد إنك بدك تلغي الرحلة</t>
  </si>
  <si>
    <t>text_ridecancel_desc</t>
  </si>
  <si>
    <t>Your ride will be cancelled and returned to main menu. This will lead to cancellation fee</t>
  </si>
  <si>
    <t>رح نلغلي الرحلة ونرجعك للقائمة الرئيسية, هاد الشي رح يترتب عليه غرامة إلغاء</t>
  </si>
  <si>
    <t>tex_dontcancel</t>
  </si>
  <si>
    <t>Don't Cancel</t>
  </si>
  <si>
    <t>لا تلغي</t>
  </si>
  <si>
    <t>text_cancelRideReason</t>
  </si>
  <si>
    <t>Reason for cancelling ride</t>
  </si>
  <si>
    <t>خبرنا عن سبب إلغاء الرحلة</t>
  </si>
  <si>
    <t>text_nodriver</t>
  </si>
  <si>
    <t>No Driver Found</t>
  </si>
  <si>
    <t>للأسف ما في كابتن قريب</t>
  </si>
  <si>
    <t>text_tryagain</t>
  </si>
  <si>
    <t>Try Again</t>
  </si>
  <si>
    <t>جرب كمان مرة</t>
  </si>
  <si>
    <t>text_ridelater</t>
  </si>
  <si>
    <t>Ride Later</t>
  </si>
  <si>
    <t>اركب بعدين</t>
  </si>
  <si>
    <t>text_ridenow</t>
  </si>
  <si>
    <t>Book Ride</t>
  </si>
  <si>
    <t>اركب الآن</t>
  </si>
  <si>
    <t>text_home</t>
  </si>
  <si>
    <t>Home</t>
  </si>
  <si>
    <t>البيت</t>
  </si>
  <si>
    <t>text_work</t>
  </si>
  <si>
    <t>Work</t>
  </si>
  <si>
    <t>الشغل</t>
  </si>
  <si>
    <t>text_others</t>
  </si>
  <si>
    <t>Others</t>
  </si>
  <si>
    <t>أماكن مختلفة</t>
  </si>
  <si>
    <t>text_enterfavname</t>
  </si>
  <si>
    <t>Enter Favourites Name</t>
  </si>
  <si>
    <t>اكتب اسمك المفضل</t>
  </si>
  <si>
    <t>text_confirmridelater</t>
  </si>
  <si>
    <t>Are you sure to choose ride in this time</t>
  </si>
  <si>
    <t>انت متأكد إنك رح تركب بهاد الوقت</t>
  </si>
  <si>
    <t>text_rideLaterSuccess</t>
  </si>
  <si>
    <t>Ride is confirmed successfully</t>
  </si>
  <si>
    <t>تم تأكيد المشوار بنجاح</t>
  </si>
  <si>
    <t>text_saveaddressas</t>
  </si>
  <si>
    <t>Save as Favourite</t>
  </si>
  <si>
    <t>حفظ كمفضل</t>
  </si>
  <si>
    <t>text_trustedtaxi</t>
  </si>
  <si>
    <t>Most Trusted Ride Booking App</t>
  </si>
  <si>
    <t>تطبيق حجز السيارات الاكثر ثقة</t>
  </si>
  <si>
    <t>text_allowpermission1</t>
  </si>
  <si>
    <t>To enjoy your ride experience</t>
  </si>
  <si>
    <t>لتنبسط بمشوارك</t>
  </si>
  <si>
    <t>text_allowpermission2</t>
  </si>
  <si>
    <t>Please allow us the following permissions</t>
  </si>
  <si>
    <t>يا ريت تسمحلنا بالأذونات التالية</t>
  </si>
  <si>
    <t>text_allow</t>
  </si>
  <si>
    <t>Allow</t>
  </si>
  <si>
    <t>text_drivercancelled</t>
  </si>
  <si>
    <t>Ride Cancelled by Driver</t>
  </si>
  <si>
    <t>الكابتن ألغى الرحلة</t>
  </si>
  <si>
    <t>text_cancelsuccess</t>
  </si>
  <si>
    <t>Ride Cancelled Successfully</t>
  </si>
  <si>
    <t>إلتغت الرحلة بنجاح</t>
  </si>
  <si>
    <t>text_notifyadmin</t>
  </si>
  <si>
    <t>Notify Admin</t>
  </si>
  <si>
    <t>خبر الإدارة</t>
  </si>
  <si>
    <t>text_notifysuccess</t>
  </si>
  <si>
    <t>Notified Successfully</t>
  </si>
  <si>
    <t>تم إعلام الإدارة بنجاح</t>
  </si>
  <si>
    <t>text_chatwithdriver</t>
  </si>
  <si>
    <t>Chat With Driver</t>
  </si>
  <si>
    <t>دردش مع الكابتن</t>
  </si>
  <si>
    <t>text_entermessage</t>
  </si>
  <si>
    <t>Enter Message</t>
  </si>
  <si>
    <t xml:space="preserve">أكتب رسالتك </t>
  </si>
  <si>
    <t>text_newmessagereceived</t>
  </si>
  <si>
    <t>New Message Received</t>
  </si>
  <si>
    <t>وصلتك رسالة جديدة</t>
  </si>
  <si>
    <t>text_nointernet</t>
  </si>
  <si>
    <t>No Internet Connection</t>
  </si>
  <si>
    <t>ما في اتصال بالإنترنت</t>
  </si>
  <si>
    <t>text_nointernetdesc</t>
  </si>
  <si>
    <t>Please check your internet connection, try enabling wifi or try again later</t>
  </si>
  <si>
    <t>يا ريت تتأكد من اتصالك بالانترنت , حاول تفعل الواي - فاي أو جرب مرة تانية بعد شوي</t>
  </si>
  <si>
    <t>text_copyrights</t>
  </si>
  <si>
    <t>Copyrights</t>
  </si>
  <si>
    <t xml:space="preserve">حقوق الطبع والنشر </t>
  </si>
  <si>
    <t>text_termsandconditions</t>
  </si>
  <si>
    <t>Terms and Conditions</t>
  </si>
  <si>
    <t>text_yourTrustedContacts</t>
  </si>
  <si>
    <t>Your Trusted Contacts</t>
  </si>
  <si>
    <t>جهات الاتصال الموثوقة</t>
  </si>
  <si>
    <t>text_removeSos</t>
  </si>
  <si>
    <t>Are you sure to remove this contact from your trusted Contact</t>
  </si>
  <si>
    <t>متأكد من مسح جهة الاتصال هي من جهات الاتصال الموثوقة</t>
  </si>
  <si>
    <t>text_noDataFound</t>
  </si>
  <si>
    <t>No Data Found</t>
  </si>
  <si>
    <t>ما في معلومات</t>
  </si>
  <si>
    <t>text_removeFav</t>
  </si>
  <si>
    <t>Are you sure to remove this address from your favorites</t>
  </si>
  <si>
    <t>متاكد من إزالة العنوان الحالي من قائمة العناوين المفضلة</t>
  </si>
  <si>
    <t>text_invite</t>
  </si>
  <si>
    <t>Invite</t>
  </si>
  <si>
    <t>خَبَِر</t>
  </si>
  <si>
    <t>text_invitation_1</t>
  </si>
  <si>
    <t>Join me on 55! using my invite code</t>
  </si>
  <si>
    <t>انضم لعائلة مشوار عن طريق رمز دعوتي</t>
  </si>
  <si>
    <t>text_invitation_2</t>
  </si>
  <si>
    <t>To make easy your ride</t>
  </si>
  <si>
    <t>لتسهيل مشوارك</t>
  </si>
  <si>
    <t>text_upcoming</t>
  </si>
  <si>
    <t>Upcoming</t>
  </si>
  <si>
    <t>القادمة</t>
  </si>
  <si>
    <t>text_completed</t>
  </si>
  <si>
    <t>Completed</t>
  </si>
  <si>
    <t>تمت</t>
  </si>
  <si>
    <t>text_cancelled</t>
  </si>
  <si>
    <t>Cancelled</t>
  </si>
  <si>
    <t>ألغيت</t>
  </si>
  <si>
    <t>text_card</t>
  </si>
  <si>
    <t>Card</t>
  </si>
  <si>
    <t>بطاقة</t>
  </si>
  <si>
    <t>text_loadmore</t>
  </si>
  <si>
    <t>Load More</t>
  </si>
  <si>
    <t>عرض المزيد</t>
  </si>
  <si>
    <t>text_location</t>
  </si>
  <si>
    <t>Location details</t>
  </si>
  <si>
    <t>تفاصيل الموقع</t>
  </si>
  <si>
    <t>text_assigned</t>
  </si>
  <si>
    <t>Assigned</t>
  </si>
  <si>
    <t>تم التكليف</t>
  </si>
  <si>
    <t>text_started</t>
  </si>
  <si>
    <t>Started</t>
  </si>
  <si>
    <t>بلشت</t>
  </si>
  <si>
    <t>text_availablebalance</t>
  </si>
  <si>
    <t>Available Balance</t>
  </si>
  <si>
    <t>الرصيد المتاح</t>
  </si>
  <si>
    <t>text_addmoney</t>
  </si>
  <si>
    <t>Add Money</t>
  </si>
  <si>
    <t>اضافة فلوس</t>
  </si>
  <si>
    <t>text_recenttransactions</t>
  </si>
  <si>
    <t>Recent Transactions</t>
  </si>
  <si>
    <t>آخر التحويلات</t>
  </si>
  <si>
    <t>text_deposit</t>
  </si>
  <si>
    <t>Deposit</t>
  </si>
  <si>
    <t>إيداع</t>
  </si>
  <si>
    <t>text_ridepayment</t>
  </si>
  <si>
    <t>Ride Payment</t>
  </si>
  <si>
    <t>دفعة الرحلة</t>
  </si>
  <si>
    <t>Money Deposited</t>
  </si>
  <si>
    <t>إيداع فلوس</t>
  </si>
  <si>
    <t>text_enteramount</t>
  </si>
  <si>
    <t>Enter Amount Here</t>
  </si>
  <si>
    <t>اكتب المبلغ</t>
  </si>
  <si>
    <t>text_editprofile</t>
  </si>
  <si>
    <t>Edit Profile</t>
  </si>
  <si>
    <t>تعديل الملف الشخصي</t>
  </si>
  <si>
    <t>text_editimage</t>
  </si>
  <si>
    <t>Edit Image</t>
  </si>
  <si>
    <t>تعديل الصورة</t>
  </si>
  <si>
    <t>text_pay</t>
  </si>
  <si>
    <t>Pay</t>
  </si>
  <si>
    <t>إدفع</t>
  </si>
  <si>
    <t>text_somethingwentwrong</t>
  </si>
  <si>
    <t>Something Went Wrong, Try again</t>
  </si>
  <si>
    <t>في شي غلط , يا ريت تحاول مرة تانية</t>
  </si>
  <si>
    <t>text_paymentsuccess</t>
  </si>
  <si>
    <t>Payment successful</t>
  </si>
  <si>
    <t>تم الدفع بنجاح</t>
  </si>
  <si>
    <t>text_camera</t>
  </si>
  <si>
    <t>Camera</t>
  </si>
  <si>
    <t>الكاميرا</t>
  </si>
  <si>
    <t>text_gallery</t>
  </si>
  <si>
    <t>Gallery</t>
  </si>
  <si>
    <t>الأستوديو</t>
  </si>
  <si>
    <t>text_updateVehicle</t>
  </si>
  <si>
    <t>Update Vehicle Info</t>
  </si>
  <si>
    <t>تحديث معلومات السيارة</t>
  </si>
  <si>
    <t>text_make</t>
  </si>
  <si>
    <t>Vehicle Make</t>
  </si>
  <si>
    <t>ماركة السيارة</t>
  </si>
  <si>
    <t>text_model</t>
  </si>
  <si>
    <t>Vehicle Model</t>
  </si>
  <si>
    <t>فئة السيارة</t>
  </si>
  <si>
    <t>text_year</t>
  </si>
  <si>
    <t>Vehicle Year</t>
  </si>
  <si>
    <t>سنة صنع السيارة</t>
  </si>
  <si>
    <t>text_type</t>
  </si>
  <si>
    <t>Vehicle Type</t>
  </si>
  <si>
    <t>نوع السيارة</t>
  </si>
  <si>
    <t>text_number</t>
  </si>
  <si>
    <t>text_color</t>
  </si>
  <si>
    <t>Vehicle Color</t>
  </si>
  <si>
    <t>لون السيارة</t>
  </si>
  <si>
    <t>text_tapfordocs</t>
  </si>
  <si>
    <t>Tap here to upload</t>
  </si>
  <si>
    <t>اكبس لبدأ عملية الرفع</t>
  </si>
  <si>
    <t>text_earnings</t>
  </si>
  <si>
    <t>Earnings</t>
  </si>
  <si>
    <t>text_today</t>
  </si>
  <si>
    <t>Today</t>
  </si>
  <si>
    <t>text_weekly</t>
  </si>
  <si>
    <t>Weekly</t>
  </si>
  <si>
    <t>text_monthly</t>
  </si>
  <si>
    <t>Monthly</t>
  </si>
  <si>
    <t>شهري</t>
  </si>
  <si>
    <t>text_trips</t>
  </si>
  <si>
    <t>Trips</t>
  </si>
  <si>
    <t>الرحلات</t>
  </si>
  <si>
    <t>text_hours</t>
  </si>
  <si>
    <t>Hours</t>
  </si>
  <si>
    <t>الساعات</t>
  </si>
  <si>
    <t>text_tripkm</t>
  </si>
  <si>
    <t>Trip Kms</t>
  </si>
  <si>
    <t>كم لكل رحلة</t>
  </si>
  <si>
    <t>text_walletpayment</t>
  </si>
  <si>
    <t>Wallet Payment</t>
  </si>
  <si>
    <t>دفع عن طريق المحفظة</t>
  </si>
  <si>
    <t>text_cashpayment</t>
  </si>
  <si>
    <t>Cash Payment</t>
  </si>
  <si>
    <t>دفع كاش</t>
  </si>
  <si>
    <t>text_totalearnings</t>
  </si>
  <si>
    <t>Total Earnings</t>
  </si>
  <si>
    <t>text_report</t>
  </si>
  <si>
    <t>Report</t>
  </si>
  <si>
    <t>text_fromDate</t>
  </si>
  <si>
    <t>From Date</t>
  </si>
  <si>
    <t>من تاريخ</t>
  </si>
  <si>
    <t>text_toDate</t>
  </si>
  <si>
    <t>To Date</t>
  </si>
  <si>
    <t>حتى اليوم</t>
  </si>
  <si>
    <t>text_withdraw</t>
  </si>
  <si>
    <t>Withdraw</t>
  </si>
  <si>
    <t>سحب</t>
  </si>
  <si>
    <t>text_withdrawHistory</t>
  </si>
  <si>
    <t>Withdraw History</t>
  </si>
  <si>
    <t>تاريخ السحب</t>
  </si>
  <si>
    <t>text_withdrawReqAt</t>
  </si>
  <si>
    <t>Withdraw Request At</t>
  </si>
  <si>
    <t>طلب سحب في</t>
  </si>
  <si>
    <t>text_bankDetails</t>
  </si>
  <si>
    <t>Bank Details</t>
  </si>
  <si>
    <t>تفاصيل البنك</t>
  </si>
  <si>
    <t>text_accoutHolderName</t>
  </si>
  <si>
    <t>Account Holder Name</t>
  </si>
  <si>
    <t>text_accountNumber</t>
  </si>
  <si>
    <t>Account Number</t>
  </si>
  <si>
    <t>رقم الحساب</t>
  </si>
  <si>
    <t>text_bankCode</t>
  </si>
  <si>
    <t>Bank Code</t>
  </si>
  <si>
    <t xml:space="preserve">رمز البنك </t>
  </si>
  <si>
    <t>text_bankName</t>
  </si>
  <si>
    <t>Bank Name</t>
  </si>
  <si>
    <t>اسم البنك</t>
  </si>
  <si>
    <t>text_updateBank</t>
  </si>
  <si>
    <t>Update Bank Info</t>
  </si>
  <si>
    <t>text_confirmlogout</t>
  </si>
  <si>
    <t>Are you sure want to logout</t>
  </si>
  <si>
    <t>متأكد انك بدك تسجل خروج</t>
  </si>
  <si>
    <t>text_wallet</t>
  </si>
  <si>
    <t>text_startridewithotp</t>
  </si>
  <si>
    <t>Start Ride with OTP</t>
  </si>
  <si>
    <t>بدء المشوار مع OTP</t>
  </si>
  <si>
    <t>text_loadingLocalization</t>
  </si>
  <si>
    <t>Loading Localization</t>
  </si>
  <si>
    <t>تحميل الموقع</t>
  </si>
  <si>
    <t>text_background_permission</t>
  </si>
  <si>
    <t>Enable Background Location - to give you ride request even if your app is in background</t>
  </si>
  <si>
    <t>تمكين الموقع في الخلفية - هاد الشي بخليك تستقبل طلبات حتى لو كنت طالع من البرنامج</t>
  </si>
  <si>
    <t>Admin Commission For Trip</t>
  </si>
  <si>
    <t>نسبة الإدارة</t>
  </si>
  <si>
    <t>Trip Commission</t>
  </si>
  <si>
    <t>عمولة الرحلة</t>
  </si>
  <si>
    <t>Money Deposited By Admin</t>
  </si>
  <si>
    <t>فلوس تم ايداعها عن طريق الأدمن</t>
  </si>
  <si>
    <t>Referral Commission</t>
  </si>
  <si>
    <t>عمولة الإحالة</t>
  </si>
  <si>
    <t>Spent For Trip Request</t>
  </si>
  <si>
    <t>Withdrawn From Wallet</t>
  </si>
  <si>
    <t>انسحب من المحفظة</t>
  </si>
  <si>
    <t>text_user_cancelled_request</t>
  </si>
  <si>
    <t>User Cancelled the Request</t>
  </si>
  <si>
    <t>الراكب ألغى الطلب</t>
  </si>
  <si>
    <t>text_low_balance</t>
  </si>
  <si>
    <t>Your wallet balance is low, please add some money to continue service</t>
  </si>
  <si>
    <t>رصيد محفظتك منخفض, يرجى اعادة الشحن لتتكمن من مواصلة عملك</t>
  </si>
  <si>
    <t>text_otp_error</t>
  </si>
  <si>
    <t>Please enter correct Otp or resend</t>
  </si>
  <si>
    <t>يا ريت تكتب OTP الصحيح او تجرب ترسله كمان مرة</t>
  </si>
  <si>
    <t>text_code_copied</t>
  </si>
  <si>
    <t>Referral Code Copied</t>
  </si>
  <si>
    <t>تم نسخ رمز الدعوة</t>
  </si>
  <si>
    <t>text_loc_permission_user</t>
  </si>
  <si>
    <t>Allow Location</t>
  </si>
  <si>
    <t>يرجى تشغيل الموقع - لتتمكن من حجز مشوارك</t>
  </si>
  <si>
    <t>text_low_wallet_for_ride</t>
  </si>
  <si>
    <t>Your Wallet Balance is too low to make this ride</t>
  </si>
  <si>
    <t>رصيد محفظتك منخفض للغاية , لا يمكن حجز مشوارك</t>
  </si>
  <si>
    <t>text_internal_server_error</t>
  </si>
  <si>
    <t>Internal Server Error</t>
  </si>
  <si>
    <t>خطأ في السيرفر</t>
  </si>
  <si>
    <t>text_supported_vehicles</t>
  </si>
  <si>
    <t>Supported Vehicles</t>
  </si>
  <si>
    <t>السيارات المدعومة</t>
  </si>
  <si>
    <t>text_description</t>
  </si>
  <si>
    <t>Description</t>
  </si>
  <si>
    <t>الوصف</t>
  </si>
  <si>
    <t>text_estimated_amount</t>
  </si>
  <si>
    <t>Estimated Amount</t>
  </si>
  <si>
    <t>تقريبا</t>
  </si>
  <si>
    <t>text_open_loc_settings</t>
  </si>
  <si>
    <t>Location access is needed for running the app, please enable it in settings and tap done</t>
  </si>
  <si>
    <t>لازم تشغل الموقع لحتى يشتغل برنامج مشوار , يا ريت تفعل خدمة الموقع من الإعدادات</t>
  </si>
  <si>
    <t>text_open_settings</t>
  </si>
  <si>
    <t>Open Settings</t>
  </si>
  <si>
    <t>إفتح الإعدادات</t>
  </si>
  <si>
    <t>text_done</t>
  </si>
  <si>
    <t>Done</t>
  </si>
  <si>
    <t>تم</t>
  </si>
  <si>
    <t>text_open_contact_setting</t>
  </si>
  <si>
    <t>Contact access is needed to pick contact for SOS, pleable enable it in settings and tap done</t>
  </si>
  <si>
    <t>text_open_camera_setting</t>
  </si>
  <si>
    <t>Camera access is needed to capture image, please enable it in settings and tap done</t>
  </si>
  <si>
    <t>text_open_photos_setting</t>
  </si>
  <si>
    <t>Photos access is needed to pick image, please enable it in settings and tap done</t>
  </si>
  <si>
    <t>text_enter_otp_login</t>
  </si>
  <si>
    <t>Enter Otp</t>
  </si>
  <si>
    <t>text_add_by_card</t>
  </si>
  <si>
    <t>Add by Card</t>
  </si>
  <si>
    <t>text_add_by_kiosk</t>
  </si>
  <si>
    <t>Add by Kiosk</t>
  </si>
  <si>
    <t>text_pay_by_card</t>
  </si>
  <si>
    <t>Pay by Card</t>
  </si>
  <si>
    <t>text_pay_by_kiosk</t>
  </si>
  <si>
    <t>Pay by Kiosk</t>
  </si>
  <si>
    <t>text_error_trip_otp</t>
  </si>
  <si>
    <t>Please enter valid OTP</t>
  </si>
  <si>
    <t>text_bill_reference</t>
  </si>
  <si>
    <t>Bill Reference</t>
  </si>
  <si>
    <t>text_subscriptions</t>
  </si>
  <si>
    <t>Subscriptions</t>
  </si>
  <si>
    <t>text_select_sub_plan</t>
  </si>
  <si>
    <t>Select a plan to continue</t>
  </si>
  <si>
    <t>text_sub_text1</t>
  </si>
  <si>
    <t>Spot payment to your wallet</t>
  </si>
  <si>
    <t>text_sub_text2</t>
  </si>
  <si>
    <t>Benefits of getting whole amount</t>
  </si>
  <si>
    <t>text_sub_text3</t>
  </si>
  <si>
    <t>Get priority customer support</t>
  </si>
  <si>
    <t>text_sub_text4</t>
  </si>
  <si>
    <t>0% commission</t>
  </si>
  <si>
    <t>text_sub_ended</t>
  </si>
  <si>
    <t>Your Subscription is ended</t>
  </si>
  <si>
    <t>text_sub_ended_1</t>
  </si>
  <si>
    <t xml:space="preserve">Your Subscription has ended on </t>
  </si>
  <si>
    <t>text_purchase_now</t>
  </si>
  <si>
    <t>Purchase now</t>
  </si>
  <si>
    <t>text_browse_plans</t>
  </si>
  <si>
    <t>Browse Plans</t>
  </si>
  <si>
    <t>text_monthly_plan</t>
  </si>
  <si>
    <t>Monthly Plan</t>
  </si>
  <si>
    <t>text_yearly_plan</t>
  </si>
  <si>
    <t>Yearly Plan</t>
  </si>
  <si>
    <t>text_rideLaterTime</t>
  </si>
  <si>
    <t>Ride Scheduled at</t>
  </si>
  <si>
    <t>text_cancel_ride</t>
  </si>
  <si>
    <t>Cancel Ride</t>
  </si>
  <si>
    <t>text_sub_ended_2</t>
  </si>
  <si>
    <t>Subscribe a plan to continue getting rides</t>
  </si>
  <si>
    <t>text_make_complaints</t>
  </si>
  <si>
    <t>Make Complaint</t>
  </si>
  <si>
    <t>text_complaint_1</t>
  </si>
  <si>
    <t>Click Below to Choose Type</t>
  </si>
  <si>
    <t>text_complaint_2</t>
  </si>
  <si>
    <t>Write your complaint here</t>
  </si>
  <si>
    <t>text_complaint_success</t>
  </si>
  <si>
    <t>We Successfully Got Your Concern...</t>
  </si>
  <si>
    <t>text_complaint_success_2</t>
  </si>
  <si>
    <t>We Will Get You Sooner</t>
  </si>
  <si>
    <t>text_thankyou</t>
  </si>
  <si>
    <t>Thank You</t>
  </si>
  <si>
    <t>text_complaint_3</t>
  </si>
  <si>
    <t>minimum 10 characters</t>
  </si>
  <si>
    <t>text_free_trail_1</t>
  </si>
  <si>
    <t>Try Free Trial for 1 Month</t>
  </si>
  <si>
    <t>text_free_trail_2</t>
  </si>
  <si>
    <t>Are you sure to get Free Trial for 1 month</t>
  </si>
  <si>
    <t>text_waiting_time</t>
  </si>
  <si>
    <t>Waiting Time</t>
  </si>
  <si>
    <t>text_mins</t>
  </si>
  <si>
    <t>mins</t>
  </si>
  <si>
    <t>text_waiting_time_1</t>
  </si>
  <si>
    <t>Free Waiting Time</t>
  </si>
  <si>
    <t>text_waiting_time_2</t>
  </si>
  <si>
    <t>Free Waiting Time Before Trip Start</t>
  </si>
  <si>
    <t>text_waiting_time_3</t>
  </si>
  <si>
    <t>Free Waiting Time After Trip Start</t>
  </si>
  <si>
    <t>text_waiting_price</t>
  </si>
  <si>
    <t>Waiting Price</t>
  </si>
  <si>
    <t>text_discount</t>
  </si>
  <si>
    <t>Discount</t>
  </si>
  <si>
    <t>text_no_service</t>
  </si>
  <si>
    <t>Service not available in your location</t>
  </si>
  <si>
    <t>text_tax_inclusive</t>
  </si>
  <si>
    <t>Inclusive of TAX</t>
  </si>
  <si>
    <t>text_surge_fee</t>
  </si>
  <si>
    <t>Surge fee</t>
  </si>
  <si>
    <t>text_choose_payment</t>
  </si>
  <si>
    <t>Choose Payment Method</t>
  </si>
  <si>
    <t>text_rental_ride</t>
  </si>
  <si>
    <t>Rental Ride</t>
  </si>
  <si>
    <t>text_regular</t>
  </si>
  <si>
    <t>Regular</t>
  </si>
  <si>
    <t>text_ride_type</t>
  </si>
  <si>
    <t>Package Name</t>
  </si>
  <si>
    <t>text_referral_code</t>
  </si>
  <si>
    <t>please enter valid referral code</t>
  </si>
  <si>
    <t>text_arrive_eta</t>
  </si>
  <si>
    <t>Driver arrives in</t>
  </si>
  <si>
    <t>text_email_validation</t>
  </si>
  <si>
    <t>Please enter valid email address</t>
  </si>
  <si>
    <t>text_delete_account</t>
  </si>
  <si>
    <t>Delete Account</t>
  </si>
  <si>
    <t>text_delete_confirm</t>
  </si>
  <si>
    <t>After 30 days Your Account Will Be Deleted Permanently</t>
  </si>
  <si>
    <t>text_add_cancel_reason</t>
  </si>
  <si>
    <t>Add Cancel Reason</t>
  </si>
  <si>
    <t>text_chatwithuser</t>
  </si>
  <si>
    <t>Chat with Passenger</t>
  </si>
  <si>
    <t>text_available</t>
  </si>
  <si>
    <t>Available</t>
  </si>
  <si>
    <t>text_onboard</t>
  </si>
  <si>
    <t>OnBoard</t>
  </si>
  <si>
    <t>text_offline</t>
  </si>
  <si>
    <t>Offline</t>
  </si>
  <si>
    <t>text_no_data_found</t>
  </si>
  <si>
    <t>text_manage_vehicle</t>
  </si>
  <si>
    <t>Manage Vehicles</t>
  </si>
  <si>
    <t>text_manage_drivers</t>
  </si>
  <si>
    <t>Manage Drivers</t>
  </si>
  <si>
    <t>text_driver_added</t>
  </si>
  <si>
    <t>Driver Added Successfully</t>
  </si>
  <si>
    <t>text_no_driver</t>
  </si>
  <si>
    <t xml:space="preserve">No Driver </t>
  </si>
  <si>
    <t>text_assign_new_driver</t>
  </si>
  <si>
    <t>Assign new Driver +</t>
  </si>
  <si>
    <t>text_select_driver</t>
  </si>
  <si>
    <t>Please Select Driver</t>
  </si>
  <si>
    <t>text_fleet_not_assigned</t>
  </si>
  <si>
    <t>Fleet Not Assigned</t>
  </si>
  <si>
    <t>text_no_driver_found</t>
  </si>
  <si>
    <t>No Drivers Found</t>
  </si>
  <si>
    <t>text_select_date</t>
  </si>
  <si>
    <t>Select Date</t>
  </si>
  <si>
    <t>text_user</t>
  </si>
  <si>
    <t>User</t>
  </si>
  <si>
    <t>text_driver</t>
  </si>
  <si>
    <t>Driver</t>
  </si>
  <si>
    <t>text_driver_not_assigned</t>
  </si>
  <si>
    <t>Driver Not Assigned</t>
  </si>
  <si>
    <t>text_waiting_approval</t>
  </si>
  <si>
    <t>Waiting For Approval</t>
  </si>
  <si>
    <t>text_no_vehicle_found</t>
  </si>
  <si>
    <t>No Vehicle Found</t>
  </si>
  <si>
    <t>text_assign_driver</t>
  </si>
  <si>
    <t>Assign Driver</t>
  </si>
  <si>
    <t>text_upload_doc</t>
  </si>
  <si>
    <t>Upload Docs</t>
  </si>
  <si>
    <t>text_vehicle_added</t>
  </si>
  <si>
    <t>Vehicle Successfully Added</t>
  </si>
  <si>
    <t>text_add_photo</t>
  </si>
  <si>
    <t>Add Photo</t>
  </si>
  <si>
    <t>text_login_driver</t>
  </si>
  <si>
    <t>Login as a Driver</t>
  </si>
  <si>
    <t>text_login_owner</t>
  </si>
  <si>
    <t>Login as a Owner</t>
  </si>
  <si>
    <t>text_fleet_details</t>
  </si>
  <si>
    <t>Fleet Details</t>
  </si>
  <si>
    <t>text_delete_driver</t>
  </si>
  <si>
    <t>Delete Driver</t>
  </si>
  <si>
    <t>text_delete_confirmation</t>
  </si>
  <si>
    <t>Are you sure want to delete this driver ?</t>
  </si>
  <si>
    <t>text_yes</t>
  </si>
  <si>
    <t>Yes</t>
  </si>
  <si>
    <t>text_no</t>
  </si>
  <si>
    <t>No</t>
  </si>
  <si>
    <t>text_fleet_diver_low_bal</t>
  </si>
  <si>
    <t>Your owner wallet balance is low, please contact your owner</t>
  </si>
  <si>
    <t>text_add_vehicle</t>
  </si>
  <si>
    <t>Add Vehicle</t>
  </si>
  <si>
    <t>text_address</t>
  </si>
  <si>
    <t>Address</t>
  </si>
  <si>
    <t>text_add_driver</t>
  </si>
  <si>
    <t>Add Driver</t>
  </si>
  <si>
    <t>text_choose_area</t>
  </si>
  <si>
    <t>Choose Area</t>
  </si>
  <si>
    <t>text_company_name</t>
  </si>
  <si>
    <t>Company Name</t>
  </si>
  <si>
    <t>text_city</t>
  </si>
  <si>
    <t>City</t>
  </si>
  <si>
    <t>text_postal_code</t>
  </si>
  <si>
    <t>Postal Code</t>
  </si>
  <si>
    <t>text_tax_number</t>
  </si>
  <si>
    <t>Tax Number</t>
  </si>
  <si>
    <t>text_no_fleet_assigned</t>
  </si>
  <si>
    <t>No Fleet Assigned</t>
  </si>
  <si>
    <t>text_ridewithout_destination</t>
  </si>
  <si>
    <t>Ride without Destination</t>
  </si>
  <si>
    <t>text_notification</t>
  </si>
  <si>
    <t>Notification</t>
  </si>
  <si>
    <t>text_delete_notification</t>
  </si>
  <si>
    <t>Are you sure want to Delete the Notication</t>
  </si>
  <si>
    <t>text_share</t>
  </si>
  <si>
    <t>Share</t>
  </si>
  <si>
    <t>text_share_money</t>
  </si>
  <si>
    <t>Share Money</t>
  </si>
  <si>
    <t>text_close</t>
  </si>
  <si>
    <t>Close</t>
  </si>
  <si>
    <t>text_fill_fileds</t>
  </si>
  <si>
    <t>Fill The Fields</t>
  </si>
  <si>
    <t>text_admin_commision</t>
  </si>
  <si>
    <t>Admin Commission</t>
  </si>
  <si>
    <t>text_notification_deleted</t>
  </si>
  <si>
    <t>Notification  Deleted</t>
  </si>
  <si>
    <t>text_transferred_successfully</t>
  </si>
  <si>
    <t>Transferred Successfully</t>
  </si>
  <si>
    <t>text_account</t>
  </si>
  <si>
    <t>Account</t>
  </si>
  <si>
    <t>text_general</t>
  </si>
  <si>
    <t>General</t>
  </si>
  <si>
    <t>text_contactus</t>
  </si>
  <si>
    <t>Contact us</t>
  </si>
  <si>
    <t>text_noorder</t>
  </si>
  <si>
    <t>No Order Here</t>
  </si>
  <si>
    <t>text_latest_transitions</t>
  </si>
  <si>
    <t>Latest Transactions</t>
  </si>
  <si>
    <t>text_recharge_bal</t>
  </si>
  <si>
    <t>Recharge Balance</t>
  </si>
  <si>
    <t>text_rechage_text</t>
  </si>
  <si>
    <t>Here you can top-up your wallet</t>
  </si>
  <si>
    <t>text_credit_trans</t>
  </si>
  <si>
    <t>Transfer Money</t>
  </si>
  <si>
    <t>text_todayearn</t>
  </si>
  <si>
    <t>Today Earnings</t>
  </si>
  <si>
    <t>text_new_connection</t>
  </si>
  <si>
    <t>Add a Contact</t>
  </si>
  <si>
    <t>text_add_con_name</t>
  </si>
  <si>
    <t>Add Connection Name</t>
  </si>
  <si>
    <t>text_enter_name</t>
  </si>
  <si>
    <t>Enter The Name</t>
  </si>
  <si>
    <t>text_add_con_number</t>
  </si>
  <si>
    <t>Add Connection Number</t>
  </si>
  <si>
    <t>text_enter_phone_number</t>
  </si>
  <si>
    <t>Enter The Phone Number</t>
  </si>
  <si>
    <t>text_help</t>
  </si>
  <si>
    <t>Help</t>
  </si>
  <si>
    <t>text_you_contact</t>
  </si>
  <si>
    <t>You Can Contact Us</t>
  </si>
  <si>
    <t>text_what_mobilenum</t>
  </si>
  <si>
    <t>What's your mobile number ?</t>
  </si>
  <si>
    <t>text_you_get_otp</t>
  </si>
  <si>
    <t>You will get a sms for Verification</t>
  </si>
  <si>
    <t>text_send_otp</t>
  </si>
  <si>
    <t>Enter the OTP number send to you at</t>
  </si>
  <si>
    <t>text_your_name</t>
  </si>
  <si>
    <t>what's your name?</t>
  </si>
  <si>
    <t>text_prob_name</t>
  </si>
  <si>
    <t>Let us know how we know probably address you</t>
  </si>
  <si>
    <t>text_first_name</t>
  </si>
  <si>
    <t>Enter First Name</t>
  </si>
  <si>
    <t>text_last_name</t>
  </si>
  <si>
    <t>Enter Last Name</t>
  </si>
  <si>
    <t>text_enter_email</t>
  </si>
  <si>
    <t>Enter Your Email Address</t>
  </si>
  <si>
    <t>text_accept_head</t>
  </si>
  <si>
    <t>Accept Terms &amp; Review Privacy Policy Notice</t>
  </si>
  <si>
    <t>text_privacy_text</t>
  </si>
  <si>
    <t>By Selecting "I Agree" below, I have reviewed and agree to the Terms of Use and acknowledged the Privacy Notice.</t>
  </si>
  <si>
    <t>text_iagree</t>
  </si>
  <si>
    <t>I Agree</t>
  </si>
  <si>
    <t>text_reqinfo</t>
  </si>
  <si>
    <t>Required Information</t>
  </si>
  <si>
    <t>text_welcome</t>
  </si>
  <si>
    <t>Welcome</t>
  </si>
  <si>
    <t>text_become_captain</t>
  </si>
  <si>
    <t>Here is what you need to become driver</t>
  </si>
  <si>
    <t>text_profile</t>
  </si>
  <si>
    <t>Profile</t>
  </si>
  <si>
    <t>text_profile_para</t>
  </si>
  <si>
    <t>To accept the application, we need identification that prove the eligibility of the applicant to provide the service.</t>
  </si>
  <si>
    <t>text_car_info</t>
  </si>
  <si>
    <t>Car Information</t>
  </si>
  <si>
    <t>text_car_info_para</t>
  </si>
  <si>
    <t>text_docs</t>
  </si>
  <si>
    <t>Document</t>
  </si>
  <si>
    <t>text_upload_pho_lic</t>
  </si>
  <si>
    <t>Upload your photo and License</t>
  </si>
  <si>
    <t>text_upload_image</t>
  </si>
  <si>
    <t>Upload Image</t>
  </si>
  <si>
    <t>text_expiry_date</t>
  </si>
  <si>
    <t>Expiry Date</t>
  </si>
  <si>
    <t>text_choose_expiry</t>
  </si>
  <si>
    <t>Choose Expiry Date</t>
  </si>
  <si>
    <t>text_fil_req_info</t>
  </si>
  <si>
    <t>Please Fill Required Information</t>
  </si>
  <si>
    <t>text_choose_image</t>
  </si>
  <si>
    <t>please choose image</t>
  </si>
  <si>
    <t>text_car_type</t>
  </si>
  <si>
    <t>Car Type</t>
  </si>
  <si>
    <t>text_make_name</t>
  </si>
  <si>
    <t>Make Name</t>
  </si>
  <si>
    <t>text_model_name</t>
  </si>
  <si>
    <t>Model Name</t>
  </si>
  <si>
    <t>text_model_year</t>
  </si>
  <si>
    <t>Model Year</t>
  </si>
  <si>
    <t>text_enter_mod_year</t>
  </si>
  <si>
    <t>Enter Vehicle Model Year</t>
  </si>
  <si>
    <t>text_enter_valid_date</t>
  </si>
  <si>
    <t>Please Enter Valid Date</t>
  </si>
  <si>
    <t>text_enter_vehicle_num</t>
  </si>
  <si>
    <t>Enter Vehicle Number</t>
  </si>
  <si>
    <t>text_enter_color</t>
  </si>
  <si>
    <t>Enter Vehicle Color</t>
  </si>
  <si>
    <t>text_sign_out</t>
  </si>
  <si>
    <t>Sign Out</t>
  </si>
  <si>
    <t>text_save_address</t>
  </si>
  <si>
    <t>Saved Address</t>
  </si>
  <si>
    <t>text_my_orders</t>
  </si>
  <si>
    <t>My Orders</t>
  </si>
  <si>
    <t>text_total</t>
  </si>
  <si>
    <t>Total</t>
  </si>
  <si>
    <t>text_eva_profile</t>
  </si>
  <si>
    <t>We are evaluating your profile</t>
  </si>
  <si>
    <t>text_order_to</t>
  </si>
  <si>
    <t>In order to make sure our community holds up a standard,we dont allow any profiles to get in.</t>
  </si>
  <si>
    <t>text_kindly_reup</t>
  </si>
  <si>
    <t>Kindly re-upload the required document</t>
  </si>
  <si>
    <t>text_this_step</t>
  </si>
  <si>
    <t>This step take between 2-24 hour</t>
  </si>
  <si>
    <t>text_decline_reason</t>
  </si>
  <si>
    <t>The Declined reason is</t>
  </si>
  <si>
    <t>text_profile_info</t>
  </si>
  <si>
    <t>Profile Information</t>
  </si>
  <si>
    <t>text_mob_num</t>
  </si>
  <si>
    <t>Mobile Number</t>
  </si>
  <si>
    <t>text_work_area</t>
  </si>
  <si>
    <t>Select Work Area</t>
  </si>
  <si>
    <t>text_wok_area</t>
  </si>
  <si>
    <t>Work Area</t>
  </si>
  <si>
    <t>text_sel_model</t>
  </si>
  <si>
    <t>Select Vehicle Model</t>
  </si>
  <si>
    <t>text_sel_make</t>
  </si>
  <si>
    <t>Select Vehicle Make</t>
  </si>
  <si>
    <t>text_choose_date</t>
  </si>
  <si>
    <t>Choose Date</t>
  </si>
  <si>
    <t>text_delete</t>
  </si>
  <si>
    <t>Delete</t>
  </si>
  <si>
    <t>text_where_to_go</t>
  </si>
  <si>
    <t>Where do you want to go?</t>
  </si>
  <si>
    <t>text_view_on_map</t>
  </si>
  <si>
    <t>View on map</t>
  </si>
  <si>
    <t>text_coupons</t>
  </si>
  <si>
    <t>Coupon</t>
  </si>
  <si>
    <t>text_cancel_booking</t>
  </si>
  <si>
    <t>Cancel Booking</t>
  </si>
  <si>
    <t>text_driver_nearby</t>
  </si>
  <si>
    <t>Driver Nearby</t>
  </si>
  <si>
    <t>text_captain_nearby_desc</t>
  </si>
  <si>
    <t>The driver will arrive within 2 minutes be ready to meet him</t>
  </si>
  <si>
    <t>text_captain_arrived</t>
  </si>
  <si>
    <t>Driver Has Arrived</t>
  </si>
  <si>
    <t>text_captain_arrived_desc</t>
  </si>
  <si>
    <t>Driver has arrived. To avoid extra fees, be sure to meet your driver within 3 minutes</t>
  </si>
  <si>
    <t>text_why_cancel_order</t>
  </si>
  <si>
    <t>Why do you want to cancel order?</t>
  </si>
  <si>
    <t>text_why_report</t>
  </si>
  <si>
    <t>Why Do You Want To Report This Trip?</t>
  </si>
  <si>
    <t>text_we_appriciate</t>
  </si>
  <si>
    <t>We appriciate you helping us keep Our App safe</t>
  </si>
  <si>
    <t>text_thanks_let</t>
  </si>
  <si>
    <t>Thanks for letting us now</t>
  </si>
  <si>
    <t>text_thanks_feedback</t>
  </si>
  <si>
    <t>This feedback is important in helping us keep_x000b_Our App Community safe and secure for everyone</t>
  </si>
  <si>
    <t>text_enter_otp_at</t>
  </si>
  <si>
    <t xml:space="preserve">Enter the OTP number send to you at </t>
  </si>
  <si>
    <t>text_resend_otp</t>
  </si>
  <si>
    <t>Resend OTP</t>
  </si>
  <si>
    <t>text_have_issue</t>
  </si>
  <si>
    <t>Have Issue</t>
  </si>
  <si>
    <t>text_loc_perm_1</t>
  </si>
  <si>
    <t>Most Trusted app</t>
  </si>
  <si>
    <t>text_loc_perm_2</t>
  </si>
  <si>
    <t>To enjoy your ride experience Please, us the following permission</t>
  </si>
  <si>
    <t>text_saved_place</t>
  </si>
  <si>
    <t>Saved Places</t>
  </si>
  <si>
    <t>text_search_captain</t>
  </si>
  <si>
    <t>Searching For Driver</t>
  </si>
  <si>
    <t>text_in_the_way</t>
  </si>
  <si>
    <t>On The Way</t>
  </si>
  <si>
    <t>text_on_ride</t>
  </si>
  <si>
    <t>On Ride</t>
  </si>
  <si>
    <t>text_waiting_rider</t>
  </si>
  <si>
    <t>Waiting for Customer</t>
  </si>
  <si>
    <t>text_contact_support</t>
  </si>
  <si>
    <t>Contact Support</t>
  </si>
  <si>
    <t>text_agree_text1</t>
  </si>
  <si>
    <t>By Selecting " I Agree " below, I have Reviewed and agree to the</t>
  </si>
  <si>
    <t>text_terms_of_use</t>
  </si>
  <si>
    <t xml:space="preserve"> Terms Of Use </t>
  </si>
  <si>
    <t>text_agree_text2</t>
  </si>
  <si>
    <t xml:space="preserve"> and acknowledged the </t>
  </si>
  <si>
    <t>text_welcome_text1</t>
  </si>
  <si>
    <t>What would you to do today?</t>
  </si>
  <si>
    <t>text_take_ride</t>
  </si>
  <si>
    <t>Take a Ride Now</t>
  </si>
  <si>
    <t>text_get_ready</t>
  </si>
  <si>
    <t>Get Ready For Ride Later</t>
  </si>
  <si>
    <t>text_now</t>
  </si>
  <si>
    <t>Now</t>
  </si>
  <si>
    <t>text_later</t>
  </si>
  <si>
    <t>Later</t>
  </si>
  <si>
    <t>text_door_to_door</t>
  </si>
  <si>
    <t>Door-To-Door</t>
  </si>
  <si>
    <t>text_convenience</t>
  </si>
  <si>
    <t>Convenience,Safety,</t>
  </si>
  <si>
    <t>text_reliable</t>
  </si>
  <si>
    <t>and Reliable Quality,</t>
  </si>
  <si>
    <t>text_destination</t>
  </si>
  <si>
    <t xml:space="preserve">Or add your destination later </t>
  </si>
  <si>
    <t>text_nocaptain</t>
  </si>
  <si>
    <t>text_captain_wait</t>
  </si>
  <si>
    <t>Driver Is Waiting For You</t>
  </si>
  <si>
    <t>text_back_home</t>
  </si>
  <si>
    <t>Back To Home Page</t>
  </si>
  <si>
    <t>text_add_address</t>
  </si>
  <si>
    <t>Add an Address</t>
  </si>
  <si>
    <t>text_amount_of</t>
  </si>
  <si>
    <t>Amount of</t>
  </si>
  <si>
    <t>text_tranferred_to</t>
  </si>
  <si>
    <t>has been transferred to</t>
  </si>
  <si>
    <t>text_company_info</t>
  </si>
  <si>
    <t>Company Information</t>
  </si>
  <si>
    <t>text_instant_ride</t>
  </si>
  <si>
    <t>Instant Taxi Ride</t>
  </si>
  <si>
    <t>text_my_route</t>
  </si>
  <si>
    <t>My Route Booking</t>
  </si>
  <si>
    <t>text_home_address</t>
  </si>
  <si>
    <t>Home Address</t>
  </si>
  <si>
    <t>text_add_home_address</t>
  </si>
  <si>
    <t>Add Home Address</t>
  </si>
  <si>
    <t>text_disable_myroute</t>
  </si>
  <si>
    <t>Disable My Route Booking</t>
  </si>
  <si>
    <t>text_enable_myroute</t>
  </si>
  <si>
    <t>Enable My Route Booking</t>
  </si>
  <si>
    <t>text_choose_homeaddress</t>
  </si>
  <si>
    <t>Choose Home Address</t>
  </si>
  <si>
    <t>text_address_added_success</t>
  </si>
  <si>
    <t>Address Added Successfully</t>
  </si>
  <si>
    <t>text_myroute_warning</t>
  </si>
  <si>
    <t>Your current location should not be less than 5km from your home address</t>
  </si>
  <si>
    <t>text_onride_min</t>
  </si>
  <si>
    <t>Way to Drop in</t>
  </si>
  <si>
    <t>text_valid_referral</t>
  </si>
  <si>
    <t>Please enter valid Referral Code</t>
  </si>
  <si>
    <t>text_shipment_load</t>
  </si>
  <si>
    <t>Shipment Load</t>
  </si>
  <si>
    <t>text_shipment_unload</t>
  </si>
  <si>
    <t>Shipment Unload</t>
  </si>
  <si>
    <t>text_instructions</t>
  </si>
  <si>
    <t>Instructions</t>
  </si>
  <si>
    <t>text_add_instructions</t>
  </si>
  <si>
    <t>Add Instructions</t>
  </si>
  <si>
    <t>text_change_position_demo</t>
  </si>
  <si>
    <t>Long press and move for switch address position</t>
  </si>
  <si>
    <t>text_choose_address_nav</t>
  </si>
  <si>
    <t>Choose Address for Navigation</t>
  </si>
  <si>
    <t>text_signature</t>
  </si>
  <si>
    <t>Signature</t>
  </si>
  <si>
    <t>text_retry</t>
  </si>
  <si>
    <t>Retry</t>
  </si>
  <si>
    <t>text_confirm_pickloc</t>
  </si>
  <si>
    <t>Confirm Pick Location</t>
  </si>
  <si>
    <t>text_confirm_droploc</t>
  </si>
  <si>
    <t>Confirm Drop Location</t>
  </si>
  <si>
    <t>text_confirm_newloc</t>
  </si>
  <si>
    <t>Confirm New Location</t>
  </si>
  <si>
    <t>text_give_buyerdata</t>
  </si>
  <si>
    <t>Receiver Info</t>
  </si>
  <si>
    <t>text_givenumber</t>
  </si>
  <si>
    <t>text_confirm_details</t>
  </si>
  <si>
    <t>Confirm Details</t>
  </si>
  <si>
    <t>text_add_stop</t>
  </si>
  <si>
    <t>Add Stop</t>
  </si>
  <si>
    <t>text_give_userdata</t>
  </si>
  <si>
    <t>Sender Info</t>
  </si>
  <si>
    <t>text_pick_contact</t>
  </si>
  <si>
    <t>Pickup Contact</t>
  </si>
  <si>
    <t>text_choose_goods</t>
  </si>
  <si>
    <t>Choose Goods Type</t>
  </si>
  <si>
    <t>text_loose</t>
  </si>
  <si>
    <t>Loose</t>
  </si>
  <si>
    <t>text_quantitywithunit</t>
  </si>
  <si>
    <t>Qty with unit</t>
  </si>
  <si>
    <t>text_goods_type</t>
  </si>
  <si>
    <t>Goods Type</t>
  </si>
  <si>
    <t>text_book_now</t>
  </si>
  <si>
    <t>Ride Now</t>
  </si>
  <si>
    <t>text_book_later</t>
  </si>
  <si>
    <t>Book for Later</t>
  </si>
  <si>
    <t>text_add_shipmentimage</t>
  </si>
  <si>
    <t>Tap to add Shipment Image</t>
  </si>
  <si>
    <t>text_edit_shipmentimage</t>
  </si>
  <si>
    <t>Tap to edit Shipment Image</t>
  </si>
  <si>
    <t>text_add_unloadImage</t>
  </si>
  <si>
    <t>Tap to add Unload Image</t>
  </si>
  <si>
    <t>text_edit_unloadimage</t>
  </si>
  <si>
    <t>Tap to edit Unload Image</t>
  </si>
  <si>
    <t>text_unload_title</t>
  </si>
  <si>
    <t>Upload Unload Proof</t>
  </si>
  <si>
    <t>text_shipment_title</t>
  </si>
  <si>
    <t>Upload Shipment Proof</t>
  </si>
  <si>
    <t>text_owner</t>
  </si>
  <si>
    <t>Owner</t>
  </si>
  <si>
    <t>text_taxi</t>
  </si>
  <si>
    <t>Transport</t>
  </si>
  <si>
    <t>text_delivery</t>
  </si>
  <si>
    <t>Delivery</t>
  </si>
  <si>
    <t>text_waitingforpayment</t>
  </si>
  <si>
    <t>Waiting For Payment</t>
  </si>
  <si>
    <t>text_continue_with</t>
  </si>
  <si>
    <t>Continue with</t>
  </si>
  <si>
    <t>text_goto_url</t>
  </si>
  <si>
    <t>Goto URL</t>
  </si>
  <si>
    <t>text_register_for</t>
  </si>
  <si>
    <t>Register for</t>
  </si>
  <si>
    <t>text_recommended_fare</t>
  </si>
  <si>
    <t>Recommended Fare</t>
  </si>
  <si>
    <t>text_offer_your_fare</t>
  </si>
  <si>
    <t>Offer Your Fare</t>
  </si>
  <si>
    <t>text_offered_fare</t>
  </si>
  <si>
    <t>Offered ride fare</t>
  </si>
  <si>
    <t>text_current_fare</t>
  </si>
  <si>
    <t>Current Fare</t>
  </si>
  <si>
    <t>text_update</t>
  </si>
  <si>
    <t>Update</t>
  </si>
  <si>
    <t>text_you_are_offduty</t>
  </si>
  <si>
    <t>You are Off Duty now</t>
  </si>
  <si>
    <t>text_cancel_confirmation</t>
  </si>
  <si>
    <t>Are you sure want to cancel the ride?</t>
  </si>
  <si>
    <t>text_no_ride_in_area</t>
  </si>
  <si>
    <t>Waiting For Ride Request</t>
  </si>
  <si>
    <t>text_skip_ride</t>
  </si>
  <si>
    <t>Skip the Ride</t>
  </si>
  <si>
    <t>text_bid</t>
  </si>
  <si>
    <t>Bid</t>
  </si>
  <si>
    <t>text_waiting_for_user</t>
  </si>
  <si>
    <t>Waiting for user to accept the request</t>
  </si>
  <si>
    <t>text_pick</t>
  </si>
  <si>
    <t>Pick Up</t>
  </si>
  <si>
    <t>text_distance_between</t>
  </si>
  <si>
    <t>Get ride from distance between</t>
  </si>
  <si>
    <t>text_create_request</t>
  </si>
  <si>
    <t>Create Request</t>
  </si>
  <si>
    <t>text_low_fare_error</t>
  </si>
  <si>
    <t>your fare must not be lesser than recommended fare</t>
  </si>
  <si>
    <t>text_contact_us</t>
  </si>
  <si>
    <t>Contact Us</t>
  </si>
  <si>
    <t>text_sign_up_email</t>
  </si>
  <si>
    <t>Sign In with Email</t>
  </si>
  <si>
    <t>text_email_verify</t>
  </si>
  <si>
    <t>Email Verification</t>
  </si>
  <si>
    <t>text_select_theme</t>
  </si>
  <si>
    <t>Select Theme</t>
  </si>
  <si>
    <t>text_update_available</t>
  </si>
  <si>
    <t>New version of this app is available in store, please update the app for continue using</t>
  </si>
  <si>
    <t>text_more_vehicles</t>
  </si>
  <si>
    <t>You can choose more than 1 vehicle types</t>
  </si>
  <si>
    <t>text_bidding</t>
  </si>
  <si>
    <t>Bidding</t>
  </si>
  <si>
    <t>text_contact_permission</t>
  </si>
  <si>
    <t>The selected contact will be added in our server for SOS purpose, In app there is an option to remove this contacts.</t>
  </si>
  <si>
    <t>text_payment_received</t>
  </si>
  <si>
    <t>Payment Recieved</t>
  </si>
  <si>
    <t>text_what_email</t>
  </si>
  <si>
    <t>What's Your Email ?</t>
  </si>
  <si>
    <t>text_taxi_</t>
  </si>
  <si>
    <t>Taxi</t>
  </si>
  <si>
    <t>text_both</t>
  </si>
  <si>
    <t>Both</t>
  </si>
  <si>
    <t>text_service_loc</t>
  </si>
  <si>
    <t>What's your service location</t>
  </si>
  <si>
    <t>text_4letterpickup</t>
  </si>
  <si>
    <t>search pickup location</t>
  </si>
  <si>
    <t>text_complaint_text_error</t>
  </si>
  <si>
    <t>Complaint must be minimum 10 characters</t>
  </si>
  <si>
    <t>text_account_declined</t>
  </si>
  <si>
    <t>Your Account is Declined</t>
  </si>
  <si>
    <t>text_declined_reason</t>
  </si>
  <si>
    <t>Declined Reason</t>
  </si>
  <si>
    <t>text_skip_referral</t>
  </si>
  <si>
    <t>Skip Referral</t>
  </si>
  <si>
    <t>text_referral_optional</t>
  </si>
  <si>
    <t>Referral (Optional)</t>
  </si>
  <si>
    <t>text_wallet_balance_low</t>
  </si>
  <si>
    <t>Your wallet balance is low try another payment method</t>
  </si>
  <si>
    <t>text_mobile_already_taken</t>
  </si>
  <si>
    <t>Provided Mobile Number Already Taken</t>
  </si>
  <si>
    <t>text_mobile</t>
  </si>
  <si>
    <t>Mobile</t>
  </si>
  <si>
    <t>text_chat_us</t>
  </si>
  <si>
    <t>Chat With Us</t>
  </si>
  <si>
    <t>text_admin_chat</t>
  </si>
  <si>
    <t>Admin Chat</t>
  </si>
  <si>
    <t>text_email_already_taken</t>
  </si>
  <si>
    <t>Provided Email Already Taken</t>
  </si>
  <si>
    <t>text_settings</t>
  </si>
  <si>
    <t>Settings</t>
  </si>
  <si>
    <t>text_support</t>
  </si>
  <si>
    <t>Support</t>
  </si>
  <si>
    <t>text_referral</t>
  </si>
  <si>
    <t>Referral</t>
  </si>
  <si>
    <t>text_custom_make</t>
  </si>
  <si>
    <t>Add Custom Make</t>
  </si>
  <si>
    <t>Edit Docs</t>
  </si>
  <si>
    <t>text_bid_ride</t>
  </si>
  <si>
    <t>Bid Ride</t>
  </si>
  <si>
    <t>text_outstation</t>
  </si>
  <si>
    <t>Out Station</t>
  </si>
  <si>
    <t>text_ready_to_pickup</t>
  </si>
  <si>
    <t>Ready To Pickup</t>
  </si>
  <si>
    <t>text_my_bid_amount</t>
  </si>
  <si>
    <t>My Offered Price</t>
  </si>
  <si>
    <t>text_chooe_transport_type</t>
  </si>
  <si>
    <t>Choose Transport Type Here</t>
  </si>
  <si>
    <t>text_one_way_trip</t>
  </si>
  <si>
    <t>One  way</t>
  </si>
  <si>
    <t>text_get_drop_off</t>
  </si>
  <si>
    <t>Get Dropped off</t>
  </si>
  <si>
    <t>text_round_trip</t>
  </si>
  <si>
    <t>Round  Trip</t>
  </si>
  <si>
    <t>text_car_return</t>
  </si>
  <si>
    <t>Keep The Car Till Return</t>
  </si>
  <si>
    <t>text_select</t>
  </si>
  <si>
    <t>Select</t>
  </si>
  <si>
    <t>text_schedule_trip</t>
  </si>
  <si>
    <t>Schedule One-Way Trip</t>
  </si>
  <si>
    <t>text_schedule_round_trip</t>
  </si>
  <si>
    <t>Schedule Round - Trip</t>
  </si>
  <si>
    <t>text_leave_on</t>
  </si>
  <si>
    <t>Leave On</t>
  </si>
  <si>
    <t>text_return_by</t>
  </si>
  <si>
    <t>Return By</t>
  </si>
  <si>
    <t>text_booking_for</t>
  </si>
  <si>
    <t>Booking For</t>
  </si>
  <si>
    <t>text_bidded_drivers</t>
  </si>
  <si>
    <t>Offerred Bids</t>
  </si>
  <si>
    <t>text_starting</t>
  </si>
  <si>
    <t>Starting</t>
  </si>
  <si>
    <t>text_outstation_ride</t>
  </si>
  <si>
    <t>Out Station Ride</t>
  </si>
  <si>
    <t>text_vehicle_info</t>
  </si>
  <si>
    <t>Vehicle Information</t>
  </si>
  <si>
    <t>text_ongoing_rides</t>
  </si>
  <si>
    <t>On Going Rides</t>
  </si>
  <si>
    <t>text_view_rides</t>
  </si>
  <si>
    <t>View Rides</t>
  </si>
  <si>
    <t>text_schedule</t>
  </si>
  <si>
    <t>Schedule Now</t>
  </si>
  <si>
    <t>text_overlay_permission</t>
  </si>
  <si>
    <t>Could you Please Provide Overlay Permisson for Apperar on the Other Apps</t>
  </si>
  <si>
    <t>text_personal_info</t>
  </si>
  <si>
    <t>Personal Info</t>
  </si>
  <si>
    <t>text_req_permission</t>
  </si>
  <si>
    <t>Request Permission</t>
  </si>
  <si>
    <t>text_upcoming_rides</t>
  </si>
  <si>
    <t>Upcoming Rides</t>
  </si>
  <si>
    <t>text_completed_rides</t>
  </si>
  <si>
    <t>Completed Rides</t>
  </si>
  <si>
    <t>text_cancelled_rides</t>
  </si>
  <si>
    <t>Cancelled Rides</t>
  </si>
  <si>
    <t>text_nofav_loc</t>
  </si>
  <si>
    <t>No favorite location is been found</t>
  </si>
  <si>
    <t>text_no_transaction</t>
  </si>
  <si>
    <t>No recent transactions...!</t>
  </si>
  <si>
    <t>text_map_theme</t>
  </si>
  <si>
    <t>Map Theme</t>
  </si>
  <si>
    <t>text_add_money_wallet</t>
  </si>
  <si>
    <t>Add Money To Wallet</t>
  </si>
  <si>
    <t>text_wat_to_drop</t>
  </si>
  <si>
    <t>Way to Drop</t>
  </si>
  <si>
    <t>text_waiting_time_text</t>
  </si>
  <si>
    <t>After 5 minutes, a **/min surcharge applies for additional waiting time.</t>
  </si>
  <si>
    <t>text_add_contact</t>
  </si>
  <si>
    <t>text_no_contact</t>
  </si>
  <si>
    <t>No contacts have been added..!</t>
  </si>
  <si>
    <t>text_add_contact_safety</t>
  </si>
  <si>
    <t>Please add contacts to ensure your safety.</t>
  </si>
  <si>
    <t>text_map_settings</t>
  </si>
  <si>
    <t>Map Settings</t>
  </si>
  <si>
    <t>text_reset_now</t>
  </si>
  <si>
    <t>Reset to Now</t>
  </si>
  <si>
    <t>text_no_bids</t>
  </si>
  <si>
    <t>No Bids Yet</t>
  </si>
  <si>
    <t>text_choose_complaint</t>
  </si>
  <si>
    <t>Choose Your Complaints</t>
  </si>
  <si>
    <t>text_assurance</t>
  </si>
  <si>
    <t>ASSURANCE</t>
  </si>
  <si>
    <t>text_assurance_text</t>
  </si>
  <si>
    <t>Our customers safety first Always &amp; forever</t>
  </si>
  <si>
    <t>text_clarity</t>
  </si>
  <si>
    <t>CLARITY</t>
  </si>
  <si>
    <t>text_clarity_text</t>
  </si>
  <si>
    <t>Fair Pricing, Crystal Clear  Your Trust, Our Promise</t>
  </si>
  <si>
    <t>text_intutive</t>
  </si>
  <si>
    <t>INTUTIVE</t>
  </si>
  <si>
    <t>text_intutive_text</t>
  </si>
  <si>
    <t>Seamless Journeys, One Tap Away</t>
  </si>
  <si>
    <t>text_support_</t>
  </si>
  <si>
    <t>SUPPORT</t>
  </si>
  <si>
    <t>text_support_text</t>
  </si>
  <si>
    <t>Your Journey, Our Commitment: Support Around the Clock</t>
  </si>
  <si>
    <t>text_choose_to_explore</t>
  </si>
  <si>
    <t>Choose your role to explore</t>
  </si>
  <si>
    <t>text_sign_in</t>
  </si>
  <si>
    <t>Sign In</t>
  </si>
  <si>
    <t>text_email_mobile</t>
  </si>
  <si>
    <t>Email/ Mobile</t>
  </si>
  <si>
    <t>text_enter_password</t>
  </si>
  <si>
    <t>Enter Password</t>
  </si>
  <si>
    <t>text_forgot_password</t>
  </si>
  <si>
    <t>Forgot Password?</t>
  </si>
  <si>
    <t>text_sign_in_otp</t>
  </si>
  <si>
    <t>Signin with OTP?</t>
  </si>
  <si>
    <t>text_sign_in_password</t>
  </si>
  <si>
    <t>Signin with Password?</t>
  </si>
  <si>
    <t>text_get_otp</t>
  </si>
  <si>
    <t>Get OTP</t>
  </si>
  <si>
    <t>text_verify_otp</t>
  </si>
  <si>
    <t>Verify OTP</t>
  </si>
  <si>
    <t>text_verify_mobile</t>
  </si>
  <si>
    <t>Verify Mobile</t>
  </si>
  <si>
    <t>text_resend_otp_in</t>
  </si>
  <si>
    <t>Resend OTP in 1111</t>
  </si>
  <si>
    <t>text_welcome_to</t>
  </si>
  <si>
    <t>Welcome to 5555!</t>
  </si>
  <si>
    <t>text_captain_arrive</t>
  </si>
  <si>
    <t>The captain will arrive within 2 minutes be ready to meet him</t>
  </si>
  <si>
    <t>text_reaching_destination</t>
  </si>
  <si>
    <t>Reaching Destination in 1111 mins</t>
  </si>
  <si>
    <t>text_use_my_name_number</t>
  </si>
  <si>
    <t>Use My Name and Mobile Number</t>
  </si>
  <si>
    <t>text_give_user_data</t>
  </si>
  <si>
    <t>Give User Data</t>
  </si>
  <si>
    <t>text_select_package</t>
  </si>
  <si>
    <t>Select Package</t>
  </si>
  <si>
    <t>text_enter_new_password</t>
  </si>
  <si>
    <t>Enter New Password</t>
  </si>
  <si>
    <t>text_password_update_successfully</t>
  </si>
  <si>
    <t>Password Updated succesfully</t>
  </si>
  <si>
    <t>text_password_length</t>
  </si>
  <si>
    <t>Password must be 8 character length</t>
  </si>
  <si>
    <t>text_please_enter_correct_otp</t>
  </si>
  <si>
    <t>Please enter correct otp</t>
  </si>
  <si>
    <t>text_please_enter_otp</t>
  </si>
  <si>
    <t>Please enter otp</t>
  </si>
  <si>
    <t>text_please_enter_valid_mobile_number</t>
  </si>
  <si>
    <t>Please enter valid mobile number</t>
  </si>
  <si>
    <t>text_please_enter_valid_email_address</t>
  </si>
  <si>
    <t>text_mobile_doesnt_exists</t>
  </si>
  <si>
    <t>Mobile Number doesn't exists</t>
  </si>
  <si>
    <t>text_email_doesnt_exists</t>
  </si>
  <si>
    <t>Email doesn't exists</t>
  </si>
  <si>
    <t>text_fill_all_fields</t>
  </si>
  <si>
    <t>please enter all fields to proceed</t>
  </si>
  <si>
    <t>text_update_password</t>
  </si>
  <si>
    <t>Update Password</t>
  </si>
  <si>
    <t>text_number_exists_please_signup</t>
  </si>
  <si>
    <t>User Doesn't exists with this number, please Signup to continue</t>
  </si>
  <si>
    <t>text_registered_for</t>
  </si>
  <si>
    <t>Registered for - 1111</t>
  </si>
  <si>
    <t>text_male</t>
  </si>
  <si>
    <t>Male</t>
  </si>
  <si>
    <t>text_female</t>
  </si>
  <si>
    <t>Female</t>
  </si>
  <si>
    <t>text_other_gender</t>
  </si>
  <si>
    <t>Unknown</t>
  </si>
  <si>
    <t>text_gender</t>
  </si>
  <si>
    <t>Gender</t>
  </si>
  <si>
    <t>text_not_specified</t>
  </si>
  <si>
    <t>Not Specified</t>
  </si>
  <si>
    <t>text_upi</t>
  </si>
  <si>
    <t>UPI</t>
  </si>
  <si>
    <t>text_pets</t>
  </si>
  <si>
    <t>Pets</t>
  </si>
  <si>
    <t>text_luggages</t>
  </si>
  <si>
    <t>Luggages</t>
  </si>
  <si>
    <t>text_ride_preference</t>
  </si>
  <si>
    <t>Ride Preferences</t>
  </si>
  <si>
    <t>text_choose_preference</t>
  </si>
  <si>
    <t>Choose Preferences</t>
  </si>
  <si>
    <t>text_recent_searches</t>
  </si>
  <si>
    <t>Recent Searches</t>
  </si>
  <si>
    <t>text_map</t>
  </si>
  <si>
    <t>Map</t>
  </si>
  <si>
    <t>text_drop_loc</t>
  </si>
  <si>
    <t>Drop</t>
  </si>
  <si>
    <t>text_stop</t>
  </si>
  <si>
    <t>Stop</t>
  </si>
  <si>
    <t>text_pickup_loc</t>
  </si>
  <si>
    <t>Pickup</t>
  </si>
  <si>
    <t>show</t>
  </si>
  <si>
    <t>ta</t>
  </si>
  <si>
    <t>jo</t>
  </si>
  <si>
    <t>UpdateConfig</t>
  </si>
  <si>
    <t>update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</si>
</sst>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12.0"/>
      <color rgb="FFFF0000"/>
      <name val="Georgia"/>
    </font>
    <font>
      <sz val="10.0"/>
      <name val="Arial"/>
    </font>
    <font>
      <sz val="10.0"/>
      <color rgb="FF2B2B2B"/>
      <name val="Arial"/>
    </font>
    <font/>
    <font>
      <color rgb="FF2B2B2B"/>
      <name val="Arial"/>
    </font>
    <font>
      <u/>
      <sz val="10.0"/>
      <color rgb="FF2B2B2B"/>
      <name val="Arial"/>
    </font>
    <font>
      <color rgb="FF000000"/>
      <name val="&quot;JetBrains Mono&quot;"/>
    </font>
    <font>
      <color rgb="FF000000"/>
      <name val="Arial"/>
    </font>
    <font>
      <sz val="11.0"/>
      <color rgb="FF000000"/>
      <name val="Inconsolata"/>
    </font>
    <font>
      <i/>
      <sz val="10.0"/>
      <name val="Arial"/>
    </font>
    <font>
      <sz val="9.0"/>
      <color rgb="FF2B2B2B"/>
      <name val="Arial"/>
    </font>
    <font>
      <color rgb="FF2B2B2B"/>
      <name val="Consolas"/>
    </font>
    <font>
      <sz val="9.0"/>
      <color rgb="FFC41A16"/>
      <name val="Arial"/>
    </font>
    <font>
      <b/>
      <sz val="9.0"/>
      <color rgb="FFC41A16"/>
      <name val="Arial"/>
    </font>
    <font>
      <color rgb="FFC41A16"/>
    </font>
    <font>
      <b/>
      <sz val="10.0"/>
      <color rgb="FFFF0000"/>
      <name val="Arial"/>
    </font>
    <font>
      <b/>
      <sz val="10.0"/>
      <color rgb="FF000000"/>
      <name val="Arial"/>
    </font>
    <font>
      <sz val="11.0"/>
      <color rgb="FF2B2B2B"/>
      <name val="Arial"/>
    </font>
    <font>
      <color rgb="FF000000"/>
    </font>
    <font>
      <sz val="9.0"/>
      <color rgb="FF000000"/>
      <name val="Arial"/>
    </font>
    <font>
      <b/>
      <color rgb="FFFF0000"/>
      <name val="Arial"/>
    </font>
    <font>
      <b/>
      <sz val="11.0"/>
      <color rgb="FF008000"/>
      <name val="Arial"/>
    </font>
    <font>
      <name val="Arial"/>
    </font>
    <font>
      <b/>
      <color rgb="FF2B2B2B"/>
      <name val="Arial"/>
    </font>
    <font>
      <sz val="9.0"/>
      <color rgb="FF448C27"/>
      <name val="Menlo"/>
    </font>
    <font>
      <color rgb="FFC41A16"/>
      <name val="Arial"/>
    </font>
    <font>
      <b/>
      <color rgb="FF000000"/>
      <name val="Arial"/>
    </font>
    <font>
      <sz val="9.0"/>
      <color rgb="FF448C27"/>
      <name val="Arial"/>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F3F3F3"/>
        <bgColor rgb="FFF3F3F3"/>
      </patternFill>
    </fill>
    <fill>
      <patternFill patternType="solid">
        <fgColor rgb="FFF5F5F5"/>
        <bgColor rgb="FFF5F5F5"/>
      </patternFill>
    </fill>
  </fills>
  <borders count="2">
    <border/>
    <border>
      <right/>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vertical="bottom"/>
    </xf>
    <xf borderId="0" fillId="3" fontId="3" numFmtId="0" xfId="0" applyAlignment="1" applyFill="1" applyFont="1">
      <alignment readingOrder="0" vertical="bottom"/>
    </xf>
    <xf borderId="0" fillId="0" fontId="4" numFmtId="0" xfId="0" applyAlignment="1" applyFont="1">
      <alignment readingOrder="0" shrinkToFit="0" wrapText="1"/>
    </xf>
    <xf borderId="0" fillId="3" fontId="3" numFmtId="0" xfId="0" applyAlignment="1" applyFont="1">
      <alignment vertical="bottom"/>
    </xf>
    <xf borderId="0" fillId="0" fontId="4" numFmtId="0" xfId="0" applyAlignment="1" applyFont="1">
      <alignment readingOrder="0" shrinkToFit="0" wrapText="1"/>
    </xf>
    <xf borderId="0" fillId="0" fontId="2" numFmtId="0" xfId="0" applyAlignment="1" applyFont="1">
      <alignment readingOrder="0" vertical="bottom"/>
    </xf>
    <xf borderId="0" fillId="3" fontId="5" numFmtId="0" xfId="0" applyAlignment="1" applyFont="1">
      <alignment readingOrder="0"/>
    </xf>
    <xf borderId="0" fillId="3" fontId="3" numFmtId="0" xfId="0" applyAlignment="1" applyFont="1">
      <alignment readingOrder="0"/>
    </xf>
    <xf borderId="0" fillId="3" fontId="6" numFmtId="0" xfId="0" applyAlignment="1" applyFont="1">
      <alignment readingOrder="0" vertical="bottom"/>
    </xf>
    <xf borderId="0" fillId="3" fontId="7" numFmtId="0" xfId="0" applyAlignment="1" applyFont="1">
      <alignment readingOrder="0"/>
    </xf>
    <xf borderId="0" fillId="3" fontId="8" numFmtId="0" xfId="0" applyAlignment="1" applyFont="1">
      <alignment readingOrder="0"/>
    </xf>
    <xf borderId="0" fillId="3" fontId="9" numFmtId="0" xfId="0" applyAlignment="1" applyFont="1">
      <alignment readingOrder="0"/>
    </xf>
    <xf borderId="0" fillId="0" fontId="4" numFmtId="0" xfId="0" applyAlignment="1" applyFont="1">
      <alignment readingOrder="0"/>
    </xf>
    <xf borderId="0" fillId="4" fontId="8" numFmtId="0" xfId="0" applyAlignment="1" applyFill="1" applyFont="1">
      <alignment horizontal="left" readingOrder="0"/>
    </xf>
    <xf borderId="0" fillId="0" fontId="2" numFmtId="0" xfId="0" applyAlignment="1" applyFont="1">
      <alignment readingOrder="0"/>
    </xf>
    <xf borderId="0" fillId="0" fontId="10" numFmtId="0" xfId="0" applyAlignment="1" applyFont="1">
      <alignment readingOrder="0"/>
    </xf>
    <xf borderId="0" fillId="3" fontId="5" numFmtId="0" xfId="0" applyAlignment="1" applyFont="1">
      <alignment horizontal="left" readingOrder="0"/>
    </xf>
    <xf borderId="0" fillId="4" fontId="2" numFmtId="0" xfId="0" applyAlignment="1" applyFont="1">
      <alignment readingOrder="0" vertical="bottom"/>
    </xf>
    <xf borderId="0" fillId="4" fontId="2" numFmtId="0" xfId="0" applyAlignment="1" applyFont="1">
      <alignment readingOrder="0"/>
    </xf>
    <xf borderId="0" fillId="0" fontId="8" numFmtId="0" xfId="0" applyAlignment="1" applyFont="1">
      <alignment readingOrder="0" vertical="bottom"/>
    </xf>
    <xf borderId="0" fillId="3" fontId="5" numFmtId="0" xfId="0" applyAlignment="1" applyFont="1">
      <alignment readingOrder="0" vertical="bottom"/>
    </xf>
    <xf borderId="0" fillId="3" fontId="11" numFmtId="0" xfId="0" applyAlignment="1" applyFont="1">
      <alignment readingOrder="0" vertical="bottom"/>
    </xf>
    <xf borderId="0" fillId="3" fontId="12" numFmtId="0" xfId="0" applyAlignment="1" applyFont="1">
      <alignment readingOrder="0"/>
    </xf>
    <xf borderId="0" fillId="3" fontId="0" numFmtId="0" xfId="0" applyAlignment="1" applyFont="1">
      <alignment readingOrder="0"/>
    </xf>
    <xf borderId="0" fillId="2" fontId="0" numFmtId="0" xfId="0" applyAlignment="1" applyFont="1">
      <alignment readingOrder="0" shrinkToFit="0" vertical="bottom" wrapText="1"/>
    </xf>
    <xf borderId="0" fillId="2" fontId="1" numFmtId="0" xfId="0" applyAlignment="1" applyFont="1">
      <alignment readingOrder="0" shrinkToFit="0" vertical="bottom" wrapText="1"/>
    </xf>
    <xf borderId="0" fillId="4" fontId="1" numFmtId="0" xfId="0" applyAlignment="1" applyFont="1">
      <alignment readingOrder="0" shrinkToFit="0" vertical="bottom" wrapText="1"/>
    </xf>
    <xf borderId="0" fillId="3" fontId="5" numFmtId="0" xfId="0" applyAlignment="1" applyFont="1">
      <alignment readingOrder="0" vertical="bottom"/>
    </xf>
    <xf borderId="0" fillId="3" fontId="13" numFmtId="0" xfId="0" applyAlignment="1" applyFont="1">
      <alignment readingOrder="0"/>
    </xf>
    <xf borderId="0" fillId="3" fontId="11" numFmtId="0" xfId="0" applyAlignment="1" applyFont="1">
      <alignment readingOrder="0"/>
    </xf>
    <xf borderId="0" fillId="3" fontId="14" numFmtId="0" xfId="0" applyAlignment="1" applyFont="1">
      <alignment readingOrder="0" shrinkToFit="0" vertical="bottom" wrapText="1"/>
    </xf>
    <xf borderId="0" fillId="3" fontId="15" numFmtId="0" xfId="0" applyAlignment="1" applyFont="1">
      <alignment readingOrder="0"/>
    </xf>
    <xf borderId="0" fillId="3" fontId="11" numFmtId="0" xfId="0" applyAlignment="1" applyFont="1">
      <alignment readingOrder="0" shrinkToFit="0" wrapText="1"/>
    </xf>
    <xf borderId="0" fillId="2" fontId="16" numFmtId="0" xfId="0" applyAlignment="1" applyFont="1">
      <alignment readingOrder="0" shrinkToFit="0" vertical="bottom" wrapText="1"/>
    </xf>
    <xf borderId="0" fillId="3" fontId="11" numFmtId="0" xfId="0" applyAlignment="1" applyFont="1">
      <alignment readingOrder="0" shrinkToFit="0" vertical="bottom" wrapText="1"/>
    </xf>
    <xf borderId="0" fillId="2" fontId="17" numFmtId="0" xfId="0" applyAlignment="1" applyFont="1">
      <alignment readingOrder="0" shrinkToFit="0" vertical="bottom" wrapText="1"/>
    </xf>
    <xf borderId="0" fillId="2" fontId="8" numFmtId="0" xfId="0" applyAlignment="1" applyFont="1">
      <alignment readingOrder="0" shrinkToFit="0" vertical="bottom" wrapText="1"/>
    </xf>
    <xf borderId="0" fillId="3" fontId="5" numFmtId="0" xfId="0" applyAlignment="1" applyFont="1">
      <alignment readingOrder="0" shrinkToFit="0" vertical="bottom" wrapText="1"/>
    </xf>
    <xf borderId="0" fillId="3" fontId="3" numFmtId="0" xfId="0" applyAlignment="1" applyFont="1">
      <alignment readingOrder="0" shrinkToFit="0" vertical="bottom" wrapText="1"/>
    </xf>
    <xf borderId="0" fillId="3" fontId="18" numFmtId="0" xfId="0" applyAlignment="1" applyFont="1">
      <alignment readingOrder="0" shrinkToFit="0" vertical="bottom" wrapText="1"/>
    </xf>
    <xf borderId="0" fillId="4" fontId="8" numFmtId="0" xfId="0" applyAlignment="1" applyFont="1">
      <alignment readingOrder="0" shrinkToFit="0" vertical="bottom" wrapText="1"/>
    </xf>
    <xf borderId="1" fillId="3" fontId="18" numFmtId="0" xfId="0" applyAlignment="1" applyBorder="1" applyFont="1">
      <alignment readingOrder="0" shrinkToFit="0" vertical="bottom" wrapText="1"/>
    </xf>
    <xf borderId="0" fillId="3" fontId="19" numFmtId="0" xfId="0" applyAlignment="1" applyFont="1">
      <alignment readingOrder="0"/>
    </xf>
    <xf borderId="0" fillId="5" fontId="8" numFmtId="0" xfId="0" applyAlignment="1" applyFill="1" applyFont="1">
      <alignment readingOrder="0" shrinkToFit="0" vertical="bottom" wrapText="1"/>
    </xf>
    <xf borderId="0" fillId="3" fontId="5" numFmtId="0" xfId="0" applyAlignment="1" applyFont="1">
      <alignment readingOrder="0" vertical="bottom"/>
    </xf>
    <xf borderId="0" fillId="4" fontId="8" numFmtId="0" xfId="0" applyAlignment="1" applyFont="1">
      <alignment readingOrder="0" shrinkToFit="0" vertical="bottom" wrapText="1"/>
    </xf>
    <xf borderId="0" fillId="3" fontId="5" numFmtId="0" xfId="0" applyAlignment="1" applyFont="1">
      <alignment readingOrder="0" shrinkToFit="0" vertical="bottom" wrapText="1"/>
    </xf>
    <xf borderId="0" fillId="4" fontId="20" numFmtId="0" xfId="0" applyAlignment="1" applyFont="1">
      <alignment readingOrder="0" shrinkToFit="0" vertical="bottom" wrapText="1"/>
    </xf>
    <xf borderId="0" fillId="3" fontId="3" numFmtId="0" xfId="0" applyAlignment="1" applyFont="1">
      <alignment readingOrder="0" shrinkToFit="0" vertical="bottom" wrapText="1"/>
    </xf>
    <xf borderId="0" fillId="4" fontId="20" numFmtId="0" xfId="0" applyAlignment="1" applyFont="1">
      <alignment readingOrder="0" shrinkToFit="0" vertical="bottom" wrapText="1"/>
    </xf>
    <xf borderId="1" fillId="3" fontId="3" numFmtId="0" xfId="0" applyAlignment="1" applyBorder="1" applyFont="1">
      <alignment readingOrder="0" shrinkToFit="0" vertical="bottom" wrapText="1"/>
    </xf>
    <xf borderId="0" fillId="2" fontId="20" numFmtId="0" xfId="0" applyAlignment="1" applyFont="1">
      <alignment readingOrder="0" shrinkToFit="0" vertical="bottom" wrapText="1"/>
    </xf>
    <xf borderId="0" fillId="3" fontId="20" numFmtId="0" xfId="0" applyAlignment="1" applyFont="1">
      <alignment readingOrder="0" vertical="bottom"/>
    </xf>
    <xf borderId="1" fillId="3" fontId="3" numFmtId="0" xfId="0" applyAlignment="1" applyBorder="1" applyFont="1">
      <alignment readingOrder="0" shrinkToFit="0" vertical="bottom" wrapText="1"/>
    </xf>
    <xf borderId="0" fillId="3" fontId="3" numFmtId="0" xfId="0" applyAlignment="1" applyFont="1">
      <alignment readingOrder="0" shrinkToFit="0" vertical="bottom" wrapText="1"/>
    </xf>
    <xf borderId="0" fillId="4" fontId="21" numFmtId="0" xfId="0" applyAlignment="1" applyFont="1">
      <alignment shrinkToFit="0" vertical="bottom" wrapText="1"/>
    </xf>
    <xf borderId="0" fillId="3" fontId="11" numFmtId="0" xfId="0" applyAlignment="1" applyFont="1">
      <alignment shrinkToFit="0" vertical="bottom" wrapText="1"/>
    </xf>
    <xf borderId="0" fillId="4" fontId="22" numFmtId="0" xfId="0" applyAlignment="1" applyFont="1">
      <alignment vertical="bottom"/>
    </xf>
    <xf borderId="0" fillId="3" fontId="5" numFmtId="0" xfId="0" applyAlignment="1" applyFont="1">
      <alignment vertical="bottom"/>
    </xf>
    <xf borderId="0" fillId="4" fontId="1" numFmtId="0" xfId="0" applyAlignment="1" applyFont="1">
      <alignment shrinkToFit="0" vertical="bottom" wrapText="1"/>
    </xf>
    <xf borderId="0" fillId="0" fontId="4" numFmtId="0" xfId="0" applyAlignment="1" applyFont="1">
      <alignment shrinkToFit="0" wrapText="1"/>
    </xf>
    <xf borderId="0" fillId="4" fontId="13" numFmtId="0" xfId="0" applyAlignment="1" applyFont="1">
      <alignment vertical="bottom"/>
    </xf>
    <xf borderId="0" fillId="4" fontId="23" numFmtId="0" xfId="0" applyAlignment="1" applyFont="1">
      <alignment vertical="bottom"/>
    </xf>
    <xf borderId="0" fillId="3" fontId="5" numFmtId="0" xfId="0" applyAlignment="1" applyFont="1">
      <alignment vertical="bottom"/>
    </xf>
    <xf borderId="0" fillId="3" fontId="9" numFmtId="0" xfId="0" applyAlignment="1" applyFont="1">
      <alignment vertical="bottom"/>
    </xf>
    <xf borderId="0" fillId="0" fontId="23" numFmtId="0" xfId="0" applyAlignment="1" applyFont="1">
      <alignment shrinkToFit="0" vertical="bottom" wrapText="1"/>
    </xf>
    <xf borderId="0" fillId="4" fontId="8" numFmtId="0" xfId="0" applyAlignment="1" applyFont="1">
      <alignment vertical="bottom"/>
    </xf>
    <xf borderId="0" fillId="3" fontId="5" numFmtId="0" xfId="0" applyAlignment="1" applyFont="1">
      <alignment vertical="bottom"/>
    </xf>
    <xf borderId="0" fillId="2" fontId="19" numFmtId="0" xfId="0" applyAlignment="1" applyFont="1">
      <alignment shrinkToFit="0" wrapText="1"/>
    </xf>
    <xf borderId="0" fillId="4" fontId="5" numFmtId="0" xfId="0" applyAlignment="1" applyFont="1">
      <alignment vertical="bottom"/>
    </xf>
    <xf borderId="0" fillId="4" fontId="24" numFmtId="0" xfId="0" applyAlignment="1" applyFont="1">
      <alignment shrinkToFit="0" vertical="bottom" wrapText="1"/>
    </xf>
    <xf borderId="0" fillId="4" fontId="8" numFmtId="0" xfId="0" applyAlignment="1" applyFont="1">
      <alignment shrinkToFit="0" vertical="bottom" wrapText="1"/>
    </xf>
    <xf borderId="0" fillId="3" fontId="5" numFmtId="0" xfId="0" applyAlignment="1" applyFont="1">
      <alignment vertical="bottom"/>
    </xf>
    <xf borderId="0" fillId="4" fontId="13" numFmtId="0" xfId="0" applyAlignment="1" applyFont="1">
      <alignment vertical="bottom"/>
    </xf>
    <xf borderId="0" fillId="3" fontId="11" numFmtId="0" xfId="0" applyAlignment="1" applyFont="1">
      <alignment vertical="bottom"/>
    </xf>
    <xf borderId="0" fillId="3" fontId="5" numFmtId="0" xfId="0" applyAlignment="1" applyFont="1">
      <alignment shrinkToFit="0" vertical="bottom" wrapText="1"/>
    </xf>
    <xf borderId="0" fillId="6" fontId="25" numFmtId="0" xfId="0" applyAlignment="1" applyFill="1" applyFont="1">
      <alignment vertical="bottom"/>
    </xf>
    <xf borderId="0" fillId="4" fontId="26" numFmtId="0" xfId="0" applyAlignment="1" applyFont="1">
      <alignment vertical="bottom"/>
    </xf>
    <xf borderId="0" fillId="3" fontId="11" numFmtId="0" xfId="0" applyAlignment="1" applyFont="1">
      <alignment shrinkToFit="0" vertical="bottom" wrapText="1"/>
    </xf>
    <xf borderId="0" fillId="4" fontId="23" numFmtId="0" xfId="0" applyAlignment="1" applyFont="1">
      <alignment vertical="bottom"/>
    </xf>
    <xf borderId="0" fillId="4" fontId="21" numFmtId="0" xfId="0" applyAlignment="1" applyFont="1">
      <alignment shrinkToFit="0" vertical="bottom" wrapText="1"/>
    </xf>
    <xf borderId="0" fillId="4" fontId="27" numFmtId="0" xfId="0" applyAlignment="1" applyFont="1">
      <alignment shrinkToFit="0" vertical="bottom" wrapText="1"/>
    </xf>
    <xf borderId="0" fillId="3" fontId="28" numFmtId="0" xfId="0" applyAlignment="1" applyFont="1">
      <alignment vertical="bottom"/>
    </xf>
    <xf borderId="0" fillId="4" fontId="25" numFmtId="0" xfId="0" applyAlignment="1" applyFont="1">
      <alignment vertical="bottom"/>
    </xf>
    <xf borderId="0" fillId="4" fontId="23" numFmtId="0" xfId="0" applyAlignment="1" applyFont="1">
      <alignment readingOrder="0" shrinkToFit="0" vertical="bottom" wrapText="1"/>
    </xf>
    <xf borderId="0" fillId="4" fontId="23" numFmtId="0" xfId="0" applyAlignment="1" applyFont="1">
      <alignment vertical="bottom"/>
    </xf>
    <xf borderId="0" fillId="3" fontId="23" numFmtId="0" xfId="0" applyAlignment="1" applyFont="1">
      <alignment vertical="bottom"/>
    </xf>
    <xf borderId="0" fillId="4" fontId="23" numFmtId="0" xfId="0" applyAlignment="1" applyFont="1">
      <alignment readingOrder="0" shrinkToFit="0" vertical="bottom" wrapText="1"/>
    </xf>
    <xf borderId="0" fillId="3" fontId="11" numFmtId="0" xfId="0" applyAlignment="1" applyFont="1">
      <alignment readingOrder="0" shrinkToFit="0" vertical="bottom" wrapText="1"/>
    </xf>
    <xf borderId="0" fillId="3" fontId="11" numFmtId="0" xfId="0" applyAlignment="1" applyFont="1">
      <alignment horizontal="left" readingOrder="0"/>
    </xf>
    <xf borderId="0" fillId="3" fontId="11" numFmtId="0" xfId="0" applyAlignment="1" applyFont="1">
      <alignment horizontal="left" readingOrder="0"/>
    </xf>
    <xf borderId="0" fillId="3" fontId="19"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6">
    <tableStyle count="2" pivot="0" name="Sheet1-style">
      <tableStyleElement dxfId="1" type="firstRowStripe"/>
      <tableStyleElement dxfId="2" type="secondRowStripe"/>
    </tableStyle>
    <tableStyle count="2" pivot="0" name="Sheet1-style 2">
      <tableStyleElement dxfId="1" type="firstRowStripe"/>
      <tableStyleElement dxfId="2" type="secondRowStripe"/>
    </tableStyle>
    <tableStyle count="2" pivot="0" name="Sheet1-style 3">
      <tableStyleElement dxfId="2" type="firstRowStripe"/>
      <tableStyleElement dxfId="1" type="secondRowStripe"/>
    </tableStyle>
    <tableStyle count="2" pivot="0" name="Sheet1-style 4">
      <tableStyleElement dxfId="1" type="firstRowStripe"/>
      <tableStyleElement dxfId="2" type="secondRowStripe"/>
    </tableStyle>
    <tableStyle count="2" pivot="0" name="Sheet1-style 5">
      <tableStyleElement dxfId="2" type="firstRowStripe"/>
      <tableStyleElement dxfId="1" type="secondRowStripe"/>
    </tableStyle>
    <tableStyle count="2" pivot="0" name="Sheet1-style 6">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68:B403" displayName="Table_1" name="Table_1" id="1">
  <tableColumns count="2">
    <tableColumn name="Column1" id="1"/>
    <tableColumn name="Column2" id="2"/>
  </tableColumns>
  <tableStyleInfo name="Sheet1-style" showColumnStripes="0" showFirstColumn="1" showLastColumn="1" showRowStripes="1"/>
</table>
</file>

<file path=xl/tables/table2.xml><?xml version="1.0" encoding="utf-8"?>
<table xmlns="http://schemas.openxmlformats.org/spreadsheetml/2006/main" headerRowCount="0" ref="A404:B450" displayName="Table_2" name="Table_2" id="2">
  <tableColumns count="2">
    <tableColumn name="Column1" id="1"/>
    <tableColumn name="Column2" id="2"/>
  </tableColumns>
  <tableStyleInfo name="Sheet1-style 2" showColumnStripes="0" showFirstColumn="1" showLastColumn="1" showRowStripes="1"/>
</table>
</file>

<file path=xl/tables/table3.xml><?xml version="1.0" encoding="utf-8"?>
<table xmlns="http://schemas.openxmlformats.org/spreadsheetml/2006/main" headerRowCount="0" ref="A451:A479" displayName="Table_3" name="Table_3" id="3">
  <tableColumns count="1">
    <tableColumn name="Column1" id="1"/>
  </tableColumns>
  <tableStyleInfo name="Sheet1-style 3" showColumnStripes="0" showFirstColumn="1" showLastColumn="1" showRowStripes="1"/>
</table>
</file>

<file path=xl/tables/table4.xml><?xml version="1.0" encoding="utf-8"?>
<table xmlns="http://schemas.openxmlformats.org/spreadsheetml/2006/main" headerRowCount="0" ref="B451:B479" displayName="Table_4" name="Table_4" id="4">
  <tableColumns count="1">
    <tableColumn name="Column1" id="1"/>
  </tableColumns>
  <tableStyleInfo name="Sheet1-style 4" showColumnStripes="0" showFirstColumn="1" showLastColumn="1" showRowStripes="1"/>
</table>
</file>

<file path=xl/tables/table5.xml><?xml version="1.0" encoding="utf-8"?>
<table xmlns="http://schemas.openxmlformats.org/spreadsheetml/2006/main" headerRowCount="0" ref="A540:A654" displayName="Table_5" name="Table_5" id="5">
  <tableColumns count="1">
    <tableColumn name="Column1" id="1"/>
  </tableColumns>
  <tableStyleInfo name="Sheet1-style 5" showColumnStripes="0" showFirstColumn="1" showLastColumn="1" showRowStripes="1"/>
</table>
</file>

<file path=xl/tables/table6.xml><?xml version="1.0" encoding="utf-8"?>
<table xmlns="http://schemas.openxmlformats.org/spreadsheetml/2006/main" headerRowCount="0" ref="B540:B654" displayName="Table_6" name="Table_6" id="6">
  <tableColumns count="1">
    <tableColumn name="Column1" id="1"/>
  </tableColumns>
  <tableStyleInfo name="Sheet1-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6.0"/>
    <col customWidth="1" min="2" max="2" width="55.25"/>
    <col customWidth="1" min="3" max="3" width="29.88"/>
    <col customWidth="1" min="4" max="4" width="20.75"/>
    <col customWidth="1" min="5" max="5" width="30.88"/>
    <col customWidth="1" min="6" max="6" width="26.63"/>
    <col customWidth="1" min="7" max="7" width="29.88"/>
    <col customWidth="1" min="8" max="8" width="25.75"/>
    <col customWidth="1" min="9" max="9" width="26.5"/>
    <col customWidth="1" min="10" max="10" width="25.63"/>
    <col customWidth="1" min="11" max="11" width="30.88"/>
    <col customWidth="1" min="12" max="12" width="28.5"/>
    <col customWidth="1" min="13" max="13" width="29.5"/>
    <col customWidth="1" min="14" max="14" width="27.63"/>
    <col customWidth="1" min="15" max="16" width="54.25"/>
  </cols>
  <sheetData>
    <row r="1">
      <c r="A1" s="1"/>
      <c r="B1" s="1" t="s">
        <v>0</v>
      </c>
      <c r="C1" s="1" t="s">
        <v>1</v>
      </c>
      <c r="D1" s="1" t="s">
        <v>2</v>
      </c>
      <c r="E1" s="1" t="s">
        <v>3</v>
      </c>
      <c r="F1" s="1" t="s">
        <v>4</v>
      </c>
      <c r="G1" s="1" t="s">
        <v>5</v>
      </c>
      <c r="H1" s="1" t="s">
        <v>6</v>
      </c>
      <c r="I1" s="1" t="s">
        <v>7</v>
      </c>
      <c r="J1" s="1" t="s">
        <v>8</v>
      </c>
      <c r="K1" s="1" t="s">
        <v>9</v>
      </c>
      <c r="L1" s="1" t="s">
        <v>10</v>
      </c>
      <c r="M1" s="1" t="s">
        <v>11</v>
      </c>
      <c r="N1" s="1" t="s">
        <v>12</v>
      </c>
      <c r="O1" s="1" t="s">
        <v>13</v>
      </c>
      <c r="P1" s="1"/>
    </row>
    <row r="2">
      <c r="A2" s="2" t="s">
        <v>14</v>
      </c>
      <c r="B2" s="3" t="s">
        <v>15</v>
      </c>
      <c r="C2" s="4" t="str">
        <f>IFERROR(__xludf.DUMMYFUNCTION("GOOGLETRANSLATE(B2,""en"",""hi"")"),"या सोशल मीडिया दर्ज करें")</f>
        <v>या सोशल मीडिया दर्ज करें</v>
      </c>
      <c r="D2" s="4" t="str">
        <f>IFERROR(__xludf.DUMMYFUNCTION("GOOGLETRANSLATE(B2,""en"",""ar"")"),"أو أدخل وسائل التواصل الاجتماعي")</f>
        <v>أو أدخل وسائل التواصل الاجتماعي</v>
      </c>
      <c r="E2" s="4" t="str">
        <f>IFERROR(__xludf.DUMMYFUNCTION("GOOGLETRANSLATE(B2,""en"",""fr"")"),"Ou entrez dans les médias sociaux")</f>
        <v>Ou entrez dans les médias sociaux</v>
      </c>
      <c r="F2" s="4" t="str">
        <f>IFERROR(__xludf.DUMMYFUNCTION("GOOGLETRANSLATE(B2,""en"",""tr"")"),"Veya Sosyal Medyaya Girin")</f>
        <v>Veya Sosyal Medyaya Girin</v>
      </c>
      <c r="G2" s="4" t="str">
        <f>IFERROR(__xludf.DUMMYFUNCTION("GOOGLETRANSLATE(B2,""en"",""ru"")"),"Или войдите в социальные сети")</f>
        <v>Или войдите в социальные сети</v>
      </c>
      <c r="H2" s="4" t="str">
        <f>IFERROR(__xludf.DUMMYFUNCTION("GOOGLETRANSLATE(B2,""en"",""it"")"),"Oppure entra nei social media")</f>
        <v>Oppure entra nei social media</v>
      </c>
      <c r="I2" s="4" t="str">
        <f>IFERROR(__xludf.DUMMYFUNCTION("GOOGLETRANSLATE(B2,""en"",""de"")"),"Oder betreten Sie Social Media")</f>
        <v>Oder betreten Sie Social Media</v>
      </c>
      <c r="J2" s="4" t="str">
        <f>IFERROR(__xludf.DUMMYFUNCTION("GOOGLETRANSLATE(B2,""en"",""ko"")"),"아니면 소셜미디어에 들어가세요")</f>
        <v>아니면 소셜미디어에 들어가세요</v>
      </c>
      <c r="K2" s="4" t="str">
        <f>IFERROR(__xludf.DUMMYFUNCTION("GOOGLETRANSLATE(B2,""en"",""zh"")"),"或进入社交媒体")</f>
        <v>或进入社交媒体</v>
      </c>
      <c r="L2" s="4" t="str">
        <f>IFERROR(__xludf.DUMMYFUNCTION("GOOGLETRANSLATE(B2,""en"",""es"")"),"O ingresa a las redes sociales")</f>
        <v>O ingresa a las redes sociales</v>
      </c>
      <c r="M2" s="4" t="str">
        <f>IFERROR(__xludf.DUMMYFUNCTION("GOOGLETRANSLATE(B2,""en"",""iw"")"),"או היכנס לרשתות חברתיות")</f>
        <v>או היכנס לרשתות חברתיות</v>
      </c>
      <c r="N2" s="4" t="str">
        <f>IFERROR(__xludf.DUMMYFUNCTION("GOOGLETRANSLATE(B2,""en"",""bn"")"),"অথবা সোশ্যাল মিডিয়াতে প্রবেশ করুন")</f>
        <v>অথবা সোশ্যাল মিডিয়াতে প্রবেশ করুন</v>
      </c>
      <c r="O2" s="4" t="str">
        <f>IFERROR(__xludf.DUMMYFUNCTION("GOOGLETRANSLATE(B2,""en"",""pt"")"),"Ou entre nas redes sociais")</f>
        <v>Ou entre nas redes sociais</v>
      </c>
      <c r="P2" s="4"/>
    </row>
    <row r="3">
      <c r="A3" s="2" t="s">
        <v>16</v>
      </c>
      <c r="B3" s="5" t="s">
        <v>17</v>
      </c>
      <c r="C3" s="4" t="str">
        <f>IFERROR(__xludf.DUMMYFUNCTION("GOOGLETRANSLATE(B3,""en"",""hi"")"),"साइन अप करें")</f>
        <v>साइन अप करें</v>
      </c>
      <c r="D3" s="6" t="s">
        <v>18</v>
      </c>
      <c r="E3" s="4" t="str">
        <f>IFERROR(__xludf.DUMMYFUNCTION("GOOGLETRANSLATE(B3,""en"",""fr"")"),"S'inscrire")</f>
        <v>S'inscrire</v>
      </c>
      <c r="F3" s="4" t="str">
        <f>IFERROR(__xludf.DUMMYFUNCTION("GOOGLETRANSLATE(B3,""en"",""tr"")"),"Üye olmak")</f>
        <v>Üye olmak</v>
      </c>
      <c r="G3" s="4" t="str">
        <f>IFERROR(__xludf.DUMMYFUNCTION("GOOGLETRANSLATE(B3,""en"",""ru"")"),"Зарегистрироваться")</f>
        <v>Зарегистрироваться</v>
      </c>
      <c r="H3" s="4" t="str">
        <f>IFERROR(__xludf.DUMMYFUNCTION("GOOGLETRANSLATE(B3,""en"",""it"")"),"Iscrizione")</f>
        <v>Iscrizione</v>
      </c>
      <c r="I3" s="4" t="str">
        <f>IFERROR(__xludf.DUMMYFUNCTION("GOOGLETRANSLATE(B3,""en"",""de"")"),"Melden Sie sich an")</f>
        <v>Melden Sie sich an</v>
      </c>
      <c r="J3" s="4" t="str">
        <f>IFERROR(__xludf.DUMMYFUNCTION("GOOGLETRANSLATE(B3,""en"",""ko"")"),"가입하기")</f>
        <v>가입하기</v>
      </c>
      <c r="K3" s="4" t="str">
        <f>IFERROR(__xludf.DUMMYFUNCTION("GOOGLETRANSLATE(B3,""en"",""zh"")"),"报名")</f>
        <v>报名</v>
      </c>
      <c r="L3" s="4" t="str">
        <f>IFERROR(__xludf.DUMMYFUNCTION("GOOGLETRANSLATE(B3,""en"",""es"")"),"Inscribirse")</f>
        <v>Inscribirse</v>
      </c>
      <c r="M3" s="4" t="str">
        <f>IFERROR(__xludf.DUMMYFUNCTION("GOOGLETRANSLATE(B3,""en"",""iw"")"),"הירשם")</f>
        <v>הירשם</v>
      </c>
      <c r="N3" s="4" t="str">
        <f>IFERROR(__xludf.DUMMYFUNCTION("GOOGLETRANSLATE(B3,""en"",""bn"")"),"নিবন্ধন করুন")</f>
        <v>নিবন্ধন করুন</v>
      </c>
      <c r="O3" s="4" t="str">
        <f>IFERROR(__xludf.DUMMYFUNCTION("GOOGLETRANSLATE(B3,""en"",""pt"")"),"Inscrever-se")</f>
        <v>Inscrever-se</v>
      </c>
      <c r="P3" s="6"/>
    </row>
    <row r="4">
      <c r="A4" s="7" t="s">
        <v>19</v>
      </c>
      <c r="B4" s="3" t="s">
        <v>20</v>
      </c>
      <c r="C4" s="4" t="str">
        <f>IFERROR(__xludf.DUMMYFUNCTION("GOOGLETRANSLATE(B4,""en"",""hi"")"),"ड्राइवर का स्थान ट्रैक करना")</f>
        <v>ड्राइवर का स्थान ट्रैक करना</v>
      </c>
      <c r="D4" s="4" t="str">
        <f>IFERROR(__xludf.DUMMYFUNCTION("GOOGLETRANSLATE(B4,""en"",""ar"")"),"تتبع موقع السائق")</f>
        <v>تتبع موقع السائق</v>
      </c>
      <c r="E4" s="4" t="str">
        <f>IFERROR(__xludf.DUMMYFUNCTION("GOOGLETRANSLATE(B4,""en"",""fr"")"),"Localisation du pilote de suivi")</f>
        <v>Localisation du pilote de suivi</v>
      </c>
      <c r="F4" s="4" t="str">
        <f>IFERROR(__xludf.DUMMYFUNCTION("GOOGLETRANSLATE(B4,""en"",""tr"")"),"Sürücü Konumunun Takibi")</f>
        <v>Sürücü Konumunun Takibi</v>
      </c>
      <c r="G4" s="4" t="str">
        <f>IFERROR(__xludf.DUMMYFUNCTION("GOOGLETRANSLATE(B4,""en"",""ru"")"),"Отслеживание местоположения водителя")</f>
        <v>Отслеживание местоположения водителя</v>
      </c>
      <c r="H4" s="4" t="str">
        <f>IFERROR(__xludf.DUMMYFUNCTION("GOOGLETRANSLATE(B4,""en"",""it"")"),"Monitoraggio della posizione del conducente")</f>
        <v>Monitoraggio della posizione del conducente</v>
      </c>
      <c r="I4" s="4" t="str">
        <f>IFERROR(__xludf.DUMMYFUNCTION("GOOGLETRANSLATE(B4,""en"",""de"")"),"Verfolgung des Fahrerstandorts")</f>
        <v>Verfolgung des Fahrerstandorts</v>
      </c>
      <c r="J4" s="4" t="str">
        <f>IFERROR(__xludf.DUMMYFUNCTION("GOOGLETRANSLATE(B4,""en"",""ko"")"),"운전자 위치 추적")</f>
        <v>운전자 위치 추적</v>
      </c>
      <c r="K4" s="4" t="str">
        <f>IFERROR(__xludf.DUMMYFUNCTION("GOOGLETRANSLATE(B4,""en"",""zh"")"),"追踪司机位置")</f>
        <v>追踪司机位置</v>
      </c>
      <c r="L4" s="4" t="str">
        <f>IFERROR(__xludf.DUMMYFUNCTION("GOOGLETRANSLATE(B4,""en"",""es"")"),"Seguimiento de la ubicación del conductor")</f>
        <v>Seguimiento de la ubicación del conductor</v>
      </c>
      <c r="M4" s="4" t="str">
        <f>IFERROR(__xludf.DUMMYFUNCTION("GOOGLETRANSLATE(B4,""en"",""iw"")"),"מעקב אחר מיקום נהג")</f>
        <v>מעקב אחר מיקום נהג</v>
      </c>
      <c r="N4" s="4" t="str">
        <f>IFERROR(__xludf.DUMMYFUNCTION("GOOGLETRANSLATE(B4,""en"",""bn"")"),"ড্রাইভার অবস্থান ট্র্যাকিং")</f>
        <v>ড্রাইভার অবস্থান ট্র্যাকিং</v>
      </c>
      <c r="O4" s="4" t="str">
        <f>IFERROR(__xludf.DUMMYFUNCTION("GOOGLETRANSLATE(B4,""en"",""pt"")"),"Localização do motorista de rastreamento")</f>
        <v>Localização do motorista de rastreamento</v>
      </c>
      <c r="P4" s="4"/>
    </row>
    <row r="5">
      <c r="A5" s="7" t="s">
        <v>21</v>
      </c>
      <c r="B5" s="3" t="str">
        <f>proper("Remember to keep track of Ride professional accomplishments")</f>
        <v>Remember To Keep Track Of Ride Professional Accomplishments</v>
      </c>
      <c r="C5" s="4" t="str">
        <f>IFERROR(__xludf.DUMMYFUNCTION("GOOGLETRANSLATE(B5,""en"",""hi"")"),"राइड प्रोफेशनल उपलब्धियों पर नज़र रखना याद रखें")</f>
        <v>राइड प्रोफेशनल उपलब्धियों पर नज़र रखना याद रखें</v>
      </c>
      <c r="D5" s="4" t="str">
        <f>IFERROR(__xludf.DUMMYFUNCTION("GOOGLETRANSLATE(B5,""en"",""ar"")"),"تذكر أن تتبع الإنجازات المهنية للركوب")</f>
        <v>تذكر أن تتبع الإنجازات المهنية للركوب</v>
      </c>
      <c r="E5" s="4" t="str">
        <f>IFERROR(__xludf.DUMMYFUNCTION("GOOGLETRANSLATE(B5,""en"",""fr"")"),"N'oubliez pas de garder une trace des réalisations professionnelles de Ride")</f>
        <v>N'oubliez pas de garder une trace des réalisations professionnelles de Ride</v>
      </c>
      <c r="F5" s="4" t="str">
        <f>IFERROR(__xludf.DUMMYFUNCTION("GOOGLETRANSLATE(B5,""en"",""tr"")"),"Ride Profesyonel Başarılarını Takip Etmeyi Unutmayın")</f>
        <v>Ride Profesyonel Başarılarını Takip Etmeyi Unutmayın</v>
      </c>
      <c r="G5" s="4" t="str">
        <f>IFERROR(__xludf.DUMMYFUNCTION("GOOGLETRANSLATE(B5,""en"",""ru"")"),"Не забывайте отслеживать профессиональные достижения в области езды")</f>
        <v>Не забывайте отслеживать профессиональные достижения в области езды</v>
      </c>
      <c r="H5" s="4" t="str">
        <f>IFERROR(__xludf.DUMMYFUNCTION("GOOGLETRANSLATE(B5,""en"",""it"")"),"Ricordati di tenere traccia dei risultati professionali della corsa")</f>
        <v>Ricordati di tenere traccia dei risultati professionali della corsa</v>
      </c>
      <c r="I5" s="4" t="str">
        <f>IFERROR(__xludf.DUMMYFUNCTION("GOOGLETRANSLATE(B5,""en"",""de"")"),"Denken Sie daran, die Leistungen Ihrer Fahrprofis im Auge zu behalten")</f>
        <v>Denken Sie daran, die Leistungen Ihrer Fahrprofis im Auge zu behalten</v>
      </c>
      <c r="J5" s="4" t="str">
        <f>IFERROR(__xludf.DUMMYFUNCTION("GOOGLETRANSLATE(B5,""en"",""ko"")"),"라이드 전문 성과를 추적하는 것을 잊지 마십시오")</f>
        <v>라이드 전문 성과를 추적하는 것을 잊지 마십시오</v>
      </c>
      <c r="K5" s="4" t="str">
        <f>IFERROR(__xludf.DUMMYFUNCTION("GOOGLETRANSLATE(B5,""en"",""zh"")"),"记住记录骑行专业成就")</f>
        <v>记住记录骑行专业成就</v>
      </c>
      <c r="L5" s="4" t="str">
        <f>IFERROR(__xludf.DUMMYFUNCTION("GOOGLETRANSLATE(B5,""en"",""es"")"),"Recuerde realizar un seguimiento de los logros profesionales de las atracciones")</f>
        <v>Recuerde realizar un seguimiento de los logros profesionales de las atracciones</v>
      </c>
      <c r="M5" s="4" t="str">
        <f>IFERROR(__xludf.DUMMYFUNCTION("GOOGLETRANSLATE(B5,""en"",""iw"")"),"זכור לעקוב אחר הישגי הרכיבה המקצועיים")</f>
        <v>זכור לעקוב אחר הישגי הרכיבה המקצועיים</v>
      </c>
      <c r="N5" s="4" t="str">
        <f>IFERROR(__xludf.DUMMYFUNCTION("GOOGLETRANSLATE(B5,""en"",""bn"")"),"রাইড পেশাদার অর্জনের ট্র্যাক রাখতে মনে রাখবেন")</f>
        <v>রাইড পেশাদার অর্জনের ট্র্যাক রাখতে মনে রাখবেন</v>
      </c>
      <c r="O5" s="4" t="str">
        <f>IFERROR(__xludf.DUMMYFUNCTION("GOOGLETRANSLATE(B5,""en"",""pt"")"),"Lembre-se de acompanhar as realizações profissionais do passeio")</f>
        <v>Lembre-se de acompanhar as realizações profissionais do passeio</v>
      </c>
      <c r="P5" s="4"/>
    </row>
    <row r="6">
      <c r="A6" s="7" t="s">
        <v>22</v>
      </c>
      <c r="B6" s="3" t="s">
        <v>23</v>
      </c>
      <c r="C6" s="4" t="str">
        <f>IFERROR(__xludf.DUMMYFUNCTION("GOOGLETRANSLATE(B6,""en"",""hi"")"),"छोडना")</f>
        <v>छोडना</v>
      </c>
      <c r="D6" s="6" t="s">
        <v>24</v>
      </c>
      <c r="E6" s="4" t="str">
        <f>IFERROR(__xludf.DUMMYFUNCTION("GOOGLETRANSLATE(B6,""en"",""fr"")"),"Sauter")</f>
        <v>Sauter</v>
      </c>
      <c r="F6" s="4" t="str">
        <f>IFERROR(__xludf.DUMMYFUNCTION("GOOGLETRANSLATE(B6,""en"",""tr"")"),"Atlamak")</f>
        <v>Atlamak</v>
      </c>
      <c r="G6" s="4" t="str">
        <f>IFERROR(__xludf.DUMMYFUNCTION("GOOGLETRANSLATE(B6,""en"",""ru"")"),"Пропускать")</f>
        <v>Пропускать</v>
      </c>
      <c r="H6" s="4" t="str">
        <f>IFERROR(__xludf.DUMMYFUNCTION("GOOGLETRANSLATE(B6,""en"",""it"")"),"Saltare")</f>
        <v>Saltare</v>
      </c>
      <c r="I6" s="4" t="str">
        <f>IFERROR(__xludf.DUMMYFUNCTION("GOOGLETRANSLATE(B6,""en"",""de"")"),"Überspringen")</f>
        <v>Überspringen</v>
      </c>
      <c r="J6" s="4" t="str">
        <f>IFERROR(__xludf.DUMMYFUNCTION("GOOGLETRANSLATE(B6,""en"",""ko"")"),"건너뛰다")</f>
        <v>건너뛰다</v>
      </c>
      <c r="K6" s="4" t="str">
        <f>IFERROR(__xludf.DUMMYFUNCTION("GOOGLETRANSLATE(B6,""en"",""zh"")"),"跳过")</f>
        <v>跳过</v>
      </c>
      <c r="L6" s="4" t="str">
        <f>IFERROR(__xludf.DUMMYFUNCTION("GOOGLETRANSLATE(B6,""en"",""es"")"),"Saltar")</f>
        <v>Saltar</v>
      </c>
      <c r="M6" s="4" t="str">
        <f>IFERROR(__xludf.DUMMYFUNCTION("GOOGLETRANSLATE(B6,""en"",""iw"")"),"לדלג")</f>
        <v>לדלג</v>
      </c>
      <c r="N6" s="4" t="str">
        <f>IFERROR(__xludf.DUMMYFUNCTION("GOOGLETRANSLATE(B6,""en"",""bn"")"),"এড়িয়ে যান")</f>
        <v>এড়িয়ে যান</v>
      </c>
      <c r="O6" s="4" t="str">
        <f>IFERROR(__xludf.DUMMYFUNCTION("GOOGLETRANSLATE(B6,""en"",""pt"")"),"Pular")</f>
        <v>Pular</v>
      </c>
      <c r="P6" s="6"/>
    </row>
    <row r="7">
      <c r="A7" s="7" t="s">
        <v>25</v>
      </c>
      <c r="B7" s="3" t="s">
        <v>26</v>
      </c>
      <c r="C7" s="4" t="str">
        <f>IFERROR(__xludf.DUMMYFUNCTION("GOOGLETRANSLATE(B7,""en"",""hi"")"),"अगला")</f>
        <v>अगला</v>
      </c>
      <c r="D7" s="6" t="s">
        <v>27</v>
      </c>
      <c r="E7" s="4" t="str">
        <f>IFERROR(__xludf.DUMMYFUNCTION("GOOGLETRANSLATE(B7,""en"",""fr"")"),"Suivant")</f>
        <v>Suivant</v>
      </c>
      <c r="F7" s="4" t="str">
        <f>IFERROR(__xludf.DUMMYFUNCTION("GOOGLETRANSLATE(B7,""en"",""tr"")"),"Sonraki")</f>
        <v>Sonraki</v>
      </c>
      <c r="G7" s="4" t="str">
        <f>IFERROR(__xludf.DUMMYFUNCTION("GOOGLETRANSLATE(B7,""en"",""ru"")"),"Следующий")</f>
        <v>Следующий</v>
      </c>
      <c r="H7" s="4" t="str">
        <f>IFERROR(__xludf.DUMMYFUNCTION("GOOGLETRANSLATE(B7,""en"",""it"")"),"Prossimo")</f>
        <v>Prossimo</v>
      </c>
      <c r="I7" s="4" t="str">
        <f>IFERROR(__xludf.DUMMYFUNCTION("GOOGLETRANSLATE(B7,""en"",""de"")"),"Nächste")</f>
        <v>Nächste</v>
      </c>
      <c r="J7" s="4" t="str">
        <f>IFERROR(__xludf.DUMMYFUNCTION("GOOGLETRANSLATE(B7,""en"",""ko"")"),"다음")</f>
        <v>다음</v>
      </c>
      <c r="K7" s="4" t="str">
        <f>IFERROR(__xludf.DUMMYFUNCTION("GOOGLETRANSLATE(B7,""en"",""zh"")"),"下一个")</f>
        <v>下一个</v>
      </c>
      <c r="L7" s="4" t="str">
        <f>IFERROR(__xludf.DUMMYFUNCTION("GOOGLETRANSLATE(B7,""en"",""es"")"),"Próximo")</f>
        <v>Próximo</v>
      </c>
      <c r="M7" s="4" t="str">
        <f>IFERROR(__xludf.DUMMYFUNCTION("GOOGLETRANSLATE(B7,""en"",""iw"")"),"הַבָּא")</f>
        <v>הַבָּא</v>
      </c>
      <c r="N7" s="4" t="str">
        <f>IFERROR(__xludf.DUMMYFUNCTION("GOOGLETRANSLATE(B7,""en"",""bn"")"),"পরবর্তী")</f>
        <v>পরবর্তী</v>
      </c>
      <c r="O7" s="4" t="str">
        <f>IFERROR(__xludf.DUMMYFUNCTION("GOOGLETRANSLATE(B7,""en"",""pt"")"),"Próximo")</f>
        <v>Próximo</v>
      </c>
      <c r="P7" s="6"/>
    </row>
    <row r="8">
      <c r="A8" s="7" t="s">
        <v>28</v>
      </c>
      <c r="B8" s="3" t="s">
        <v>29</v>
      </c>
      <c r="C8" s="4" t="str">
        <f>IFERROR(__xludf.DUMMYFUNCTION("GOOGLETRANSLATE(B8,""en"",""hi"")"),"आपकी सवारी, मांग पर")</f>
        <v>आपकी सवारी, मांग पर</v>
      </c>
      <c r="D8" s="4" t="str">
        <f>IFERROR(__xludf.DUMMYFUNCTION("GOOGLETRANSLATE(B8,""en"",""ar"")"),"رحلتك، عند الطلب")</f>
        <v>رحلتك، عند الطلب</v>
      </c>
      <c r="E8" s="4" t="str">
        <f>IFERROR(__xludf.DUMMYFUNCTION("GOOGLETRANSLATE(B8,""en"",""fr"")"),"Votre trajet, à la demande")</f>
        <v>Votre trajet, à la demande</v>
      </c>
      <c r="F8" s="4" t="str">
        <f>IFERROR(__xludf.DUMMYFUNCTION("GOOGLETRANSLATE(B8,""en"",""tr"")"),"İsteğe Göre Yolculuğunuz")</f>
        <v>İsteğe Göre Yolculuğunuz</v>
      </c>
      <c r="G8" s="4" t="str">
        <f>IFERROR(__xludf.DUMMYFUNCTION("GOOGLETRANSLATE(B8,""en"",""ru"")"),"Ваша поездка по требованию")</f>
        <v>Ваша поездка по требованию</v>
      </c>
      <c r="H8" s="4" t="str">
        <f>IFERROR(__xludf.DUMMYFUNCTION("GOOGLETRANSLATE(B8,""en"",""it"")"),"La tua corsa, su richiesta")</f>
        <v>La tua corsa, su richiesta</v>
      </c>
      <c r="I8" s="4" t="str">
        <f>IFERROR(__xludf.DUMMYFUNCTION("GOOGLETRANSLATE(B8,""en"",""de"")"),"Ihre Fahrt, auf Abruf")</f>
        <v>Ihre Fahrt, auf Abruf</v>
      </c>
      <c r="J8" s="4" t="str">
        <f>IFERROR(__xludf.DUMMYFUNCTION("GOOGLETRANSLATE(B8,""en"",""ko"")"),"당신의 라이드, 온디맨드")</f>
        <v>당신의 라이드, 온디맨드</v>
      </c>
      <c r="K8" s="4" t="str">
        <f>IFERROR(__xludf.DUMMYFUNCTION("GOOGLETRANSLATE(B8,""en"",""zh"")"),"您的行程，按需安排")</f>
        <v>您的行程，按需安排</v>
      </c>
      <c r="L8" s="4" t="str">
        <f>IFERROR(__xludf.DUMMYFUNCTION("GOOGLETRANSLATE(B8,""en"",""es"")"),"Su viaje, a pedido")</f>
        <v>Su viaje, a pedido</v>
      </c>
      <c r="M8" s="4" t="str">
        <f>IFERROR(__xludf.DUMMYFUNCTION("GOOGLETRANSLATE(B8,""en"",""iw"")"),"הנסיעה שלך, לפי דרישה")</f>
        <v>הנסיעה שלך, לפי דרישה</v>
      </c>
      <c r="N8" s="4" t="str">
        <f>IFERROR(__xludf.DUMMYFUNCTION("GOOGLETRANSLATE(B8,""en"",""bn"")"),"আপনার রাইড, চাহিদা অনুযায়ী")</f>
        <v>আপনার রাইড, চাহিদা অনুযায়ী</v>
      </c>
      <c r="O8" s="4" t="str">
        <f>IFERROR(__xludf.DUMMYFUNCTION("GOOGLETRANSLATE(B8,""en"",""pt"")"),"Seu passeio, sob demanda")</f>
        <v>Seu passeio, sob demanda</v>
      </c>
      <c r="P8" s="4"/>
    </row>
    <row r="9">
      <c r="A9" s="7" t="s">
        <v>30</v>
      </c>
      <c r="B9" s="3" t="s">
        <v>31</v>
      </c>
      <c r="C9" s="4" t="str">
        <f>IFERROR(__xludf.DUMMYFUNCTION("GOOGLETRANSLATE(B9,""en"",""hi"")"),"लॉग इन करें")</f>
        <v>लॉग इन करें</v>
      </c>
      <c r="D9" s="6" t="s">
        <v>32</v>
      </c>
      <c r="E9" s="4" t="str">
        <f>IFERROR(__xludf.DUMMYFUNCTION("GOOGLETRANSLATE(B9,""en"",""fr"")"),"Se connecter")</f>
        <v>Se connecter</v>
      </c>
      <c r="F9" s="4" t="str">
        <f>IFERROR(__xludf.DUMMYFUNCTION("GOOGLETRANSLATE(B9,""en"",""tr"")"),"Giriş yapmak")</f>
        <v>Giriş yapmak</v>
      </c>
      <c r="G9" s="4" t="str">
        <f>IFERROR(__xludf.DUMMYFUNCTION("GOOGLETRANSLATE(B9,""en"",""ru"")"),"Авторизоваться")</f>
        <v>Авторизоваться</v>
      </c>
      <c r="H9" s="4" t="str">
        <f>IFERROR(__xludf.DUMMYFUNCTION("GOOGLETRANSLATE(B9,""en"",""it"")"),"Login")</f>
        <v>Login</v>
      </c>
      <c r="I9" s="4" t="str">
        <f>IFERROR(__xludf.DUMMYFUNCTION("GOOGLETRANSLATE(B9,""en"",""de"")"),"Anmeldung")</f>
        <v>Anmeldung</v>
      </c>
      <c r="J9" s="4" t="str">
        <f>IFERROR(__xludf.DUMMYFUNCTION("GOOGLETRANSLATE(B9,""en"",""ko"")"),"로그인")</f>
        <v>로그인</v>
      </c>
      <c r="K9" s="4" t="str">
        <f>IFERROR(__xludf.DUMMYFUNCTION("GOOGLETRANSLATE(B9,""en"",""zh"")"),"登录")</f>
        <v>登录</v>
      </c>
      <c r="L9" s="4" t="str">
        <f>IFERROR(__xludf.DUMMYFUNCTION("GOOGLETRANSLATE(B9,""en"",""es"")"),"Acceso")</f>
        <v>Acceso</v>
      </c>
      <c r="M9" s="4" t="str">
        <f>IFERROR(__xludf.DUMMYFUNCTION("GOOGLETRANSLATE(B9,""en"",""iw"")"),"התחברות")</f>
        <v>התחברות</v>
      </c>
      <c r="N9" s="4" t="str">
        <f>IFERROR(__xludf.DUMMYFUNCTION("GOOGLETRANSLATE(B9,""en"",""bn"")"),"প্রবেশ করুন")</f>
        <v>প্রবেশ করুন</v>
      </c>
      <c r="O9" s="4" t="str">
        <f>IFERROR(__xludf.DUMMYFUNCTION("GOOGLETRANSLATE(B9,""en"",""pt"")"),"Conecte-se")</f>
        <v>Conecte-se</v>
      </c>
      <c r="P9" s="6"/>
    </row>
    <row r="10">
      <c r="A10" s="7" t="s">
        <v>33</v>
      </c>
      <c r="B10" s="3" t="s">
        <v>34</v>
      </c>
      <c r="C10" s="4" t="str">
        <f>IFERROR(__xludf.DUMMYFUNCTION("GOOGLETRANSLATE(B10,""en"",""hi"")"),"मोबाइल नंबर दर्ज करें")</f>
        <v>मोबाइल नंबर दर्ज करें</v>
      </c>
      <c r="D10" s="6" t="s">
        <v>35</v>
      </c>
      <c r="E10" s="4" t="str">
        <f>IFERROR(__xludf.DUMMYFUNCTION("GOOGLETRANSLATE(B10,""en"",""fr"")"),"Entrez le numéro de portable")</f>
        <v>Entrez le numéro de portable</v>
      </c>
      <c r="F10" s="4" t="str">
        <f>IFERROR(__xludf.DUMMYFUNCTION("GOOGLETRANSLATE(B10,""en"",""tr"")"),"Cep Numarasını Girin")</f>
        <v>Cep Numarasını Girin</v>
      </c>
      <c r="G10" s="4" t="str">
        <f>IFERROR(__xludf.DUMMYFUNCTION("GOOGLETRANSLATE(B10,""en"",""ru"")"),"Введите номер мобильного телефона")</f>
        <v>Введите номер мобильного телефона</v>
      </c>
      <c r="H10" s="4" t="str">
        <f>IFERROR(__xludf.DUMMYFUNCTION("GOOGLETRANSLATE(B10,""en"",""it"")"),"Inserisci il numero di cellulare")</f>
        <v>Inserisci il numero di cellulare</v>
      </c>
      <c r="I10" s="4" t="str">
        <f>IFERROR(__xludf.DUMMYFUNCTION("GOOGLETRANSLATE(B10,""en"",""de"")"),"Geben Sie die Mobiltelefonnummer ein")</f>
        <v>Geben Sie die Mobiltelefonnummer ein</v>
      </c>
      <c r="J10" s="4" t="str">
        <f>IFERROR(__xludf.DUMMYFUNCTION("GOOGLETRANSLATE(B10,""en"",""ko"")"),"휴대폰 번호 입력")</f>
        <v>휴대폰 번호 입력</v>
      </c>
      <c r="K10" s="4" t="str">
        <f>IFERROR(__xludf.DUMMYFUNCTION("GOOGLETRANSLATE(B10,""en"",""zh"")"),"输入手机号码")</f>
        <v>输入手机号码</v>
      </c>
      <c r="L10" s="4" t="str">
        <f>IFERROR(__xludf.DUMMYFUNCTION("GOOGLETRANSLATE(B10,""en"",""es"")"),"Ingrese el número de móvil")</f>
        <v>Ingrese el número de móvil</v>
      </c>
      <c r="M10" s="4" t="str">
        <f>IFERROR(__xludf.DUMMYFUNCTION("GOOGLETRANSLATE(B10,""en"",""iw"")"),"הזן מספר נייד")</f>
        <v>הזן מספר נייד</v>
      </c>
      <c r="N10" s="4" t="str">
        <f>IFERROR(__xludf.DUMMYFUNCTION("GOOGLETRANSLATE(B10,""en"",""bn"")"),"মোবাইল নম্বর লিখুন")</f>
        <v>মোবাইল নম্বর লিখুন</v>
      </c>
      <c r="O10" s="4" t="str">
        <f>IFERROR(__xludf.DUMMYFUNCTION("GOOGLETRANSLATE(B10,""en"",""pt"")"),"Digite o número do celular")</f>
        <v>Digite o número do celular</v>
      </c>
      <c r="P10" s="6"/>
    </row>
    <row r="11">
      <c r="A11" s="7" t="s">
        <v>36</v>
      </c>
      <c r="B11" s="3" t="s">
        <v>37</v>
      </c>
      <c r="C11" s="4" t="str">
        <f>IFERROR(__xludf.DUMMYFUNCTION("GOOGLETRANSLATE(B11,""en"",""hi"")"),"आएँ शुरू करें!")</f>
        <v>आएँ शुरू करें!</v>
      </c>
      <c r="D11" s="6" t="s">
        <v>38</v>
      </c>
      <c r="E11" s="4" t="str">
        <f>IFERROR(__xludf.DUMMYFUNCTION("GOOGLETRANSLATE(B11,""en"",""fr"")"),"Commençons!")</f>
        <v>Commençons!</v>
      </c>
      <c r="F11" s="4" t="str">
        <f>IFERROR(__xludf.DUMMYFUNCTION("GOOGLETRANSLATE(B11,""en"",""tr"")"),"Başlayalım!")</f>
        <v>Başlayalım!</v>
      </c>
      <c r="G11" s="4" t="str">
        <f>IFERROR(__xludf.DUMMYFUNCTION("GOOGLETRANSLATE(B11,""en"",""ru"")"),"Давайте начнем!")</f>
        <v>Давайте начнем!</v>
      </c>
      <c r="H11" s="4" t="str">
        <f>IFERROR(__xludf.DUMMYFUNCTION("GOOGLETRANSLATE(B11,""en"",""it"")"),"Iniziamo!")</f>
        <v>Iniziamo!</v>
      </c>
      <c r="I11" s="4" t="str">
        <f>IFERROR(__xludf.DUMMYFUNCTION("GOOGLETRANSLATE(B11,""en"",""de"")"),"Lass uns anfangen!")</f>
        <v>Lass uns anfangen!</v>
      </c>
      <c r="J11" s="4" t="str">
        <f>IFERROR(__xludf.DUMMYFUNCTION("GOOGLETRANSLATE(B11,""en"",""ko"")"),"시작하자!")</f>
        <v>시작하자!</v>
      </c>
      <c r="K11" s="4" t="str">
        <f>IFERROR(__xludf.DUMMYFUNCTION("GOOGLETRANSLATE(B11,""en"",""zh"")"),"让我们开始吧！")</f>
        <v>让我们开始吧！</v>
      </c>
      <c r="L11" s="4" t="str">
        <f>IFERROR(__xludf.DUMMYFUNCTION("GOOGLETRANSLATE(B11,""en"",""es"")"),"¡Empecemos!")</f>
        <v>¡Empecemos!</v>
      </c>
      <c r="M11" s="4" t="str">
        <f>IFERROR(__xludf.DUMMYFUNCTION("GOOGLETRANSLATE(B11,""en"",""iw"")"),"בואו נתחיל!")</f>
        <v>בואו נתחיל!</v>
      </c>
      <c r="N11" s="4" t="str">
        <f>IFERROR(__xludf.DUMMYFUNCTION("GOOGLETRANSLATE(B11,""en"",""bn"")"),"চল শুরু করি!")</f>
        <v>চল শুরু করি!</v>
      </c>
      <c r="O11" s="4" t="str">
        <f>IFERROR(__xludf.DUMMYFUNCTION("GOOGLETRANSLATE(B11,""en"",""pt"")"),"Vamos começar!")</f>
        <v>Vamos começar!</v>
      </c>
      <c r="P11" s="6"/>
    </row>
    <row r="12">
      <c r="A12" s="7" t="s">
        <v>39</v>
      </c>
      <c r="B12" s="3" t="s">
        <v>40</v>
      </c>
      <c r="C12" s="4" t="str">
        <f>IFERROR(__xludf.DUMMYFUNCTION("GOOGLETRANSLATE(B12,""en"",""hi"")"),"जारी रखने के लिए फ़ॉर्म भरें.")</f>
        <v>जारी रखने के लिए फ़ॉर्म भरें.</v>
      </c>
      <c r="D12" s="6" t="s">
        <v>41</v>
      </c>
      <c r="E12" s="4" t="str">
        <f>IFERROR(__xludf.DUMMYFUNCTION("GOOGLETRANSLATE(B12,""en"",""fr"")"),"Remplissez le formulaire pour continuer.")</f>
        <v>Remplissez le formulaire pour continuer.</v>
      </c>
      <c r="F12" s="4" t="str">
        <f>IFERROR(__xludf.DUMMYFUNCTION("GOOGLETRANSLATE(B12,""en"",""tr"")"),"Devam etmek için formu doldurun.")</f>
        <v>Devam etmek için formu doldurun.</v>
      </c>
      <c r="G12" s="4" t="str">
        <f>IFERROR(__xludf.DUMMYFUNCTION("GOOGLETRANSLATE(B12,""en"",""ru"")"),"Заполните форму, чтобы продолжить.")</f>
        <v>Заполните форму, чтобы продолжить.</v>
      </c>
      <c r="H12" s="4" t="str">
        <f>IFERROR(__xludf.DUMMYFUNCTION("GOOGLETRANSLATE(B12,""en"",""it"")"),"Compila il modulo per continuare.")</f>
        <v>Compila il modulo per continuare.</v>
      </c>
      <c r="I12" s="4" t="str">
        <f>IFERROR(__xludf.DUMMYFUNCTION("GOOGLETRANSLATE(B12,""en"",""de"")"),"Füllen Sie das Formular aus, um fortzufahren.")</f>
        <v>Füllen Sie das Formular aus, um fortzufahren.</v>
      </c>
      <c r="J12" s="4" t="str">
        <f>IFERROR(__xludf.DUMMYFUNCTION("GOOGLETRANSLATE(B12,""en"",""ko"")"),"계속하려면 양식을 작성하세요.")</f>
        <v>계속하려면 양식을 작성하세요.</v>
      </c>
      <c r="K12" s="4" t="str">
        <f>IFERROR(__xludf.DUMMYFUNCTION("GOOGLETRANSLATE(B12,""en"",""zh"")"),"填写表格以继续。")</f>
        <v>填写表格以继续。</v>
      </c>
      <c r="L12" s="4" t="str">
        <f>IFERROR(__xludf.DUMMYFUNCTION("GOOGLETRANSLATE(B12,""en"",""es"")"),"Llene el formulario para continuar.")</f>
        <v>Llene el formulario para continuar.</v>
      </c>
      <c r="M12" s="4" t="str">
        <f>IFERROR(__xludf.DUMMYFUNCTION("GOOGLETRANSLATE(B12,""en"",""iw"")"),"מלא את הטופס כדי להמשיך.")</f>
        <v>מלא את הטופס כדי להמשיך.</v>
      </c>
      <c r="N12" s="4" t="str">
        <f>IFERROR(__xludf.DUMMYFUNCTION("GOOGLETRANSLATE(B12,""en"",""bn"")"),"চালিয়ে যেতে ফর্মটি পূরণ করুন।")</f>
        <v>চালিয়ে যেতে ফর্মটি পূরণ করুন।</v>
      </c>
      <c r="O12" s="4" t="str">
        <f>IFERROR(__xludf.DUMMYFUNCTION("GOOGLETRANSLATE(B12,""en"",""pt"")"),"Preencha o formulário para continuar.")</f>
        <v>Preencha o formulário para continuar.</v>
      </c>
      <c r="P12" s="6"/>
    </row>
    <row r="13">
      <c r="A13" s="7" t="s">
        <v>42</v>
      </c>
      <c r="B13" s="3" t="s">
        <v>43</v>
      </c>
      <c r="C13" s="4" t="str">
        <f>IFERROR(__xludf.DUMMYFUNCTION("GOOGLETRANSLATE(B13,""en"",""hi"")"),"जारी रखने के लिए फॉर्म भरने के लिए सोशल के साथ साइन अप करें।")</f>
        <v>जारी रखने के लिए फॉर्म भरने के लिए सोशल के साथ साइन अप करें।</v>
      </c>
      <c r="D13" s="6" t="s">
        <v>44</v>
      </c>
      <c r="E13" s="4" t="str">
        <f>IFERROR(__xludf.DUMMYFUNCTION("GOOGLETRANSLATE(B13,""en"",""fr"")"),"Inscrivez-vous sur Social ou remplissez le formulaire pour continuer.")</f>
        <v>Inscrivez-vous sur Social ou remplissez le formulaire pour continuer.</v>
      </c>
      <c r="F13" s="4" t="str">
        <f>IFERROR(__xludf.DUMMYFUNCTION("GOOGLETRANSLATE(B13,""en"",""tr"")"),"Devam etmek için Sosyal'e kaydolun ve formu doldurun.")</f>
        <v>Devam etmek için Sosyal'e kaydolun ve formu doldurun.</v>
      </c>
      <c r="G13" s="4" t="str">
        <f>IFERROR(__xludf.DUMMYFUNCTION("GOOGLETRANSLATE(B13,""en"",""ru"")"),"Зарегистрируйтесь в социальных сетях или заполните форму, чтобы продолжить.")</f>
        <v>Зарегистрируйтесь в социальных сетях или заполните форму, чтобы продолжить.</v>
      </c>
      <c r="H13" s="4" t="str">
        <f>IFERROR(__xludf.DUMMYFUNCTION("GOOGLETRANSLATE(B13,""en"",""it"")"),"Iscriviti con Social o compila il modulo per continuare.")</f>
        <v>Iscriviti con Social o compila il modulo per continuare.</v>
      </c>
      <c r="I13" s="4" t="str">
        <f>IFERROR(__xludf.DUMMYFUNCTION("GOOGLETRANSLATE(B13,""en"",""de"")"),"Melden Sie sich bei Social an oder füllen Sie das Formular aus, um fortzufahren.")</f>
        <v>Melden Sie sich bei Social an oder füllen Sie das Formular aus, um fortzufahren.</v>
      </c>
      <c r="J13" s="4" t="str">
        <f>IFERROR(__xludf.DUMMYFUNCTION("GOOGLETRANSLATE(B13,""en"",""ko"")"),"계속하려면 소셜에 가입하고 양식을 작성하세요.")</f>
        <v>계속하려면 소셜에 가입하고 양식을 작성하세요.</v>
      </c>
      <c r="K13" s="4" t="str">
        <f>IFERROR(__xludf.DUMMYFUNCTION("GOOGLETRANSLATE(B13,""en"",""zh"")"),"注册 Social 并填写表格以继续。")</f>
        <v>注册 Social 并填写表格以继续。</v>
      </c>
      <c r="L13" s="4" t="str">
        <f>IFERROR(__xludf.DUMMYFUNCTION("GOOGLETRANSLATE(B13,""en"",""es"")"),"Regístrese en Social o complete el formulario para continuar.")</f>
        <v>Regístrese en Social o complete el formulario para continuar.</v>
      </c>
      <c r="M13" s="4" t="str">
        <f>IFERROR(__xludf.DUMMYFUNCTION("GOOGLETRANSLATE(B13,""en"",""iw"")"),"הירשם ל-Social או מלא את הטופס כדי להמשיך.")</f>
        <v>הירשם ל-Social או מלא את הטופס כדי להמשיך.</v>
      </c>
      <c r="N13" s="4" t="str">
        <f>IFERROR(__xludf.DUMMYFUNCTION("GOOGLETRANSLATE(B13,""en"",""bn"")"),"চালিয়ে যেতে ফরম পূরণের সোশ্যাল দিয়ে সাইন আপ করুন।")</f>
        <v>চালিয়ে যেতে ফরম পূরণের সোশ্যাল দিয়ে সাইন আপ করুন।</v>
      </c>
      <c r="O13" s="4" t="str">
        <f>IFERROR(__xludf.DUMMYFUNCTION("GOOGLETRANSLATE(B13,""en"",""pt"")"),"Cadastre-se no Social ou preencha o formulário para continuar.")</f>
        <v>Cadastre-se no Social ou preencha o formulário para continuar.</v>
      </c>
      <c r="P13" s="6"/>
    </row>
    <row r="14">
      <c r="A14" s="7" t="s">
        <v>45</v>
      </c>
      <c r="B14" s="3" t="s">
        <v>46</v>
      </c>
      <c r="C14" s="4" t="str">
        <f>IFERROR(__xludf.DUMMYFUNCTION("GOOGLETRANSLATE(B14,""en"",""hi"")"),"ईमेल")</f>
        <v>ईमेल</v>
      </c>
      <c r="D14" s="6" t="s">
        <v>47</v>
      </c>
      <c r="E14" s="4" t="str">
        <f>IFERROR(__xludf.DUMMYFUNCTION("GOOGLETRANSLATE(B14,""en"",""fr"")"),"E-mail")</f>
        <v>E-mail</v>
      </c>
      <c r="F14" s="4" t="str">
        <f>IFERROR(__xludf.DUMMYFUNCTION("GOOGLETRANSLATE(B14,""en"",""tr"")"),"E-posta")</f>
        <v>E-posta</v>
      </c>
      <c r="G14" s="4" t="str">
        <f>IFERROR(__xludf.DUMMYFUNCTION("GOOGLETRANSLATE(B14,""en"",""ru"")"),"Электронная почта")</f>
        <v>Электронная почта</v>
      </c>
      <c r="H14" s="4" t="str">
        <f>IFERROR(__xludf.DUMMYFUNCTION("GOOGLETRANSLATE(B14,""en"",""it"")"),"E-mail")</f>
        <v>E-mail</v>
      </c>
      <c r="I14" s="4" t="str">
        <f>IFERROR(__xludf.DUMMYFUNCTION("GOOGLETRANSLATE(B14,""en"",""de"")"),"Email")</f>
        <v>Email</v>
      </c>
      <c r="J14" s="4" t="str">
        <f>IFERROR(__xludf.DUMMYFUNCTION("GOOGLETRANSLATE(B14,""en"",""ko"")"),"이메일")</f>
        <v>이메일</v>
      </c>
      <c r="K14" s="4" t="str">
        <f>IFERROR(__xludf.DUMMYFUNCTION("GOOGLETRANSLATE(B14,""en"",""zh"")"),"电子邮件")</f>
        <v>电子邮件</v>
      </c>
      <c r="L14" s="4" t="str">
        <f>IFERROR(__xludf.DUMMYFUNCTION("GOOGLETRANSLATE(B14,""en"",""es"")"),"Correo electrónico")</f>
        <v>Correo electrónico</v>
      </c>
      <c r="M14" s="4" t="str">
        <f>IFERROR(__xludf.DUMMYFUNCTION("GOOGLETRANSLATE(B14,""en"",""iw"")"),"אימייל")</f>
        <v>אימייל</v>
      </c>
      <c r="N14" s="4" t="str">
        <f>IFERROR(__xludf.DUMMYFUNCTION("GOOGLETRANSLATE(B14,""en"",""bn"")"),"ইমেইল")</f>
        <v>ইমেইল</v>
      </c>
      <c r="O14" s="4" t="str">
        <f>IFERROR(__xludf.DUMMYFUNCTION("GOOGLETRANSLATE(B14,""en"",""pt"")"),"E-mail")</f>
        <v>E-mail</v>
      </c>
      <c r="P14" s="6"/>
    </row>
    <row r="15">
      <c r="A15" s="7" t="s">
        <v>48</v>
      </c>
      <c r="B15" s="3" t="s">
        <v>49</v>
      </c>
      <c r="C15" s="4" t="str">
        <f>IFERROR(__xludf.DUMMYFUNCTION("GOOGLETRANSLATE(B15,""en"",""hi"")"),"नाम")</f>
        <v>नाम</v>
      </c>
      <c r="D15" s="6" t="s">
        <v>50</v>
      </c>
      <c r="E15" s="4" t="str">
        <f>IFERROR(__xludf.DUMMYFUNCTION("GOOGLETRANSLATE(B15,""en"",""fr"")"),"Nom")</f>
        <v>Nom</v>
      </c>
      <c r="F15" s="4" t="str">
        <f>IFERROR(__xludf.DUMMYFUNCTION("GOOGLETRANSLATE(B15,""en"",""tr"")"),"İsim")</f>
        <v>İsim</v>
      </c>
      <c r="G15" s="4" t="str">
        <f>IFERROR(__xludf.DUMMYFUNCTION("GOOGLETRANSLATE(B15,""en"",""ru"")"),"Имя")</f>
        <v>Имя</v>
      </c>
      <c r="H15" s="4" t="str">
        <f>IFERROR(__xludf.DUMMYFUNCTION("GOOGLETRANSLATE(B15,""en"",""it"")"),"Nome")</f>
        <v>Nome</v>
      </c>
      <c r="I15" s="4" t="str">
        <f>IFERROR(__xludf.DUMMYFUNCTION("GOOGLETRANSLATE(B15,""en"",""de"")"),"Name")</f>
        <v>Name</v>
      </c>
      <c r="J15" s="4" t="str">
        <f>IFERROR(__xludf.DUMMYFUNCTION("GOOGLETRANSLATE(B15,""en"",""ko"")"),"이름")</f>
        <v>이름</v>
      </c>
      <c r="K15" s="4" t="str">
        <f>IFERROR(__xludf.DUMMYFUNCTION("GOOGLETRANSLATE(B15,""en"",""zh"")"),"姓名")</f>
        <v>姓名</v>
      </c>
      <c r="L15" s="4" t="str">
        <f>IFERROR(__xludf.DUMMYFUNCTION("GOOGLETRANSLATE(B15,""en"",""es"")"),"Nombre")</f>
        <v>Nombre</v>
      </c>
      <c r="M15" s="4" t="str">
        <f>IFERROR(__xludf.DUMMYFUNCTION("GOOGLETRANSLATE(B15,""en"",""iw"")"),"שֵׁם")</f>
        <v>שֵׁם</v>
      </c>
      <c r="N15" s="4" t="str">
        <f>IFERROR(__xludf.DUMMYFUNCTION("GOOGLETRANSLATE(B15,""en"",""bn"")"),"নাম")</f>
        <v>নাম</v>
      </c>
      <c r="O15" s="4" t="str">
        <f>IFERROR(__xludf.DUMMYFUNCTION("GOOGLETRANSLATE(B15,""en"",""pt"")"),"Nome")</f>
        <v>Nome</v>
      </c>
      <c r="P15" s="6"/>
    </row>
    <row r="16">
      <c r="A16" s="7" t="s">
        <v>51</v>
      </c>
      <c r="B16" s="3" t="s">
        <v>52</v>
      </c>
      <c r="C16" s="4" t="str">
        <f>IFERROR(__xludf.DUMMYFUNCTION("GOOGLETRANSLATE(B16,""en"",""hi"")"),"साइन अप करके, आप इससे सहमत होते हैं")</f>
        <v>साइन अप करके, आप इससे सहमत होते हैं</v>
      </c>
      <c r="D16" s="6" t="s">
        <v>53</v>
      </c>
      <c r="E16" s="4" t="str">
        <f>IFERROR(__xludf.DUMMYFUNCTION("GOOGLETRANSLATE(B16,""en"",""fr"")"),"En vous inscrivant, vous acceptez les")</f>
        <v>En vous inscrivant, vous acceptez les</v>
      </c>
      <c r="F16" s="4" t="str">
        <f>IFERROR(__xludf.DUMMYFUNCTION("GOOGLETRANSLATE(B16,""en"",""tr"")"),"Kaydolarak şunları kabul etmiş olursunuz:")</f>
        <v>Kaydolarak şunları kabul etmiş olursunuz:</v>
      </c>
      <c r="G16" s="4" t="str">
        <f>IFERROR(__xludf.DUMMYFUNCTION("GOOGLETRANSLATE(B16,""en"",""ru"")"),"Регистрируясь, вы соглашаетесь с")</f>
        <v>Регистрируясь, вы соглашаетесь с</v>
      </c>
      <c r="H16" s="4" t="str">
        <f>IFERROR(__xludf.DUMMYFUNCTION("GOOGLETRANSLATE(B16,""en"",""it"")"),"Iscrivendoti accetti i")</f>
        <v>Iscrivendoti accetti i</v>
      </c>
      <c r="I16" s="4" t="str">
        <f>IFERROR(__xludf.DUMMYFUNCTION("GOOGLETRANSLATE(B16,""en"",""de"")"),"Mit der Anmeldung stimmen Sie dem zu")</f>
        <v>Mit der Anmeldung stimmen Sie dem zu</v>
      </c>
      <c r="J16" s="4" t="str">
        <f>IFERROR(__xludf.DUMMYFUNCTION("GOOGLETRANSLATE(B16,""en"",""ko"")"),"가입함으로써 귀하는 다음 사항에 동의하게 됩니다.")</f>
        <v>가입함으로써 귀하는 다음 사항에 동의하게 됩니다.</v>
      </c>
      <c r="K16" s="4" t="str">
        <f>IFERROR(__xludf.DUMMYFUNCTION("GOOGLETRANSLATE(B16,""en"",""zh"")"),"注册即表示您同意")</f>
        <v>注册即表示您同意</v>
      </c>
      <c r="L16" s="4" t="str">
        <f>IFERROR(__xludf.DUMMYFUNCTION("GOOGLETRANSLATE(B16,""en"",""es"")"),"Al registrarte, aceptas las")</f>
        <v>Al registrarte, aceptas las</v>
      </c>
      <c r="M16" s="4" t="str">
        <f>IFERROR(__xludf.DUMMYFUNCTION("GOOGLETRANSLATE(B16,""en"",""iw"")"),"בהרשמה, אתה מסכים ל")</f>
        <v>בהרשמה, אתה מסכים ל</v>
      </c>
      <c r="N16" s="4" t="str">
        <f>IFERROR(__xludf.DUMMYFUNCTION("GOOGLETRANSLATE(B16,""en"",""bn"")"),"সাইন আপ করে, আপনি সম্মত হন")</f>
        <v>সাইন আপ করে, আপনি সম্মত হন</v>
      </c>
      <c r="O16" s="4" t="str">
        <f>IFERROR(__xludf.DUMMYFUNCTION("GOOGLETRANSLATE(B16,""en"",""pt"")"),"Ao se inscrever, você concorda com os")</f>
        <v>Ao se inscrever, você concorda com os</v>
      </c>
      <c r="P16" s="6"/>
    </row>
    <row r="17">
      <c r="A17" s="7" t="s">
        <v>54</v>
      </c>
      <c r="B17" s="3" t="s">
        <v>55</v>
      </c>
      <c r="C17" s="4" t="str">
        <f>IFERROR(__xludf.DUMMYFUNCTION("GOOGLETRANSLATE(B17,""en"",""hi"")"),"सेवा की शर्तें")</f>
        <v>सेवा की शर्तें</v>
      </c>
      <c r="D17" s="6" t="s">
        <v>56</v>
      </c>
      <c r="E17" s="4" t="str">
        <f>IFERROR(__xludf.DUMMYFUNCTION("GOOGLETRANSLATE(B17,""en"",""fr"")"),"Conditions d'utilisation")</f>
        <v>Conditions d'utilisation</v>
      </c>
      <c r="F17" s="4" t="str">
        <f>IFERROR(__xludf.DUMMYFUNCTION("GOOGLETRANSLATE(B17,""en"",""tr"")"),"Kullanım Şartları")</f>
        <v>Kullanım Şartları</v>
      </c>
      <c r="G17" s="4" t="str">
        <f>IFERROR(__xludf.DUMMYFUNCTION("GOOGLETRANSLATE(B17,""en"",""ru"")"),"Условия использования")</f>
        <v>Условия использования</v>
      </c>
      <c r="H17" s="4" t="str">
        <f>IFERROR(__xludf.DUMMYFUNCTION("GOOGLETRANSLATE(B17,""en"",""it"")"),"Termini di servizio")</f>
        <v>Termini di servizio</v>
      </c>
      <c r="I17" s="4" t="str">
        <f>IFERROR(__xludf.DUMMYFUNCTION("GOOGLETRANSLATE(B17,""en"",""de"")"),"Nutzungsbedingungen")</f>
        <v>Nutzungsbedingungen</v>
      </c>
      <c r="J17" s="4" t="str">
        <f>IFERROR(__xludf.DUMMYFUNCTION("GOOGLETRANSLATE(B17,""en"",""ko"")"),"서비스 약관")</f>
        <v>서비스 약관</v>
      </c>
      <c r="K17" s="4" t="str">
        <f>IFERROR(__xludf.DUMMYFUNCTION("GOOGLETRANSLATE(B17,""en"",""zh"")"),"服务条款")</f>
        <v>服务条款</v>
      </c>
      <c r="L17" s="4" t="str">
        <f>IFERROR(__xludf.DUMMYFUNCTION("GOOGLETRANSLATE(B17,""en"",""es"")"),"Términos de servicio")</f>
        <v>Términos de servicio</v>
      </c>
      <c r="M17" s="4" t="str">
        <f>IFERROR(__xludf.DUMMYFUNCTION("GOOGLETRANSLATE(B17,""en"",""iw"")"),"תנאי השירות")</f>
        <v>תנאי השירות</v>
      </c>
      <c r="N17" s="4" t="str">
        <f>IFERROR(__xludf.DUMMYFUNCTION("GOOGLETRANSLATE(B17,""en"",""bn"")"),"সেবা পাবার শর্ত")</f>
        <v>সেবা পাবার শর্ত</v>
      </c>
      <c r="O17" s="4" t="str">
        <f>IFERROR(__xludf.DUMMYFUNCTION("GOOGLETRANSLATE(B17,""en"",""pt"")"),"Termos de serviço")</f>
        <v>Termos de serviço</v>
      </c>
      <c r="P17" s="6"/>
    </row>
    <row r="18">
      <c r="A18" s="7" t="s">
        <v>57</v>
      </c>
      <c r="B18" s="3" t="s">
        <v>58</v>
      </c>
      <c r="C18" s="4" t="str">
        <f>IFERROR(__xludf.DUMMYFUNCTION("GOOGLETRANSLATE(B18,""en"",""hi"")"),"और")</f>
        <v>और</v>
      </c>
      <c r="D18" s="6" t="s">
        <v>59</v>
      </c>
      <c r="E18" s="4" t="str">
        <f>IFERROR(__xludf.DUMMYFUNCTION("GOOGLETRANSLATE(B18,""en"",""fr"")"),"et")</f>
        <v>et</v>
      </c>
      <c r="F18" s="4" t="str">
        <f>IFERROR(__xludf.DUMMYFUNCTION("GOOGLETRANSLATE(B18,""en"",""tr"")"),"Ve")</f>
        <v>Ve</v>
      </c>
      <c r="G18" s="4" t="str">
        <f>IFERROR(__xludf.DUMMYFUNCTION("GOOGLETRANSLATE(B18,""en"",""ru"")"),"и")</f>
        <v>и</v>
      </c>
      <c r="H18" s="4" t="str">
        <f>IFERROR(__xludf.DUMMYFUNCTION("GOOGLETRANSLATE(B18,""en"",""it"")"),"E")</f>
        <v>E</v>
      </c>
      <c r="I18" s="4" t="str">
        <f>IFERROR(__xludf.DUMMYFUNCTION("GOOGLETRANSLATE(B18,""en"",""de"")"),"Und")</f>
        <v>Und</v>
      </c>
      <c r="J18" s="4" t="str">
        <f>IFERROR(__xludf.DUMMYFUNCTION("GOOGLETRANSLATE(B18,""en"",""ko"")"),"그리고")</f>
        <v>그리고</v>
      </c>
      <c r="K18" s="4" t="str">
        <f>IFERROR(__xludf.DUMMYFUNCTION("GOOGLETRANSLATE(B18,""en"",""zh"")"),"和")</f>
        <v>和</v>
      </c>
      <c r="L18" s="4" t="str">
        <f>IFERROR(__xludf.DUMMYFUNCTION("GOOGLETRANSLATE(B18,""en"",""es"")"),"y")</f>
        <v>y</v>
      </c>
      <c r="M18" s="4" t="str">
        <f>IFERROR(__xludf.DUMMYFUNCTION("GOOGLETRANSLATE(B18,""en"",""iw"")"),"ו")</f>
        <v>ו</v>
      </c>
      <c r="N18" s="4" t="str">
        <f>IFERROR(__xludf.DUMMYFUNCTION("GOOGLETRANSLATE(B18,""en"",""bn"")"),"এবং")</f>
        <v>এবং</v>
      </c>
      <c r="O18" s="4" t="str">
        <f>IFERROR(__xludf.DUMMYFUNCTION("GOOGLETRANSLATE(B18,""en"",""pt"")"),"e")</f>
        <v>e</v>
      </c>
      <c r="P18" s="6"/>
    </row>
    <row r="19">
      <c r="A19" s="7" t="s">
        <v>60</v>
      </c>
      <c r="B19" s="3" t="s">
        <v>61</v>
      </c>
      <c r="C19" s="4" t="str">
        <f>IFERROR(__xludf.DUMMYFUNCTION("GOOGLETRANSLATE(B19,""en"",""hi"")"),"गोपनीयता नीति")</f>
        <v>गोपनीयता नीति</v>
      </c>
      <c r="D19" s="6" t="s">
        <v>62</v>
      </c>
      <c r="E19" s="4" t="str">
        <f>IFERROR(__xludf.DUMMYFUNCTION("GOOGLETRANSLATE(B19,""en"",""fr"")"),"politique de confidentialité")</f>
        <v>politique de confidentialité</v>
      </c>
      <c r="F19" s="4" t="str">
        <f>IFERROR(__xludf.DUMMYFUNCTION("GOOGLETRANSLATE(B19,""en"",""tr"")"),"Gizlilik Politikası")</f>
        <v>Gizlilik Politikası</v>
      </c>
      <c r="G19" s="4" t="str">
        <f>IFERROR(__xludf.DUMMYFUNCTION("GOOGLETRANSLATE(B19,""en"",""ru"")"),"политика конфиденциальности")</f>
        <v>политика конфиденциальности</v>
      </c>
      <c r="H19" s="4" t="str">
        <f>IFERROR(__xludf.DUMMYFUNCTION("GOOGLETRANSLATE(B19,""en"",""it"")"),"politica sulla riservatezza")</f>
        <v>politica sulla riservatezza</v>
      </c>
      <c r="I19" s="4" t="str">
        <f>IFERROR(__xludf.DUMMYFUNCTION("GOOGLETRANSLATE(B19,""en"",""de"")"),"Datenschutzrichtlinie")</f>
        <v>Datenschutzrichtlinie</v>
      </c>
      <c r="J19" s="4" t="str">
        <f>IFERROR(__xludf.DUMMYFUNCTION("GOOGLETRANSLATE(B19,""en"",""ko"")"),"개인 정보 정책")</f>
        <v>개인 정보 정책</v>
      </c>
      <c r="K19" s="4" t="str">
        <f>IFERROR(__xludf.DUMMYFUNCTION("GOOGLETRANSLATE(B19,""en"",""zh"")"),"隐私政策")</f>
        <v>隐私政策</v>
      </c>
      <c r="L19" s="4" t="str">
        <f>IFERROR(__xludf.DUMMYFUNCTION("GOOGLETRANSLATE(B19,""en"",""es"")"),"política de privacidad")</f>
        <v>política de privacidad</v>
      </c>
      <c r="M19" s="4" t="str">
        <f>IFERROR(__xludf.DUMMYFUNCTION("GOOGLETRANSLATE(B19,""en"",""iw"")"),"מדיניות הפרטיות")</f>
        <v>מדיניות הפרטיות</v>
      </c>
      <c r="N19" s="4" t="str">
        <f>IFERROR(__xludf.DUMMYFUNCTION("GOOGLETRANSLATE(B19,""en"",""bn"")"),"গোপনীয়তা নীতি")</f>
        <v>গোপনীয়তা নীতি</v>
      </c>
      <c r="O19" s="4" t="str">
        <f>IFERROR(__xludf.DUMMYFUNCTION("GOOGLETRANSLATE(B19,""en"",""pt"")"),"política de Privacidade")</f>
        <v>política de Privacidade</v>
      </c>
      <c r="P19" s="6"/>
    </row>
    <row r="20">
      <c r="A20" s="7" t="s">
        <v>63</v>
      </c>
      <c r="B20" s="3" t="s">
        <v>64</v>
      </c>
      <c r="C20" s="4" t="str">
        <f>IFERROR(__xludf.DUMMYFUNCTION("GOOGLETRANSLATE(B20,""en"",""hi"")"),"प्रतीक्षा करने और कीमत की सौदेबाजी की परेशानी के बिना टैक्सी बुक करने का सबसे तेज़ तरीका")</f>
        <v>प्रतीक्षा करने और कीमत की सौदेबाजी की परेशानी के बिना टैक्सी बुक करने का सबसे तेज़ तरीका</v>
      </c>
      <c r="D20" s="6" t="s">
        <v>65</v>
      </c>
      <c r="E20" s="4" t="str">
        <f>IFERROR(__xludf.DUMMYFUNCTION("GOOGLETRANSLATE(B20,""en"",""fr"")"),"Le moyen le plus rapide de réserver un taxi sans les tracas de l'attente et du marchandage des prix")</f>
        <v>Le moyen le plus rapide de réserver un taxi sans les tracas de l'attente et du marchandage des prix</v>
      </c>
      <c r="F20" s="4" t="str">
        <f>IFERROR(__xludf.DUMMYFUNCTION("GOOGLETRANSLATE(B20,""en"",""tr"")"),"Bekleme ve fiyat pazarlığı yapma zahmetine girmeden Taksi rezervasyonu yapmanın en hızlı yolu")</f>
        <v>Bekleme ve fiyat pazarlığı yapma zahmetine girmeden Taksi rezervasyonu yapmanın en hızlı yolu</v>
      </c>
      <c r="G20" s="4" t="str">
        <f>IFERROR(__xludf.DUMMYFUNCTION("GOOGLETRANSLATE(B20,""en"",""ru"")"),"Самый быстрый способ заказать такси без хлопот ожидания и торга о цене.")</f>
        <v>Самый быстрый способ заказать такси без хлопот ожидания и торга о цене.</v>
      </c>
      <c r="H20" s="4" t="str">
        <f>IFERROR(__xludf.DUMMYFUNCTION("GOOGLETRANSLATE(B20,""en"",""it"")"),"Il modo più veloce per prenotare un taxi senza il fastidio di aspettare e contrattare il prezzo")</f>
        <v>Il modo più veloce per prenotare un taxi senza il fastidio di aspettare e contrattare il prezzo</v>
      </c>
      <c r="I20" s="4" t="str">
        <f>IFERROR(__xludf.DUMMYFUNCTION("GOOGLETRANSLATE(B20,""en"",""de"")"),"Der schnellste Weg, ein Taxi zu buchen, ohne lästiges Warten und Preisfeilschen")</f>
        <v>Der schnellste Weg, ein Taxi zu buchen, ohne lästiges Warten und Preisfeilschen</v>
      </c>
      <c r="J20" s="4" t="str">
        <f>IFERROR(__xludf.DUMMYFUNCTION("GOOGLETRANSLATE(B20,""en"",""ko"")"),"기다림의 번거로움과 가격 흥정 없이 택시를 예약하는 가장 빠른 방법")</f>
        <v>기다림의 번거로움과 가격 흥정 없이 택시를 예약하는 가장 빠른 방법</v>
      </c>
      <c r="K20" s="4" t="str">
        <f>IFERROR(__xludf.DUMMYFUNCTION("GOOGLETRANSLATE(B20,""en"",""zh"")"),"预订出租车的最快方式，无需等待和讨价还价的麻烦")</f>
        <v>预订出租车的最快方式，无需等待和讨价还价的麻烦</v>
      </c>
      <c r="L20" s="4" t="str">
        <f>IFERROR(__xludf.DUMMYFUNCTION("GOOGLETRANSLATE(B20,""en"",""es"")"),"La forma más rápida de reservar un taxi sin la molestia de esperar y regatear el precio")</f>
        <v>La forma más rápida de reservar un taxi sin la molestia de esperar y regatear el precio</v>
      </c>
      <c r="M20" s="4" t="str">
        <f>IFERROR(__xludf.DUMMYFUNCTION("GOOGLETRANSLATE(B20,""en"",""iw"")"),"הדרך המהירה ביותר להזמין מונית ללא הטרחה של המתנה והתמקחות על המחיר")</f>
        <v>הדרך המהירה ביותר להזמין מונית ללא הטרחה של המתנה והתמקחות על המחיר</v>
      </c>
      <c r="N20" s="4" t="str">
        <f>IFERROR(__xludf.DUMMYFUNCTION("GOOGLETRANSLATE(B20,""en"",""bn"")"),"অপেক্ষার ঝামেলা ছাড়াই ট্যাক্সি বুক করার দ্রুততম উপায় এবং দামের হট্টগোল")</f>
        <v>অপেক্ষার ঝামেলা ছাড়াই ট্যাক্সি বুক করার দ্রুততম উপায় এবং দামের হট্টগোল</v>
      </c>
      <c r="O20" s="4" t="str">
        <f>IFERROR(__xludf.DUMMYFUNCTION("GOOGLETRANSLATE(B20,""en"",""pt"")"),"A maneira mais rápida de reservar um táxi sem o incômodo de esperar e pechinchar o preço")</f>
        <v>A maneira mais rápida de reservar um táxi sem o incômodo de esperar e pechinchar o preço</v>
      </c>
      <c r="P20" s="6"/>
    </row>
    <row r="21">
      <c r="A21" s="7" t="s">
        <v>66</v>
      </c>
      <c r="B21" s="3" t="s">
        <v>67</v>
      </c>
      <c r="C21" s="4" t="str">
        <f>IFERROR(__xludf.DUMMYFUNCTION("GOOGLETRANSLATE(B21,""en"",""hi"")"),"फ़ोन सत्यापन")</f>
        <v>फ़ोन सत्यापन</v>
      </c>
      <c r="D21" s="6" t="s">
        <v>68</v>
      </c>
      <c r="E21" s="4" t="str">
        <f>IFERROR(__xludf.DUMMYFUNCTION("GOOGLETRANSLATE(B21,""en"",""fr"")"),"Vérification du téléphone")</f>
        <v>Vérification du téléphone</v>
      </c>
      <c r="F21" s="4" t="str">
        <f>IFERROR(__xludf.DUMMYFUNCTION("GOOGLETRANSLATE(B21,""en"",""tr"")"),"Telefon Doğrulaması")</f>
        <v>Telefon Doğrulaması</v>
      </c>
      <c r="G21" s="4" t="str">
        <f>IFERROR(__xludf.DUMMYFUNCTION("GOOGLETRANSLATE(B21,""en"",""ru"")"),"Проверка телефона")</f>
        <v>Проверка телефона</v>
      </c>
      <c r="H21" s="4" t="str">
        <f>IFERROR(__xludf.DUMMYFUNCTION("GOOGLETRANSLATE(B21,""en"",""it"")"),"Verifica telefonica")</f>
        <v>Verifica telefonica</v>
      </c>
      <c r="I21" s="4" t="str">
        <f>IFERROR(__xludf.DUMMYFUNCTION("GOOGLETRANSLATE(B21,""en"",""de"")"),"Telefonverifizierung")</f>
        <v>Telefonverifizierung</v>
      </c>
      <c r="J21" s="4" t="str">
        <f>IFERROR(__xludf.DUMMYFUNCTION("GOOGLETRANSLATE(B21,""en"",""ko"")"),"전화인증")</f>
        <v>전화인증</v>
      </c>
      <c r="K21" s="4" t="str">
        <f>IFERROR(__xludf.DUMMYFUNCTION("GOOGLETRANSLATE(B21,""en"",""zh"")"),"电话验证")</f>
        <v>电话验证</v>
      </c>
      <c r="L21" s="4" t="str">
        <f>IFERROR(__xludf.DUMMYFUNCTION("GOOGLETRANSLATE(B21,""en"",""es"")"),"Verificación telefónica")</f>
        <v>Verificación telefónica</v>
      </c>
      <c r="M21" s="4" t="str">
        <f>IFERROR(__xludf.DUMMYFUNCTION("GOOGLETRANSLATE(B21,""en"",""iw"")"),"אימות טלפוני")</f>
        <v>אימות טלפוני</v>
      </c>
      <c r="N21" s="4" t="str">
        <f>IFERROR(__xludf.DUMMYFUNCTION("GOOGLETRANSLATE(B21,""en"",""bn"")"),"ফোন যাচাইকরণ")</f>
        <v>ফোন যাচাইকরণ</v>
      </c>
      <c r="O21" s="4" t="str">
        <f>IFERROR(__xludf.DUMMYFUNCTION("GOOGLETRANSLATE(B21,""en"",""pt"")"),"Verificação de telefone")</f>
        <v>Verificação de telefone</v>
      </c>
      <c r="P21" s="6"/>
    </row>
    <row r="22">
      <c r="A22" s="7" t="s">
        <v>69</v>
      </c>
      <c r="B22" s="3" t="s">
        <v>70</v>
      </c>
      <c r="C22" s="4" t="str">
        <f>IFERROR(__xludf.DUMMYFUNCTION("GOOGLETRANSLATE(B22,""en"",""hi"")"),"कृपया आपको भेजा गया 6-अंकीय कोड दर्ज करें")</f>
        <v>कृपया आपको भेजा गया 6-अंकीय कोड दर्ज करें</v>
      </c>
      <c r="D22" s="6" t="s">
        <v>71</v>
      </c>
      <c r="E22" s="4" t="str">
        <f>IFERROR(__xludf.DUMMYFUNCTION("GOOGLETRANSLATE(B22,""en"",""fr"")"),"Veuillez saisir le code à 6 chiffres qui vous a été envoyé à")</f>
        <v>Veuillez saisir le code à 6 chiffres qui vous a été envoyé à</v>
      </c>
      <c r="F22" s="4" t="str">
        <f>IFERROR(__xludf.DUMMYFUNCTION("GOOGLETRANSLATE(B22,""en"",""tr"")"),"Lütfen size gönderilen 6 haneli kodu giriniz.")</f>
        <v>Lütfen size gönderilen 6 haneli kodu giriniz.</v>
      </c>
      <c r="G22" s="4" t="str">
        <f>IFERROR(__xludf.DUMMYFUNCTION("GOOGLETRANSLATE(B22,""en"",""ru"")"),"Пожалуйста, введите 6-значный код, отправленный вам по адресу")</f>
        <v>Пожалуйста, введите 6-значный код, отправленный вам по адресу</v>
      </c>
      <c r="H22" s="4" t="str">
        <f>IFERROR(__xludf.DUMMYFUNCTION("GOOGLETRANSLATE(B22,""en"",""it"")"),"Inserisci il codice di 6 cifre che ti è stato inviato a")</f>
        <v>Inserisci il codice di 6 cifre che ti è stato inviato a</v>
      </c>
      <c r="I22" s="4" t="str">
        <f>IFERROR(__xludf.DUMMYFUNCTION("GOOGLETRANSLATE(B22,""en"",""de"")"),"Bitte geben Sie den 6-stelligen Code ein, den Sie unter erhalten")</f>
        <v>Bitte geben Sie den 6-stelligen Code ein, den Sie unter erhalten</v>
      </c>
      <c r="J22" s="4" t="str">
        <f>IFERROR(__xludf.DUMMYFUNCTION("GOOGLETRANSLATE(B22,""en"",""ko"")"),"다음 주소로 전송된 6자리 코드를 입력하세요.")</f>
        <v>다음 주소로 전송된 6자리 코드를 입력하세요.</v>
      </c>
      <c r="K22" s="4" t="str">
        <f>IFERROR(__xludf.DUMMYFUNCTION("GOOGLETRANSLATE(B22,""en"",""zh"")"),"请输入发送给您的 6 位代码")</f>
        <v>请输入发送给您的 6 位代码</v>
      </c>
      <c r="L22" s="4" t="str">
        <f>IFERROR(__xludf.DUMMYFUNCTION("GOOGLETRANSLATE(B22,""en"",""es"")"),"Por favor ingrese el código de 6 dígitos que le enviamos a")</f>
        <v>Por favor ingrese el código de 6 dígitos que le enviamos a</v>
      </c>
      <c r="M22" s="4" t="str">
        <f>IFERROR(__xludf.DUMMYFUNCTION("GOOGLETRANSLATE(B22,""en"",""iw"")"),"נא להזין את הקוד בן 6 הספרות שנשלח אליך בכתובת")</f>
        <v>נא להזין את הקוד בן 6 הספרות שנשלח אליך בכתובת</v>
      </c>
      <c r="N22" s="4" t="str">
        <f>IFERROR(__xludf.DUMMYFUNCTION("GOOGLETRANSLATE(B22,""en"",""bn"")"),"অনুগ্রহ করে আপনার কাছে পাঠানো 6-সংখ্যার কোডটি লিখুন")</f>
        <v>অনুগ্রহ করে আপনার কাছে পাঠানো 6-সংখ্যার কোডটি লিখুন</v>
      </c>
      <c r="O22" s="4" t="str">
        <f>IFERROR(__xludf.DUMMYFUNCTION("GOOGLETRANSLATE(B22,""en"",""pt"")"),"Por favor, insira o código de 6 dígitos enviado para você em")</f>
        <v>Por favor, insira o código de 6 dígitos enviado para você em</v>
      </c>
      <c r="P22" s="6"/>
    </row>
    <row r="23">
      <c r="A23" s="7" t="s">
        <v>72</v>
      </c>
      <c r="B23" s="3" t="s">
        <v>73</v>
      </c>
      <c r="C23" s="4" t="str">
        <f>IFERROR(__xludf.DUMMYFUNCTION("GOOGLETRANSLATE(B23,""en"",""hi"")"),"पुन: कोड भेजे")</f>
        <v>पुन: कोड भेजे</v>
      </c>
      <c r="D23" s="6" t="s">
        <v>74</v>
      </c>
      <c r="E23" s="4" t="str">
        <f>IFERROR(__xludf.DUMMYFUNCTION("GOOGLETRANSLATE(B23,""en"",""fr"")"),"Renvoyer le code")</f>
        <v>Renvoyer le code</v>
      </c>
      <c r="F23" s="4" t="str">
        <f>IFERROR(__xludf.DUMMYFUNCTION("GOOGLETRANSLATE(B23,""en"",""tr"")"),"Yeniden gönderme kodu")</f>
        <v>Yeniden gönderme kodu</v>
      </c>
      <c r="G23" s="4" t="str">
        <f>IFERROR(__xludf.DUMMYFUNCTION("GOOGLETRANSLATE(B23,""en"",""ru"")"),"Отправить код еще раз")</f>
        <v>Отправить код еще раз</v>
      </c>
      <c r="H23" s="4" t="str">
        <f>IFERROR(__xludf.DUMMYFUNCTION("GOOGLETRANSLATE(B23,""en"",""it"")"),"Codice di rispedizione")</f>
        <v>Codice di rispedizione</v>
      </c>
      <c r="I23" s="4" t="str">
        <f>IFERROR(__xludf.DUMMYFUNCTION("GOOGLETRANSLATE(B23,""en"",""de"")"),"Code erneut senden")</f>
        <v>Code erneut senden</v>
      </c>
      <c r="J23" s="4" t="str">
        <f>IFERROR(__xludf.DUMMYFUNCTION("GOOGLETRANSLATE(B23,""en"",""ko"")"),"코드 재전송")</f>
        <v>코드 재전송</v>
      </c>
      <c r="K23" s="4" t="str">
        <f>IFERROR(__xludf.DUMMYFUNCTION("GOOGLETRANSLATE(B23,""en"",""zh"")"),"重新发送验证码")</f>
        <v>重新发送验证码</v>
      </c>
      <c r="L23" s="4" t="str">
        <f>IFERROR(__xludf.DUMMYFUNCTION("GOOGLETRANSLATE(B23,""en"",""es"")"),"Reenviar codigo")</f>
        <v>Reenviar codigo</v>
      </c>
      <c r="M23" s="4" t="str">
        <f>IFERROR(__xludf.DUMMYFUNCTION("GOOGLETRANSLATE(B23,""en"",""iw"")"),"שלח קוד שוב")</f>
        <v>שלח קוד שוב</v>
      </c>
      <c r="N23" s="4" t="str">
        <f>IFERROR(__xludf.DUMMYFUNCTION("GOOGLETRANSLATE(B23,""en"",""bn"")"),"পুনরায় পাঠানো কোড")</f>
        <v>পুনরায় পাঠানো কোড</v>
      </c>
      <c r="O23" s="4" t="str">
        <f>IFERROR(__xludf.DUMMYFUNCTION("GOOGLETRANSLATE(B23,""en"",""pt"")"),"Reenviar código")</f>
        <v>Reenviar código</v>
      </c>
      <c r="P23" s="6"/>
    </row>
    <row r="24">
      <c r="A24" s="7" t="s">
        <v>75</v>
      </c>
      <c r="B24" s="3" t="s">
        <v>76</v>
      </c>
      <c r="C24" s="4" t="str">
        <f>IFERROR(__xludf.DUMMYFUNCTION("GOOGLETRANSLATE(B24,""en"",""hi"")"),"अभी सत्यापित करें")</f>
        <v>अभी सत्यापित करें</v>
      </c>
      <c r="D24" s="6" t="s">
        <v>77</v>
      </c>
      <c r="E24" s="4" t="str">
        <f>IFERROR(__xludf.DUMMYFUNCTION("GOOGLETRANSLATE(B24,""en"",""fr"")"),"Vérifiez maintenant")</f>
        <v>Vérifiez maintenant</v>
      </c>
      <c r="F24" s="4" t="str">
        <f>IFERROR(__xludf.DUMMYFUNCTION("GOOGLETRANSLATE(B24,""en"",""tr"")"),"Şimdi doğrulayın")</f>
        <v>Şimdi doğrulayın</v>
      </c>
      <c r="G24" s="4" t="str">
        <f>IFERROR(__xludf.DUMMYFUNCTION("GOOGLETRANSLATE(B24,""en"",""ru"")"),"Проверить сейчас")</f>
        <v>Проверить сейчас</v>
      </c>
      <c r="H24" s="4" t="str">
        <f>IFERROR(__xludf.DUMMYFUNCTION("GOOGLETRANSLATE(B24,""en"",""it"")"),"verifica ora")</f>
        <v>verifica ora</v>
      </c>
      <c r="I24" s="4" t="str">
        <f>IFERROR(__xludf.DUMMYFUNCTION("GOOGLETRANSLATE(B24,""en"",""de"")"),"Jetzt Prüfen")</f>
        <v>Jetzt Prüfen</v>
      </c>
      <c r="J24" s="4" t="str">
        <f>IFERROR(__xludf.DUMMYFUNCTION("GOOGLETRANSLATE(B24,""en"",""ko"")"),"지금 인증하십시오")</f>
        <v>지금 인증하십시오</v>
      </c>
      <c r="K24" s="4" t="str">
        <f>IFERROR(__xludf.DUMMYFUNCTION("GOOGLETRANSLATE(B24,""en"",""zh"")"),"立即验证")</f>
        <v>立即验证</v>
      </c>
      <c r="L24" s="4" t="str">
        <f>IFERROR(__xludf.DUMMYFUNCTION("GOOGLETRANSLATE(B24,""en"",""es"")"),"verifica ahora")</f>
        <v>verifica ahora</v>
      </c>
      <c r="M24" s="4" t="str">
        <f>IFERROR(__xludf.DUMMYFUNCTION("GOOGLETRANSLATE(B24,""en"",""iw"")"),"אמת עכשיו")</f>
        <v>אמת עכשיו</v>
      </c>
      <c r="N24" s="4" t="str">
        <f>IFERROR(__xludf.DUMMYFUNCTION("GOOGLETRANSLATE(B24,""en"",""bn"")"),"এখন সনাক্ত করুন")</f>
        <v>এখন সনাক্ত করুন</v>
      </c>
      <c r="O24" s="4" t="str">
        <f>IFERROR(__xludf.DUMMYFUNCTION("GOOGLETRANSLATE(B24,""en"",""pt"")"),"Verifique agora")</f>
        <v>Verifique agora</v>
      </c>
      <c r="P24" s="6"/>
    </row>
    <row r="25">
      <c r="A25" s="7" t="s">
        <v>78</v>
      </c>
      <c r="B25" s="3" t="s">
        <v>79</v>
      </c>
      <c r="C25" s="4" t="str">
        <f>IFERROR(__xludf.DUMMYFUNCTION("GOOGLETRANSLATE(B25,""en"",""hi"")"),"लेने की जगह")</f>
        <v>लेने की जगह</v>
      </c>
      <c r="D25" s="6" t="s">
        <v>80</v>
      </c>
      <c r="E25" s="4" t="str">
        <f>IFERROR(__xludf.DUMMYFUNCTION("GOOGLETRANSLATE(B25,""en"",""fr"")"),"Lieu de ramassage")</f>
        <v>Lieu de ramassage</v>
      </c>
      <c r="F25" s="4" t="str">
        <f>IFERROR(__xludf.DUMMYFUNCTION("GOOGLETRANSLATE(B25,""en"",""tr"")"),"Alış Yeri")</f>
        <v>Alış Yeri</v>
      </c>
      <c r="G25" s="4" t="str">
        <f>IFERROR(__xludf.DUMMYFUNCTION("GOOGLETRANSLATE(B25,""en"",""ru"")"),"Выбрать место")</f>
        <v>Выбрать место</v>
      </c>
      <c r="H25" s="4" t="str">
        <f>IFERROR(__xludf.DUMMYFUNCTION("GOOGLETRANSLATE(B25,""en"",""it"")"),"Posto di raccolta")</f>
        <v>Posto di raccolta</v>
      </c>
      <c r="I25" s="4" t="str">
        <f>IFERROR(__xludf.DUMMYFUNCTION("GOOGLETRANSLATE(B25,""en"",""de"")"),"Treffpunkt")</f>
        <v>Treffpunkt</v>
      </c>
      <c r="J25" s="4" t="str">
        <f>IFERROR(__xludf.DUMMYFUNCTION("GOOGLETRANSLATE(B25,""en"",""ko"")"),"짐을 싣는 곳")</f>
        <v>짐을 싣는 곳</v>
      </c>
      <c r="K25" s="4" t="str">
        <f>IFERROR(__xludf.DUMMYFUNCTION("GOOGLETRANSLATE(B25,""en"",""zh"")"),"接人的地方")</f>
        <v>接人的地方</v>
      </c>
      <c r="L25" s="4" t="str">
        <f>IFERROR(__xludf.DUMMYFUNCTION("GOOGLETRANSLATE(B25,""en"",""es"")"),"Lugar de recogida")</f>
        <v>Lugar de recogida</v>
      </c>
      <c r="M25" s="4" t="str">
        <f>IFERROR(__xludf.DUMMYFUNCTION("GOOGLETRANSLATE(B25,""en"",""iw"")"),"בחר מיקום")</f>
        <v>בחר מיקום</v>
      </c>
      <c r="N25" s="4" t="str">
        <f>IFERROR(__xludf.DUMMYFUNCTION("GOOGLETRANSLATE(B25,""en"",""bn"")"),"অবস্থান নিতে")</f>
        <v>অবস্থান নিতে</v>
      </c>
      <c r="O25" s="4" t="str">
        <f>IFERROR(__xludf.DUMMYFUNCTION("GOOGLETRANSLATE(B25,""en"",""pt"")"),"Local de retirada")</f>
        <v>Local de retirada</v>
      </c>
      <c r="P25" s="6"/>
    </row>
    <row r="26">
      <c r="A26" s="7" t="s">
        <v>81</v>
      </c>
      <c r="B26" s="3" t="s">
        <v>82</v>
      </c>
      <c r="C26" s="4" t="str">
        <f>IFERROR(__xludf.DUMMYFUNCTION("GOOGLETRANSLATE(B26,""en"",""hi"")"),"ड्रॉप स्थान")</f>
        <v>ड्रॉप स्थान</v>
      </c>
      <c r="D26" s="6" t="s">
        <v>83</v>
      </c>
      <c r="E26" s="4" t="str">
        <f>IFERROR(__xludf.DUMMYFUNCTION("GOOGLETRANSLATE(B26,""en"",""fr"")"),"Emplacement de dépôt")</f>
        <v>Emplacement de dépôt</v>
      </c>
      <c r="F26" s="4" t="str">
        <f>IFERROR(__xludf.DUMMYFUNCTION("GOOGLETRANSLATE(B26,""en"",""tr"")"),"Bırakma Konumu")</f>
        <v>Bırakma Konumu</v>
      </c>
      <c r="G26" s="4" t="str">
        <f>IFERROR(__xludf.DUMMYFUNCTION("GOOGLETRANSLATE(B26,""en"",""ru"")"),"Место сброса")</f>
        <v>Место сброса</v>
      </c>
      <c r="H26" s="4" t="str">
        <f>IFERROR(__xludf.DUMMYFUNCTION("GOOGLETRANSLATE(B26,""en"",""it"")"),"Rilascia posizione")</f>
        <v>Rilascia posizione</v>
      </c>
      <c r="I26" s="4" t="str">
        <f>IFERROR(__xludf.DUMMYFUNCTION("GOOGLETRANSLATE(B26,""en"",""de"")"),"Drop-Standort")</f>
        <v>Drop-Standort</v>
      </c>
      <c r="J26" s="4" t="str">
        <f>IFERROR(__xludf.DUMMYFUNCTION("GOOGLETRANSLATE(B26,""en"",""ko"")"),"드롭 위치")</f>
        <v>드롭 위치</v>
      </c>
      <c r="K26" s="4" t="str">
        <f>IFERROR(__xludf.DUMMYFUNCTION("GOOGLETRANSLATE(B26,""en"",""zh"")"),"掉落地点")</f>
        <v>掉落地点</v>
      </c>
      <c r="L26" s="4" t="str">
        <f>IFERROR(__xludf.DUMMYFUNCTION("GOOGLETRANSLATE(B26,""en"",""es"")"),"Ubicación de entrega")</f>
        <v>Ubicación de entrega</v>
      </c>
      <c r="M26" s="4" t="str">
        <f>IFERROR(__xludf.DUMMYFUNCTION("GOOGLETRANSLATE(B26,""en"",""iw"")"),"שחרור מיקום")</f>
        <v>שחרור מיקום</v>
      </c>
      <c r="N26" s="4" t="str">
        <f>IFERROR(__xludf.DUMMYFUNCTION("GOOGLETRANSLATE(B26,""en"",""bn"")"),"ড্রপ অবস্থান")</f>
        <v>ড্রপ অবস্থান</v>
      </c>
      <c r="O26" s="4" t="str">
        <f>IFERROR(__xludf.DUMMYFUNCTION("GOOGLETRANSLATE(B26,""en"",""pt"")"),"Local de lançamento")</f>
        <v>Local de lançamento</v>
      </c>
      <c r="P26" s="6"/>
    </row>
    <row r="27">
      <c r="A27" s="7" t="s">
        <v>84</v>
      </c>
      <c r="B27" s="3" t="s">
        <v>85</v>
      </c>
      <c r="C27" s="4" t="str">
        <f>IFERROR(__xludf.DUMMYFUNCTION("GOOGLETRANSLATE(B27,""en"",""hi"")"),"दैनिक")</f>
        <v>दैनिक</v>
      </c>
      <c r="D27" s="6" t="s">
        <v>86</v>
      </c>
      <c r="E27" s="4" t="str">
        <f>IFERROR(__xludf.DUMMYFUNCTION("GOOGLETRANSLATE(B27,""en"",""fr"")"),"Tous les jours")</f>
        <v>Tous les jours</v>
      </c>
      <c r="F27" s="4" t="str">
        <f>IFERROR(__xludf.DUMMYFUNCTION("GOOGLETRANSLATE(B27,""en"",""tr"")"),"Günlük")</f>
        <v>Günlük</v>
      </c>
      <c r="G27" s="4" t="str">
        <f>IFERROR(__xludf.DUMMYFUNCTION("GOOGLETRANSLATE(B27,""en"",""ru"")"),"Ежедневно")</f>
        <v>Ежедневно</v>
      </c>
      <c r="H27" s="4" t="str">
        <f>IFERROR(__xludf.DUMMYFUNCTION("GOOGLETRANSLATE(B27,""en"",""it"")"),"Quotidiano")</f>
        <v>Quotidiano</v>
      </c>
      <c r="I27" s="4" t="str">
        <f>IFERROR(__xludf.DUMMYFUNCTION("GOOGLETRANSLATE(B27,""en"",""de"")"),"Täglich")</f>
        <v>Täglich</v>
      </c>
      <c r="J27" s="4" t="str">
        <f>IFERROR(__xludf.DUMMYFUNCTION("GOOGLETRANSLATE(B27,""en"",""ko"")"),"일일")</f>
        <v>일일</v>
      </c>
      <c r="K27" s="4" t="str">
        <f>IFERROR(__xludf.DUMMYFUNCTION("GOOGLETRANSLATE(B27,""en"",""zh"")"),"日常的")</f>
        <v>日常的</v>
      </c>
      <c r="L27" s="4" t="str">
        <f>IFERROR(__xludf.DUMMYFUNCTION("GOOGLETRANSLATE(B27,""en"",""es"")"),"A diario")</f>
        <v>A diario</v>
      </c>
      <c r="M27" s="4" t="str">
        <f>IFERROR(__xludf.DUMMYFUNCTION("GOOGLETRANSLATE(B27,""en"",""iw"")"),"יום יומי")</f>
        <v>יום יומי</v>
      </c>
      <c r="N27" s="4" t="str">
        <f>IFERROR(__xludf.DUMMYFUNCTION("GOOGLETRANSLATE(B27,""en"",""bn"")"),"দৈনিক")</f>
        <v>দৈনিক</v>
      </c>
      <c r="O27" s="4" t="str">
        <f>IFERROR(__xludf.DUMMYFUNCTION("GOOGLETRANSLATE(B27,""en"",""pt"")"),"Diário")</f>
        <v>Diário</v>
      </c>
      <c r="P27" s="6"/>
    </row>
    <row r="28">
      <c r="A28" s="7" t="s">
        <v>87</v>
      </c>
      <c r="B28" s="3" t="s">
        <v>88</v>
      </c>
      <c r="C28" s="4" t="str">
        <f>IFERROR(__xludf.DUMMYFUNCTION("GOOGLETRANSLATE(B28,""en"",""hi"")"),"किराये")</f>
        <v>किराये</v>
      </c>
      <c r="D28" s="6" t="s">
        <v>89</v>
      </c>
      <c r="E28" s="4" t="str">
        <f>IFERROR(__xludf.DUMMYFUNCTION("GOOGLETRANSLATE(B28,""en"",""fr"")"),"De location")</f>
        <v>De location</v>
      </c>
      <c r="F28" s="4" t="str">
        <f>IFERROR(__xludf.DUMMYFUNCTION("GOOGLETRANSLATE(B28,""en"",""tr"")"),"Kiralık")</f>
        <v>Kiralık</v>
      </c>
      <c r="G28" s="4" t="str">
        <f>IFERROR(__xludf.DUMMYFUNCTION("GOOGLETRANSLATE(B28,""en"",""ru"")"),"Аренда")</f>
        <v>Аренда</v>
      </c>
      <c r="H28" s="4" t="str">
        <f>IFERROR(__xludf.DUMMYFUNCTION("GOOGLETRANSLATE(B28,""en"",""it"")"),"Noleggio")</f>
        <v>Noleggio</v>
      </c>
      <c r="I28" s="4" t="str">
        <f>IFERROR(__xludf.DUMMYFUNCTION("GOOGLETRANSLATE(B28,""en"",""de"")"),"Vermietung")</f>
        <v>Vermietung</v>
      </c>
      <c r="J28" s="4" t="str">
        <f>IFERROR(__xludf.DUMMYFUNCTION("GOOGLETRANSLATE(B28,""en"",""ko"")"),"렌탈")</f>
        <v>렌탈</v>
      </c>
      <c r="K28" s="4" t="str">
        <f>IFERROR(__xludf.DUMMYFUNCTION("GOOGLETRANSLATE(B28,""en"",""zh"")"),"出租")</f>
        <v>出租</v>
      </c>
      <c r="L28" s="4" t="str">
        <f>IFERROR(__xludf.DUMMYFUNCTION("GOOGLETRANSLATE(B28,""en"",""es"")"),"Alquiler")</f>
        <v>Alquiler</v>
      </c>
      <c r="M28" s="4" t="str">
        <f>IFERROR(__xludf.DUMMYFUNCTION("GOOGLETRANSLATE(B28,""en"",""iw"")"),"השכרה")</f>
        <v>השכרה</v>
      </c>
      <c r="N28" s="4" t="str">
        <f>IFERROR(__xludf.DUMMYFUNCTION("GOOGLETRANSLATE(B28,""en"",""bn"")"),"ভাড়া")</f>
        <v>ভাড়া</v>
      </c>
      <c r="O28" s="4" t="str">
        <f>IFERROR(__xludf.DUMMYFUNCTION("GOOGLETRANSLATE(B28,""en"",""pt"")"),"Aluguel")</f>
        <v>Aluguel</v>
      </c>
      <c r="P28" s="6"/>
    </row>
    <row r="29">
      <c r="A29" s="7" t="s">
        <v>90</v>
      </c>
      <c r="B29" s="3" t="s">
        <v>91</v>
      </c>
      <c r="C29" s="4" t="str">
        <f>IFERROR(__xludf.DUMMYFUNCTION("GOOGLETRANSLATE(B29,""en"",""hi"")"),"खोज")</f>
        <v>खोज</v>
      </c>
      <c r="D29" s="6" t="s">
        <v>92</v>
      </c>
      <c r="E29" s="4" t="str">
        <f>IFERROR(__xludf.DUMMYFUNCTION("GOOGLETRANSLATE(B29,""en"",""fr"")"),"Recherche")</f>
        <v>Recherche</v>
      </c>
      <c r="F29" s="4" t="str">
        <f>IFERROR(__xludf.DUMMYFUNCTION("GOOGLETRANSLATE(B29,""en"",""tr"")"),"Aramak")</f>
        <v>Aramak</v>
      </c>
      <c r="G29" s="4" t="str">
        <f>IFERROR(__xludf.DUMMYFUNCTION("GOOGLETRANSLATE(B29,""en"",""ru"")"),"Поиск")</f>
        <v>Поиск</v>
      </c>
      <c r="H29" s="4" t="str">
        <f>IFERROR(__xludf.DUMMYFUNCTION("GOOGLETRANSLATE(B29,""en"",""it"")"),"Ricerca")</f>
        <v>Ricerca</v>
      </c>
      <c r="I29" s="4" t="str">
        <f>IFERROR(__xludf.DUMMYFUNCTION("GOOGLETRANSLATE(B29,""en"",""de"")"),"Suchen")</f>
        <v>Suchen</v>
      </c>
      <c r="J29" s="4" t="str">
        <f>IFERROR(__xludf.DUMMYFUNCTION("GOOGLETRANSLATE(B29,""en"",""ko"")"),"찾다")</f>
        <v>찾다</v>
      </c>
      <c r="K29" s="4" t="str">
        <f>IFERROR(__xludf.DUMMYFUNCTION("GOOGLETRANSLATE(B29,""en"",""zh"")"),"搜索")</f>
        <v>搜索</v>
      </c>
      <c r="L29" s="4" t="str">
        <f>IFERROR(__xludf.DUMMYFUNCTION("GOOGLETRANSLATE(B29,""en"",""es"")"),"Buscar")</f>
        <v>Buscar</v>
      </c>
      <c r="M29" s="4" t="str">
        <f>IFERROR(__xludf.DUMMYFUNCTION("GOOGLETRANSLATE(B29,""en"",""iw"")"),"לחפש")</f>
        <v>לחפש</v>
      </c>
      <c r="N29" s="4" t="str">
        <f>IFERROR(__xludf.DUMMYFUNCTION("GOOGLETRANSLATE(B29,""en"",""bn"")"),"অনুসন্ধান করুন")</f>
        <v>অনুসন্ধান করুন</v>
      </c>
      <c r="O29" s="4" t="str">
        <f>IFERROR(__xludf.DUMMYFUNCTION("GOOGLETRANSLATE(B29,""en"",""pt"")"),"Procurar")</f>
        <v>Procurar</v>
      </c>
      <c r="P29" s="6"/>
    </row>
    <row r="30">
      <c r="A30" s="7" t="s">
        <v>93</v>
      </c>
      <c r="B30" s="3" t="s">
        <v>94</v>
      </c>
      <c r="C30" s="4" t="str">
        <f>IFERROR(__xludf.DUMMYFUNCTION("GOOGLETRANSLATE(B30,""en"",""hi"")"),"उठाना")</f>
        <v>उठाना</v>
      </c>
      <c r="D30" s="6" t="s">
        <v>95</v>
      </c>
      <c r="E30" s="4" t="str">
        <f>IFERROR(__xludf.DUMMYFUNCTION("GOOGLETRANSLATE(B30,""en"",""fr"")"),"Ramasser")</f>
        <v>Ramasser</v>
      </c>
      <c r="F30" s="4" t="str">
        <f>IFERROR(__xludf.DUMMYFUNCTION("GOOGLETRANSLATE(B30,""en"",""tr"")"),"Toplamak")</f>
        <v>Toplamak</v>
      </c>
      <c r="G30" s="4" t="str">
        <f>IFERROR(__xludf.DUMMYFUNCTION("GOOGLETRANSLATE(B30,""en"",""ru"")"),"Подобрать")</f>
        <v>Подобрать</v>
      </c>
      <c r="H30" s="4" t="str">
        <f>IFERROR(__xludf.DUMMYFUNCTION("GOOGLETRANSLATE(B30,""en"",""it"")"),"Raccolta")</f>
        <v>Raccolta</v>
      </c>
      <c r="I30" s="4" t="str">
        <f>IFERROR(__xludf.DUMMYFUNCTION("GOOGLETRANSLATE(B30,""en"",""de"")"),"Abholen")</f>
        <v>Abholen</v>
      </c>
      <c r="J30" s="4" t="str">
        <f>IFERROR(__xludf.DUMMYFUNCTION("GOOGLETRANSLATE(B30,""en"",""ko"")"),"찾다")</f>
        <v>찾다</v>
      </c>
      <c r="K30" s="4" t="str">
        <f>IFERROR(__xludf.DUMMYFUNCTION("GOOGLETRANSLATE(B30,""en"",""zh"")"),"捡起")</f>
        <v>捡起</v>
      </c>
      <c r="L30" s="4" t="str">
        <f>IFERROR(__xludf.DUMMYFUNCTION("GOOGLETRANSLATE(B30,""en"",""es"")"),"Levantar")</f>
        <v>Levantar</v>
      </c>
      <c r="M30" s="4" t="str">
        <f>IFERROR(__xludf.DUMMYFUNCTION("GOOGLETRANSLATE(B30,""en"",""iw"")"),"לאסוף")</f>
        <v>לאסוף</v>
      </c>
      <c r="N30" s="4" t="str">
        <f>IFERROR(__xludf.DUMMYFUNCTION("GOOGLETRANSLATE(B30,""en"",""bn"")"),"পিক আপ")</f>
        <v>পিক আপ</v>
      </c>
      <c r="O30" s="4" t="str">
        <f>IFERROR(__xludf.DUMMYFUNCTION("GOOGLETRANSLATE(B30,""en"",""pt"")"),"Escolher")</f>
        <v>Escolher</v>
      </c>
      <c r="P30" s="6"/>
    </row>
    <row r="31">
      <c r="A31" s="7" t="s">
        <v>96</v>
      </c>
      <c r="B31" s="3" t="s">
        <v>97</v>
      </c>
      <c r="C31" s="4" t="str">
        <f>IFERROR(__xludf.DUMMYFUNCTION("GOOGLETRANSLATE(B31,""en"",""hi"")"),"पुष्टि करना")</f>
        <v>पुष्टि करना</v>
      </c>
      <c r="D31" s="6" t="s">
        <v>98</v>
      </c>
      <c r="E31" s="4" t="str">
        <f>IFERROR(__xludf.DUMMYFUNCTION("GOOGLETRANSLATE(B31,""en"",""fr"")"),"Confirmer")</f>
        <v>Confirmer</v>
      </c>
      <c r="F31" s="4" t="str">
        <f>IFERROR(__xludf.DUMMYFUNCTION("GOOGLETRANSLATE(B31,""en"",""tr"")"),"Onaylamak")</f>
        <v>Onaylamak</v>
      </c>
      <c r="G31" s="4" t="str">
        <f>IFERROR(__xludf.DUMMYFUNCTION("GOOGLETRANSLATE(B31,""en"",""ru"")"),"Подтверждать")</f>
        <v>Подтверждать</v>
      </c>
      <c r="H31" s="4" t="str">
        <f>IFERROR(__xludf.DUMMYFUNCTION("GOOGLETRANSLATE(B31,""en"",""it"")"),"Confermare")</f>
        <v>Confermare</v>
      </c>
      <c r="I31" s="4" t="str">
        <f>IFERROR(__xludf.DUMMYFUNCTION("GOOGLETRANSLATE(B31,""en"",""de"")"),"Bestätigen")</f>
        <v>Bestätigen</v>
      </c>
      <c r="J31" s="4" t="str">
        <f>IFERROR(__xludf.DUMMYFUNCTION("GOOGLETRANSLATE(B31,""en"",""ko"")"),"확인하다")</f>
        <v>확인하다</v>
      </c>
      <c r="K31" s="4" t="str">
        <f>IFERROR(__xludf.DUMMYFUNCTION("GOOGLETRANSLATE(B31,""en"",""zh"")"),"确认")</f>
        <v>确认</v>
      </c>
      <c r="L31" s="4" t="str">
        <f>IFERROR(__xludf.DUMMYFUNCTION("GOOGLETRANSLATE(B31,""en"",""es"")"),"Confirmar")</f>
        <v>Confirmar</v>
      </c>
      <c r="M31" s="4" t="str">
        <f>IFERROR(__xludf.DUMMYFUNCTION("GOOGLETRANSLATE(B31,""en"",""iw"")"),"לְאַשֵׁר")</f>
        <v>לְאַשֵׁר</v>
      </c>
      <c r="N31" s="4" t="str">
        <f>IFERROR(__xludf.DUMMYFUNCTION("GOOGLETRANSLATE(B31,""en"",""bn"")"),"নিশ্চিত করুন")</f>
        <v>নিশ্চিত করুন</v>
      </c>
      <c r="O31" s="4" t="str">
        <f>IFERROR(__xludf.DUMMYFUNCTION("GOOGLETRANSLATE(B31,""en"",""pt"")"),"confirme")</f>
        <v>confirme</v>
      </c>
      <c r="P31" s="6"/>
    </row>
    <row r="32">
      <c r="A32" s="7" t="s">
        <v>99</v>
      </c>
      <c r="B32" s="3" t="s">
        <v>100</v>
      </c>
      <c r="C32" s="4" t="str">
        <f>IFERROR(__xludf.DUMMYFUNCTION("GOOGLETRANSLATE(B32,""en"",""hi"")"),"पसंदीदा")</f>
        <v>पसंदीदा</v>
      </c>
      <c r="D32" s="6" t="s">
        <v>101</v>
      </c>
      <c r="E32" s="4" t="str">
        <f>IFERROR(__xludf.DUMMYFUNCTION("GOOGLETRANSLATE(B32,""en"",""fr"")"),"Favoris")</f>
        <v>Favoris</v>
      </c>
      <c r="F32" s="4" t="str">
        <f>IFERROR(__xludf.DUMMYFUNCTION("GOOGLETRANSLATE(B32,""en"",""tr"")"),"Favoriler")</f>
        <v>Favoriler</v>
      </c>
      <c r="G32" s="4" t="str">
        <f>IFERROR(__xludf.DUMMYFUNCTION("GOOGLETRANSLATE(B32,""en"",""ru"")"),"Избранное")</f>
        <v>Избранное</v>
      </c>
      <c r="H32" s="4" t="str">
        <f>IFERROR(__xludf.DUMMYFUNCTION("GOOGLETRANSLATE(B32,""en"",""it"")"),"Preferiti")</f>
        <v>Preferiti</v>
      </c>
      <c r="I32" s="4" t="str">
        <f>IFERROR(__xludf.DUMMYFUNCTION("GOOGLETRANSLATE(B32,""en"",""de"")"),"Favoriten")</f>
        <v>Favoriten</v>
      </c>
      <c r="J32" s="4" t="str">
        <f>IFERROR(__xludf.DUMMYFUNCTION("GOOGLETRANSLATE(B32,""en"",""ko"")"),"즐겨찾기")</f>
        <v>즐겨찾기</v>
      </c>
      <c r="K32" s="4" t="str">
        <f>IFERROR(__xludf.DUMMYFUNCTION("GOOGLETRANSLATE(B32,""en"",""zh"")"),"收藏夹")</f>
        <v>收藏夹</v>
      </c>
      <c r="L32" s="4" t="str">
        <f>IFERROR(__xludf.DUMMYFUNCTION("GOOGLETRANSLATE(B32,""en"",""es"")"),"Favoritos")</f>
        <v>Favoritos</v>
      </c>
      <c r="M32" s="4" t="str">
        <f>IFERROR(__xludf.DUMMYFUNCTION("GOOGLETRANSLATE(B32,""en"",""iw"")"),"מועדפים")</f>
        <v>מועדפים</v>
      </c>
      <c r="N32" s="4" t="str">
        <f>IFERROR(__xludf.DUMMYFUNCTION("GOOGLETRANSLATE(B32,""en"",""bn"")"),"প্রিয়")</f>
        <v>প্রিয়</v>
      </c>
      <c r="O32" s="4" t="str">
        <f>IFERROR(__xludf.DUMMYFUNCTION("GOOGLETRANSLATE(B32,""en"",""pt"")"),"Favoritos")</f>
        <v>Favoritos</v>
      </c>
      <c r="P32" s="6"/>
    </row>
    <row r="33">
      <c r="A33" s="7" t="s">
        <v>102</v>
      </c>
      <c r="B33" s="3" t="s">
        <v>103</v>
      </c>
      <c r="C33" s="4" t="str">
        <f>IFERROR(__xludf.DUMMYFUNCTION("GOOGLETRANSLATE(B33,""en"",""hi"")"),"स्पष्ट")</f>
        <v>स्पष्ट</v>
      </c>
      <c r="D33" s="6" t="s">
        <v>104</v>
      </c>
      <c r="E33" s="4" t="str">
        <f>IFERROR(__xludf.DUMMYFUNCTION("GOOGLETRANSLATE(B33,""en"",""fr"")"),"Clair")</f>
        <v>Clair</v>
      </c>
      <c r="F33" s="4" t="str">
        <f>IFERROR(__xludf.DUMMYFUNCTION("GOOGLETRANSLATE(B33,""en"",""tr"")"),"Temizlemek")</f>
        <v>Temizlemek</v>
      </c>
      <c r="G33" s="4" t="str">
        <f>IFERROR(__xludf.DUMMYFUNCTION("GOOGLETRANSLATE(B33,""en"",""ru"")"),"Прозрачный")</f>
        <v>Прозрачный</v>
      </c>
      <c r="H33" s="4" t="str">
        <f>IFERROR(__xludf.DUMMYFUNCTION("GOOGLETRANSLATE(B33,""en"",""it"")"),"Chiaro")</f>
        <v>Chiaro</v>
      </c>
      <c r="I33" s="4" t="str">
        <f>IFERROR(__xludf.DUMMYFUNCTION("GOOGLETRANSLATE(B33,""en"",""de"")"),"Klar")</f>
        <v>Klar</v>
      </c>
      <c r="J33" s="4" t="str">
        <f>IFERROR(__xludf.DUMMYFUNCTION("GOOGLETRANSLATE(B33,""en"",""ko"")"),"분명한")</f>
        <v>분명한</v>
      </c>
      <c r="K33" s="4" t="str">
        <f>IFERROR(__xludf.DUMMYFUNCTION("GOOGLETRANSLATE(B33,""en"",""zh"")"),"清除")</f>
        <v>清除</v>
      </c>
      <c r="L33" s="4" t="str">
        <f>IFERROR(__xludf.DUMMYFUNCTION("GOOGLETRANSLATE(B33,""en"",""es"")"),"Claro")</f>
        <v>Claro</v>
      </c>
      <c r="M33" s="4" t="str">
        <f>IFERROR(__xludf.DUMMYFUNCTION("GOOGLETRANSLATE(B33,""en"",""iw"")"),"ברור")</f>
        <v>ברור</v>
      </c>
      <c r="N33" s="4" t="str">
        <f>IFERROR(__xludf.DUMMYFUNCTION("GOOGLETRANSLATE(B33,""en"",""bn"")"),"পরিষ্কার")</f>
        <v>পরিষ্কার</v>
      </c>
      <c r="O33" s="4" t="str">
        <f>IFERROR(__xludf.DUMMYFUNCTION("GOOGLETRANSLATE(B33,""en"",""pt"")"),"Claro")</f>
        <v>Claro</v>
      </c>
      <c r="P33" s="6"/>
    </row>
    <row r="34">
      <c r="A34" s="7" t="s">
        <v>105</v>
      </c>
      <c r="B34" s="3" t="s">
        <v>106</v>
      </c>
      <c r="C34" s="4" t="str">
        <f>IFERROR(__xludf.DUMMYFUNCTION("GOOGLETRANSLATE(B34,""en"",""hi"")"),"यह किस प्रकार का वाहन है?")</f>
        <v>यह किस प्रकार का वाहन है?</v>
      </c>
      <c r="D34" s="6" t="s">
        <v>107</v>
      </c>
      <c r="E34" s="4" t="str">
        <f>IFERROR(__xludf.DUMMYFUNCTION("GOOGLETRANSLATE(B34,""en"",""fr"")"),"De quelle marque est le véhicule ?")</f>
        <v>De quelle marque est le véhicule ?</v>
      </c>
      <c r="F34" s="4" t="str">
        <f>IFERROR(__xludf.DUMMYFUNCTION("GOOGLETRANSLATE(B34,""en"",""tr"")"),"Ne marka araç bu?")</f>
        <v>Ne marka araç bu?</v>
      </c>
      <c r="G34" s="4" t="str">
        <f>IFERROR(__xludf.DUMMYFUNCTION("GOOGLETRANSLATE(B34,""en"",""ru"")"),"Какая это марка автомобиля?")</f>
        <v>Какая это марка автомобиля?</v>
      </c>
      <c r="H34" s="4" t="str">
        <f>IFERROR(__xludf.DUMMYFUNCTION("GOOGLETRANSLATE(B34,""en"",""it"")"),"Di che marca è il veicolo?")</f>
        <v>Di che marca è il veicolo?</v>
      </c>
      <c r="I34" s="4" t="str">
        <f>IFERROR(__xludf.DUMMYFUNCTION("GOOGLETRANSLATE(B34,""en"",""de"")"),"Um welche Fahrzeugmarke handelt es sich?")</f>
        <v>Um welche Fahrzeugmarke handelt es sich?</v>
      </c>
      <c r="J34" s="4" t="str">
        <f>IFERROR(__xludf.DUMMYFUNCTION("GOOGLETRANSLATE(B34,""en"",""ko"")"),"어떤 브랜드의 차량인가요?")</f>
        <v>어떤 브랜드의 차량인가요?</v>
      </c>
      <c r="K34" s="4" t="str">
        <f>IFERROR(__xludf.DUMMYFUNCTION("GOOGLETRANSLATE(B34,""en"",""zh"")"),"它是什么品牌的车辆？")</f>
        <v>它是什么品牌的车辆？</v>
      </c>
      <c r="L34" s="4" t="str">
        <f>IFERROR(__xludf.DUMMYFUNCTION("GOOGLETRANSLATE(B34,""en"",""es"")"),"¿Qué marca de vehículo es?")</f>
        <v>¿Qué marca de vehículo es?</v>
      </c>
      <c r="M34" s="4" t="str">
        <f>IFERROR(__xludf.DUMMYFUNCTION("GOOGLETRANSLATE(B34,""en"",""iw"")"),"באיזה יצרן רכב מדובר?")</f>
        <v>באיזה יצרן רכב מדובר?</v>
      </c>
      <c r="N34" s="4" t="str">
        <f>IFERROR(__xludf.DUMMYFUNCTION("GOOGLETRANSLATE(B34,""en"",""bn"")"),"এটা কি যানবাহন তৈরি?")</f>
        <v>এটা কি যানবাহন তৈরি?</v>
      </c>
      <c r="O34" s="4" t="str">
        <f>IFERROR(__xludf.DUMMYFUNCTION("GOOGLETRANSLATE(B34,""en"",""pt"")"),"Qual é a marca do veículo?")</f>
        <v>Qual é a marca do veículo?</v>
      </c>
      <c r="P34" s="6"/>
    </row>
    <row r="35">
      <c r="A35" s="7" t="s">
        <v>108</v>
      </c>
      <c r="B35" s="3" t="s">
        <v>109</v>
      </c>
      <c r="C35" s="4" t="str">
        <f>IFERROR(__xludf.DUMMYFUNCTION("GOOGLETRANSLATE(B35,""en"",""hi"")"),"जारी रखना")</f>
        <v>जारी रखना</v>
      </c>
      <c r="D35" s="6" t="s">
        <v>110</v>
      </c>
      <c r="E35" s="4" t="str">
        <f>IFERROR(__xludf.DUMMYFUNCTION("GOOGLETRANSLATE(B35,""en"",""fr"")"),"Continuer")</f>
        <v>Continuer</v>
      </c>
      <c r="F35" s="4" t="str">
        <f>IFERROR(__xludf.DUMMYFUNCTION("GOOGLETRANSLATE(B35,""en"",""tr"")"),"Devam etmek")</f>
        <v>Devam etmek</v>
      </c>
      <c r="G35" s="4" t="str">
        <f>IFERROR(__xludf.DUMMYFUNCTION("GOOGLETRANSLATE(B35,""en"",""ru"")"),"Продолжать")</f>
        <v>Продолжать</v>
      </c>
      <c r="H35" s="4" t="str">
        <f>IFERROR(__xludf.DUMMYFUNCTION("GOOGLETRANSLATE(B35,""en"",""it"")"),"Continua")</f>
        <v>Continua</v>
      </c>
      <c r="I35" s="4" t="str">
        <f>IFERROR(__xludf.DUMMYFUNCTION("GOOGLETRANSLATE(B35,""en"",""de"")"),"Weitermachen")</f>
        <v>Weitermachen</v>
      </c>
      <c r="J35" s="4" t="str">
        <f>IFERROR(__xludf.DUMMYFUNCTION("GOOGLETRANSLATE(B35,""en"",""ko"")"),"계속하다")</f>
        <v>계속하다</v>
      </c>
      <c r="K35" s="4" t="str">
        <f>IFERROR(__xludf.DUMMYFUNCTION("GOOGLETRANSLATE(B35,""en"",""zh"")"),"继续")</f>
        <v>继续</v>
      </c>
      <c r="L35" s="4" t="str">
        <f>IFERROR(__xludf.DUMMYFUNCTION("GOOGLETRANSLATE(B35,""en"",""es"")"),"Continuar")</f>
        <v>Continuar</v>
      </c>
      <c r="M35" s="4" t="str">
        <f>IFERROR(__xludf.DUMMYFUNCTION("GOOGLETRANSLATE(B35,""en"",""iw"")"),"לְהַמשִׁיך")</f>
        <v>לְהַמשִׁיך</v>
      </c>
      <c r="N35" s="4" t="str">
        <f>IFERROR(__xludf.DUMMYFUNCTION("GOOGLETRANSLATE(B35,""en"",""bn"")"),"চালিয়ে যান")</f>
        <v>চালিয়ে যান</v>
      </c>
      <c r="O35" s="4" t="str">
        <f>IFERROR(__xludf.DUMMYFUNCTION("GOOGLETRANSLATE(B35,""en"",""pt"")"),"Continuar")</f>
        <v>Continuar</v>
      </c>
      <c r="P35" s="6"/>
    </row>
    <row r="36">
      <c r="A36" s="7" t="s">
        <v>111</v>
      </c>
      <c r="B36" s="3" t="s">
        <v>112</v>
      </c>
      <c r="C36" s="4" t="str">
        <f>IFERROR(__xludf.DUMMYFUNCTION("GOOGLETRANSLATE(B36,""en"",""hi"")"),"यह किस मॉडल का वाहन है?")</f>
        <v>यह किस मॉडल का वाहन है?</v>
      </c>
      <c r="D36" s="6" t="s">
        <v>113</v>
      </c>
      <c r="E36" s="4" t="str">
        <f>IFERROR(__xludf.DUMMYFUNCTION("GOOGLETRANSLATE(B36,""en"",""fr"")"),"De quel modèle de véhicule s'agit-il ?")</f>
        <v>De quel modèle de véhicule s'agit-il ?</v>
      </c>
      <c r="F36" s="4" t="str">
        <f>IFERROR(__xludf.DUMMYFUNCTION("GOOGLETRANSLATE(B36,""en"",""tr"")"),"Aracın modeli nedir?")</f>
        <v>Aracın modeli nedir?</v>
      </c>
      <c r="G36" s="4" t="str">
        <f>IFERROR(__xludf.DUMMYFUNCTION("GOOGLETRANSLATE(B36,""en"",""ru"")"),"Какая это модель автомобиля?")</f>
        <v>Какая это модель автомобиля?</v>
      </c>
      <c r="H36" s="4" t="str">
        <f>IFERROR(__xludf.DUMMYFUNCTION("GOOGLETRANSLATE(B36,""en"",""it"")"),"Che modello di veicolo è?")</f>
        <v>Che modello di veicolo è?</v>
      </c>
      <c r="I36" s="4" t="str">
        <f>IFERROR(__xludf.DUMMYFUNCTION("GOOGLETRANSLATE(B36,""en"",""de"")"),"Um welches Fahrzeugmodell handelt es sich?")</f>
        <v>Um welches Fahrzeugmodell handelt es sich?</v>
      </c>
      <c r="J36" s="4" t="str">
        <f>IFERROR(__xludf.DUMMYFUNCTION("GOOGLETRANSLATE(B36,""en"",""ko"")"),"어떤 모델의 차량인가요?")</f>
        <v>어떤 모델의 차량인가요?</v>
      </c>
      <c r="K36" s="4" t="str">
        <f>IFERROR(__xludf.DUMMYFUNCTION("GOOGLETRANSLATE(B36,""en"",""zh"")"),"车辆是什么型号？")</f>
        <v>车辆是什么型号？</v>
      </c>
      <c r="L36" s="4" t="str">
        <f>IFERROR(__xludf.DUMMYFUNCTION("GOOGLETRANSLATE(B36,""en"",""es"")"),"¿Qué modelo de vehículo es?")</f>
        <v>¿Qué modelo de vehículo es?</v>
      </c>
      <c r="M36" s="4" t="str">
        <f>IFERROR(__xludf.DUMMYFUNCTION("GOOGLETRANSLATE(B36,""en"",""iw"")"),"באיזה דגם רכב מדובר?")</f>
        <v>באיזה דגם רכב מדובר?</v>
      </c>
      <c r="N36" s="4" t="str">
        <f>IFERROR(__xludf.DUMMYFUNCTION("GOOGLETRANSLATE(B36,""en"",""bn"")"),"এটা কি গাড়ির মডেল?")</f>
        <v>এটা কি গাড়ির মডেল?</v>
      </c>
      <c r="O36" s="4" t="str">
        <f>IFERROR(__xludf.DUMMYFUNCTION("GOOGLETRANSLATE(B36,""en"",""pt"")"),"Qual é o modelo do veículo?")</f>
        <v>Qual é o modelo do veículo?</v>
      </c>
      <c r="P36" s="6"/>
    </row>
    <row r="37">
      <c r="A37" s="7" t="s">
        <v>114</v>
      </c>
      <c r="B37" s="3" t="s">
        <v>115</v>
      </c>
      <c r="C37" s="4" t="str">
        <f>IFERROR(__xludf.DUMMYFUNCTION("GOOGLETRANSLATE(B37,""en"",""hi"")"),"आप किस सेवा स्थान पर पंजीकरण कराना चाहते हैं?")</f>
        <v>आप किस सेवा स्थान पर पंजीकरण कराना चाहते हैं?</v>
      </c>
      <c r="D37" s="6" t="s">
        <v>116</v>
      </c>
      <c r="E37" s="4" t="str">
        <f>IFERROR(__xludf.DUMMYFUNCTION("GOOGLETRANSLATE(B37,""en"",""fr"")"),"Quel emplacement de service souhaitez-vous inscrire ?")</f>
        <v>Quel emplacement de service souhaitez-vous inscrire ?</v>
      </c>
      <c r="F37" s="4" t="str">
        <f>IFERROR(__xludf.DUMMYFUNCTION("GOOGLETRANSLATE(B37,""en"",""tr"")"),"Hangi hizmet konumunu kaydetmek istiyorsunuz?")</f>
        <v>Hangi hizmet konumunu kaydetmek istiyorsunuz?</v>
      </c>
      <c r="G37" s="4" t="str">
        <f>IFERROR(__xludf.DUMMYFUNCTION("GOOGLETRANSLATE(B37,""en"",""ru"")"),"В каком сервисном центре вы хотите зарегистрировать?")</f>
        <v>В каком сервисном центре вы хотите зарегистрировать?</v>
      </c>
      <c r="H37" s="4" t="str">
        <f>IFERROR(__xludf.DUMMYFUNCTION("GOOGLETRANSLATE(B37,""en"",""it"")"),"Quale sede del servizio desideri registrare?")</f>
        <v>Quale sede del servizio desideri registrare?</v>
      </c>
      <c r="I37" s="4" t="str">
        <f>IFERROR(__xludf.DUMMYFUNCTION("GOOGLETRANSLATE(B37,""en"",""de"")"),"Welchen Servicestandort möchten Sie registrieren?")</f>
        <v>Welchen Servicestandort möchten Sie registrieren?</v>
      </c>
      <c r="J37" s="4" t="str">
        <f>IFERROR(__xludf.DUMMYFUNCTION("GOOGLETRANSLATE(B37,""en"",""ko"")"),"어떤 서비스 위치를 등록하시겠습니까?")</f>
        <v>어떤 서비스 위치를 등록하시겠습니까?</v>
      </c>
      <c r="K37" s="4" t="str">
        <f>IFERROR(__xludf.DUMMYFUNCTION("GOOGLETRANSLATE(B37,""en"",""zh"")"),"您想注册哪个服务地点？")</f>
        <v>您想注册哪个服务地点？</v>
      </c>
      <c r="L37" s="4" t="str">
        <f>IFERROR(__xludf.DUMMYFUNCTION("GOOGLETRANSLATE(B37,""en"",""es"")"),"¿Qué ubicación de servicio desea registrar?")</f>
        <v>¿Qué ubicación de servicio desea registrar?</v>
      </c>
      <c r="M37" s="4" t="str">
        <f>IFERROR(__xludf.DUMMYFUNCTION("GOOGLETRANSLATE(B37,""en"",""iw"")"),"באיזה מיקום שירות אתה רוצה לרשום?")</f>
        <v>באיזה מיקום שירות אתה רוצה לרשום?</v>
      </c>
      <c r="N37" s="4" t="str">
        <f>IFERROR(__xludf.DUMMYFUNCTION("GOOGLETRANSLATE(B37,""en"",""bn"")"),"আপনি কোন পরিষেবা অবস্থান নিবন্ধন করতে চান?")</f>
        <v>আপনি কোন পরিষেবা অবস্থান নিবন্ধন করতে চান?</v>
      </c>
      <c r="O37" s="4" t="str">
        <f>IFERROR(__xludf.DUMMYFUNCTION("GOOGLETRANSLATE(B37,""en"",""pt"")"),"Qual local de atendimento você deseja cadastrar?")</f>
        <v>Qual local de atendimento você deseja cadastrar?</v>
      </c>
      <c r="P37" s="6"/>
    </row>
    <row r="38">
      <c r="A38" s="7" t="s">
        <v>117</v>
      </c>
      <c r="B38" s="3" t="s">
        <v>118</v>
      </c>
      <c r="C38" s="4" t="str">
        <f>IFERROR(__xludf.DUMMYFUNCTION("GOOGLETRANSLATE(B38,""en"",""hi"")"),"यह किस प्रकार का वाहन है?")</f>
        <v>यह किस प्रकार का वाहन है?</v>
      </c>
      <c r="D38" s="6" t="s">
        <v>119</v>
      </c>
      <c r="E38" s="4" t="str">
        <f>IFERROR(__xludf.DUMMYFUNCTION("GOOGLETRANSLATE(B38,""en"",""fr"")"),"De quel type de véhicule s'agit-il ?")</f>
        <v>De quel type de véhicule s'agit-il ?</v>
      </c>
      <c r="F38" s="4" t="str">
        <f>IFERROR(__xludf.DUMMYFUNCTION("GOOGLETRANSLATE(B38,""en"",""tr"")"),"Ne tür bir araç?")</f>
        <v>Ne tür bir araç?</v>
      </c>
      <c r="G38" s="4" t="str">
        <f>IFERROR(__xludf.DUMMYFUNCTION("GOOGLETRANSLATE(B38,""en"",""ru"")"),"Что это за транспортное средство?")</f>
        <v>Что это за транспортное средство?</v>
      </c>
      <c r="H38" s="4" t="str">
        <f>IFERROR(__xludf.DUMMYFUNCTION("GOOGLETRANSLATE(B38,""en"",""it"")"),"Che tipo di veicolo è?")</f>
        <v>Che tipo di veicolo è?</v>
      </c>
      <c r="I38" s="4" t="str">
        <f>IFERROR(__xludf.DUMMYFUNCTION("GOOGLETRANSLATE(B38,""en"",""de"")"),"Um welchen Fahrzeugtyp handelt es sich?")</f>
        <v>Um welchen Fahrzeugtyp handelt es sich?</v>
      </c>
      <c r="J38" s="4" t="str">
        <f>IFERROR(__xludf.DUMMYFUNCTION("GOOGLETRANSLATE(B38,""en"",""ko"")"),"어떤 종류의 차량인가요?")</f>
        <v>어떤 종류의 차량인가요?</v>
      </c>
      <c r="K38" s="4" t="str">
        <f>IFERROR(__xludf.DUMMYFUNCTION("GOOGLETRANSLATE(B38,""en"",""zh"")"),"它是什么类型的车辆？")</f>
        <v>它是什么类型的车辆？</v>
      </c>
      <c r="L38" s="4" t="str">
        <f>IFERROR(__xludf.DUMMYFUNCTION("GOOGLETRANSLATE(B38,""en"",""es"")"),"¿Qué tipo de vehículo es?")</f>
        <v>¿Qué tipo de vehículo es?</v>
      </c>
      <c r="M38" s="4" t="str">
        <f>IFERROR(__xludf.DUMMYFUNCTION("GOOGLETRANSLATE(B38,""en"",""iw"")"),"באיזה סוג רכב מדובר?")</f>
        <v>באיזה סוג רכב מדובר?</v>
      </c>
      <c r="N38" s="4" t="str">
        <f>IFERROR(__xludf.DUMMYFUNCTION("GOOGLETRANSLATE(B38,""en"",""bn"")"),"এটা কি ধরনের যানবাহন?")</f>
        <v>এটা কি ধরনের যানবাহন?</v>
      </c>
      <c r="O38" s="4" t="str">
        <f>IFERROR(__xludf.DUMMYFUNCTION("GOOGLETRANSLATE(B38,""en"",""pt"")"),"Que tipo de veículo é?")</f>
        <v>Que tipo de veículo é?</v>
      </c>
      <c r="P38" s="6"/>
    </row>
    <row r="39">
      <c r="A39" s="7" t="s">
        <v>120</v>
      </c>
      <c r="B39" s="3" t="s">
        <v>121</v>
      </c>
      <c r="C39" s="4" t="str">
        <f>IFERROR(__xludf.DUMMYFUNCTION("GOOGLETRANSLATE(B39,""en"",""hi"")"),"यह किस रंग का वाहन है?")</f>
        <v>यह किस रंग का वाहन है?</v>
      </c>
      <c r="D39" s="6" t="s">
        <v>122</v>
      </c>
      <c r="E39" s="4" t="str">
        <f>IFERROR(__xludf.DUMMYFUNCTION("GOOGLETRANSLATE(B39,""en"",""fr"")"),"De quelle couleur est le véhicule ?")</f>
        <v>De quelle couleur est le véhicule ?</v>
      </c>
      <c r="F39" s="4" t="str">
        <f>IFERROR(__xludf.DUMMYFUNCTION("GOOGLETRANSLATE(B39,""en"",""tr"")"),"Araç ne renk?")</f>
        <v>Araç ne renk?</v>
      </c>
      <c r="G39" s="4" t="str">
        <f>IFERROR(__xludf.DUMMYFUNCTION("GOOGLETRANSLATE(B39,""en"",""ru"")"),"Какого цвета автомобиль?")</f>
        <v>Какого цвета автомобиль?</v>
      </c>
      <c r="H39" s="4" t="str">
        <f>IFERROR(__xludf.DUMMYFUNCTION("GOOGLETRANSLATE(B39,""en"",""it"")"),"Di che colore è il veicolo?")</f>
        <v>Di che colore è il veicolo?</v>
      </c>
      <c r="I39" s="4" t="str">
        <f>IFERROR(__xludf.DUMMYFUNCTION("GOOGLETRANSLATE(B39,""en"",""de"")"),"Welche Farbe hat das Fahrzeug?")</f>
        <v>Welche Farbe hat das Fahrzeug?</v>
      </c>
      <c r="J39" s="4" t="str">
        <f>IFERROR(__xludf.DUMMYFUNCTION("GOOGLETRANSLATE(B39,""en"",""ko"")"),"어떤 색상의 차량인가요?")</f>
        <v>어떤 색상의 차량인가요?</v>
      </c>
      <c r="K39" s="4" t="str">
        <f>IFERROR(__xludf.DUMMYFUNCTION("GOOGLETRANSLATE(B39,""en"",""zh"")"),"车辆是什么颜色的？")</f>
        <v>车辆是什么颜色的？</v>
      </c>
      <c r="L39" s="4" t="str">
        <f>IFERROR(__xludf.DUMMYFUNCTION("GOOGLETRANSLATE(B39,""en"",""es"")"),"¿De qué color es el vehículo?")</f>
        <v>¿De qué color es el vehículo?</v>
      </c>
      <c r="M39" s="4" t="str">
        <f>IFERROR(__xludf.DUMMYFUNCTION("GOOGLETRANSLATE(B39,""en"",""iw"")"),"באיזה צבע רכב זה?")</f>
        <v>באיזה צבע רכב זה?</v>
      </c>
      <c r="N39" s="4" t="str">
        <f>IFERROR(__xludf.DUMMYFUNCTION("GOOGLETRANSLATE(B39,""en"",""bn"")"),"গাড়ির রং কি?")</f>
        <v>গাড়ির রং কি?</v>
      </c>
      <c r="O39" s="4" t="str">
        <f>IFERROR(__xludf.DUMMYFUNCTION("GOOGLETRANSLATE(B39,""en"",""pt"")"),"Qual é a cor do veículo?")</f>
        <v>Qual é a cor do veículo?</v>
      </c>
      <c r="P39" s="6"/>
    </row>
    <row r="40">
      <c r="A40" s="7" t="s">
        <v>123</v>
      </c>
      <c r="B40" s="3" t="s">
        <v>124</v>
      </c>
      <c r="C40" s="4" t="str">
        <f>IFERROR(__xludf.DUMMYFUNCTION("GOOGLETRANSLATE(B40,""en"",""hi"")"),"गाडी नंबर")</f>
        <v>गाडी नंबर</v>
      </c>
      <c r="D40" s="6" t="s">
        <v>125</v>
      </c>
      <c r="E40" s="4" t="str">
        <f>IFERROR(__xludf.DUMMYFUNCTION("GOOGLETRANSLATE(B40,""en"",""fr"")"),"Numéro de véhicule")</f>
        <v>Numéro de véhicule</v>
      </c>
      <c r="F40" s="4" t="str">
        <f>IFERROR(__xludf.DUMMYFUNCTION("GOOGLETRANSLATE(B40,""en"",""tr"")"),"Araç numarası")</f>
        <v>Araç numarası</v>
      </c>
      <c r="G40" s="4" t="str">
        <f>IFERROR(__xludf.DUMMYFUNCTION("GOOGLETRANSLATE(B40,""en"",""ru"")"),"Номер автомобиля")</f>
        <v>Номер автомобиля</v>
      </c>
      <c r="H40" s="4" t="str">
        <f>IFERROR(__xludf.DUMMYFUNCTION("GOOGLETRANSLATE(B40,""en"",""it"")"),"Numero del veicolo")</f>
        <v>Numero del veicolo</v>
      </c>
      <c r="I40" s="4" t="str">
        <f>IFERROR(__xludf.DUMMYFUNCTION("GOOGLETRANSLATE(B40,""en"",""de"")"),"Fahrzeugnummer")</f>
        <v>Fahrzeugnummer</v>
      </c>
      <c r="J40" s="4" t="str">
        <f>IFERROR(__xludf.DUMMYFUNCTION("GOOGLETRANSLATE(B40,""en"",""ko"")"),"차량번호")</f>
        <v>차량번호</v>
      </c>
      <c r="K40" s="4" t="str">
        <f>IFERROR(__xludf.DUMMYFUNCTION("GOOGLETRANSLATE(B40,""en"",""zh"")"),"车辆号码")</f>
        <v>车辆号码</v>
      </c>
      <c r="L40" s="4" t="str">
        <f>IFERROR(__xludf.DUMMYFUNCTION("GOOGLETRANSLATE(B40,""en"",""es"")"),"Número de vehículo")</f>
        <v>Número de vehículo</v>
      </c>
      <c r="M40" s="4" t="str">
        <f>IFERROR(__xludf.DUMMYFUNCTION("GOOGLETRANSLATE(B40,""en"",""iw"")"),"מספר רכב")</f>
        <v>מספר רכב</v>
      </c>
      <c r="N40" s="4" t="str">
        <f>IFERROR(__xludf.DUMMYFUNCTION("GOOGLETRANSLATE(B40,""en"",""bn"")"),"গাড়ির নম্বর")</f>
        <v>গাড়ির নম্বর</v>
      </c>
      <c r="O40" s="4" t="str">
        <f>IFERROR(__xludf.DUMMYFUNCTION("GOOGLETRANSLATE(B40,""en"",""pt"")"),"Número do veículo")</f>
        <v>Número do veículo</v>
      </c>
      <c r="P40" s="6"/>
    </row>
    <row r="41">
      <c r="A41" s="7" t="s">
        <v>126</v>
      </c>
      <c r="B41" s="3" t="s">
        <v>127</v>
      </c>
      <c r="C41" s="4" t="str">
        <f>IFERROR(__xludf.DUMMYFUNCTION("GOOGLETRANSLATE(B41,""en"",""hi"")"),"अपना वाहन नंबर दर्ज करें")</f>
        <v>अपना वाहन नंबर दर्ज करें</v>
      </c>
      <c r="D41" s="6" t="s">
        <v>128</v>
      </c>
      <c r="E41" s="4" t="str">
        <f>IFERROR(__xludf.DUMMYFUNCTION("GOOGLETRANSLATE(B41,""en"",""fr"")"),"Entrez votre numéro de véhicule")</f>
        <v>Entrez votre numéro de véhicule</v>
      </c>
      <c r="F41" s="4" t="str">
        <f>IFERROR(__xludf.DUMMYFUNCTION("GOOGLETRANSLATE(B41,""en"",""tr"")"),"Araç Numaranızı Girin")</f>
        <v>Araç Numaranızı Girin</v>
      </c>
      <c r="G41" s="4" t="str">
        <f>IFERROR(__xludf.DUMMYFUNCTION("GOOGLETRANSLATE(B41,""en"",""ru"")"),"Введите номер вашего автомобиля")</f>
        <v>Введите номер вашего автомобиля</v>
      </c>
      <c r="H41" s="4" t="str">
        <f>IFERROR(__xludf.DUMMYFUNCTION("GOOGLETRANSLATE(B41,""en"",""it"")"),"Inserisci il numero del tuo veicolo")</f>
        <v>Inserisci il numero del tuo veicolo</v>
      </c>
      <c r="I41" s="4" t="str">
        <f>IFERROR(__xludf.DUMMYFUNCTION("GOOGLETRANSLATE(B41,""en"",""de"")"),"Geben Sie Ihre Fahrzeugnummer ein")</f>
        <v>Geben Sie Ihre Fahrzeugnummer ein</v>
      </c>
      <c r="J41" s="4" t="str">
        <f>IFERROR(__xludf.DUMMYFUNCTION("GOOGLETRANSLATE(B41,""en"",""ko"")"),"차량 번호를 입력하세요")</f>
        <v>차량 번호를 입력하세요</v>
      </c>
      <c r="K41" s="4" t="str">
        <f>IFERROR(__xludf.DUMMYFUNCTION("GOOGLETRANSLATE(B41,""en"",""zh"")"),"输入您的车号")</f>
        <v>输入您的车号</v>
      </c>
      <c r="L41" s="4" t="str">
        <f>IFERROR(__xludf.DUMMYFUNCTION("GOOGLETRANSLATE(B41,""en"",""es"")"),"Ingrese su número de vehículo")</f>
        <v>Ingrese su número de vehículo</v>
      </c>
      <c r="M41" s="4" t="str">
        <f>IFERROR(__xludf.DUMMYFUNCTION("GOOGLETRANSLATE(B41,""en"",""iw"")"),"הזן את מספר הרכב שלך")</f>
        <v>הזן את מספר הרכב שלך</v>
      </c>
      <c r="N41" s="4" t="str">
        <f>IFERROR(__xludf.DUMMYFUNCTION("GOOGLETRANSLATE(B41,""en"",""bn"")"),"আপনার গাড়ির নম্বর লিখুন")</f>
        <v>আপনার গাড়ির নম্বর লিখুন</v>
      </c>
      <c r="O41" s="4" t="str">
        <f>IFERROR(__xludf.DUMMYFUNCTION("GOOGLETRANSLATE(B41,""en"",""pt"")"),"Insira o número do seu veículo")</f>
        <v>Insira o número do seu veículo</v>
      </c>
      <c r="P41" s="6"/>
    </row>
    <row r="42">
      <c r="A42" s="7" t="s">
        <v>129</v>
      </c>
      <c r="B42" s="3" t="s">
        <v>130</v>
      </c>
      <c r="C42" s="4" t="str">
        <f>IFERROR(__xludf.DUMMYFUNCTION("GOOGLETRANSLATE(B42,""en"",""hi"")"),"वाहन का मॉडल वर्ष क्या है")</f>
        <v>वाहन का मॉडल वर्ष क्या है</v>
      </c>
      <c r="D42" s="6" t="s">
        <v>131</v>
      </c>
      <c r="E42" s="4" t="str">
        <f>IFERROR(__xludf.DUMMYFUNCTION("GOOGLETRANSLATE(B42,""en"",""fr"")"),"Quelle est l'année modèle du véhicule")</f>
        <v>Quelle est l'année modèle du véhicule</v>
      </c>
      <c r="F42" s="4" t="str">
        <f>IFERROR(__xludf.DUMMYFUNCTION("GOOGLETRANSLATE(B42,""en"",""tr"")"),"Aracın model yılı nedir")</f>
        <v>Aracın model yılı nedir</v>
      </c>
      <c r="G42" s="4" t="str">
        <f>IFERROR(__xludf.DUMMYFUNCTION("GOOGLETRANSLATE(B42,""en"",""ru"")"),"Какой год выпуска автомобиля")</f>
        <v>Какой год выпуска автомобиля</v>
      </c>
      <c r="H42" s="4" t="str">
        <f>IFERROR(__xludf.DUMMYFUNCTION("GOOGLETRANSLATE(B42,""en"",""it"")"),"Qual è l'anno del modello del veicolo")</f>
        <v>Qual è l'anno del modello del veicolo</v>
      </c>
      <c r="I42" s="4" t="str">
        <f>IFERROR(__xludf.DUMMYFUNCTION("GOOGLETRANSLATE(B42,""en"",""de"")"),"Welches Modelljahr hat das Fahrzeug?")</f>
        <v>Welches Modelljahr hat das Fahrzeug?</v>
      </c>
      <c r="J42" s="4" t="str">
        <f>IFERROR(__xludf.DUMMYFUNCTION("GOOGLETRANSLATE(B42,""en"",""ko"")"),"차량의 모델 연도는 무엇입니까?")</f>
        <v>차량의 모델 연도는 무엇입니까?</v>
      </c>
      <c r="K42" s="4" t="str">
        <f>IFERROR(__xludf.DUMMYFUNCTION("GOOGLETRANSLATE(B42,""en"",""zh"")"),"车辆的型号年份是多少")</f>
        <v>车辆的型号年份是多少</v>
      </c>
      <c r="L42" s="4" t="str">
        <f>IFERROR(__xludf.DUMMYFUNCTION("GOOGLETRANSLATE(B42,""en"",""es"")"),"¿Cuál es el año del modelo del vehículo?")</f>
        <v>¿Cuál es el año del modelo del vehículo?</v>
      </c>
      <c r="M42" s="4" t="str">
        <f>IFERROR(__xludf.DUMMYFUNCTION("GOOGLETRANSLATE(B42,""en"",""iw"")"),"מהי שנת הדגם של הרכב")</f>
        <v>מהי שנת הדגם של הרכב</v>
      </c>
      <c r="N42" s="4" t="str">
        <f>IFERROR(__xludf.DUMMYFUNCTION("GOOGLETRANSLATE(B42,""en"",""bn"")"),"যানবাহনের মডেল বছর কি")</f>
        <v>যানবাহনের মডেল বছর কি</v>
      </c>
      <c r="O42" s="4" t="str">
        <f>IFERROR(__xludf.DUMMYFUNCTION("GOOGLETRANSLATE(B42,""en"",""pt"")"),"Qual é o ano modelo do veículo")</f>
        <v>Qual é o ano modelo do veículo</v>
      </c>
      <c r="P42" s="6"/>
    </row>
    <row r="43">
      <c r="A43" s="7" t="s">
        <v>132</v>
      </c>
      <c r="B43" s="3" t="s">
        <v>133</v>
      </c>
      <c r="C43" s="4" t="str">
        <f>IFERROR(__xludf.DUMMYFUNCTION("GOOGLETRANSLATE(B43,""en"",""hi"")"),"रेफरल लागू करें")</f>
        <v>रेफरल लागू करें</v>
      </c>
      <c r="D43" s="4" t="str">
        <f>IFERROR(__xludf.DUMMYFUNCTION("GOOGLETRANSLATE(B43,""en"",""ar"")"),"تطبيق الإحالة")</f>
        <v>تطبيق الإحالة</v>
      </c>
      <c r="E43" s="4" t="str">
        <f>IFERROR(__xludf.DUMMYFUNCTION("GOOGLETRANSLATE(B43,""en"",""fr"")"),"Appliquer une référence")</f>
        <v>Appliquer une référence</v>
      </c>
      <c r="F43" s="4" t="str">
        <f>IFERROR(__xludf.DUMMYFUNCTION("GOOGLETRANSLATE(B43,""en"",""tr"")"),"Yönlendirmeyi Uygula")</f>
        <v>Yönlendirmeyi Uygula</v>
      </c>
      <c r="G43" s="4" t="str">
        <f>IFERROR(__xludf.DUMMYFUNCTION("GOOGLETRANSLATE(B43,""en"",""ru"")"),"Применить рекомендацию")</f>
        <v>Применить рекомендацию</v>
      </c>
      <c r="H43" s="4" t="str">
        <f>IFERROR(__xludf.DUMMYFUNCTION("GOOGLETRANSLATE(B43,""en"",""it"")"),"Applicare il rinvio")</f>
        <v>Applicare il rinvio</v>
      </c>
      <c r="I43" s="4" t="str">
        <f>IFERROR(__xludf.DUMMYFUNCTION("GOOGLETRANSLATE(B43,""en"",""de"")"),"Empfehlung anwenden")</f>
        <v>Empfehlung anwenden</v>
      </c>
      <c r="J43" s="4" t="str">
        <f>IFERROR(__xludf.DUMMYFUNCTION("GOOGLETRANSLATE(B43,""en"",""ko"")"),"추천 신청")</f>
        <v>추천 신청</v>
      </c>
      <c r="K43" s="4" t="str">
        <f>IFERROR(__xludf.DUMMYFUNCTION("GOOGLETRANSLATE(B43,""en"",""zh"")"),"申请推荐")</f>
        <v>申请推荐</v>
      </c>
      <c r="L43" s="4" t="str">
        <f>IFERROR(__xludf.DUMMYFUNCTION("GOOGLETRANSLATE(B43,""en"",""es"")"),"Aplicar referencia")</f>
        <v>Aplicar referencia</v>
      </c>
      <c r="M43" s="4" t="str">
        <f>IFERROR(__xludf.DUMMYFUNCTION("GOOGLETRANSLATE(B43,""en"",""iw"")"),"החל הפניה")</f>
        <v>החל הפניה</v>
      </c>
      <c r="N43" s="4" t="str">
        <f>IFERROR(__xludf.DUMMYFUNCTION("GOOGLETRANSLATE(B43,""en"",""bn"")"),"রেফারেল আবেদন করুন")</f>
        <v>রেফারেল আবেদন করুন</v>
      </c>
      <c r="O43" s="4" t="str">
        <f>IFERROR(__xludf.DUMMYFUNCTION("GOOGLETRANSLATE(B43,""en"",""pt"")"),"Aplicar referência")</f>
        <v>Aplicar referência</v>
      </c>
      <c r="P43" s="6"/>
    </row>
    <row r="44">
      <c r="A44" s="7" t="s">
        <v>134</v>
      </c>
      <c r="B44" s="3" t="s">
        <v>135</v>
      </c>
      <c r="C44" s="4" t="str">
        <f>IFERROR(__xludf.DUMMYFUNCTION("GOOGLETRANSLATE(B44,""en"",""hi"")"),"रेफरल कोड दर्ज करें")</f>
        <v>रेफरल कोड दर्ज करें</v>
      </c>
      <c r="D44" s="4" t="str">
        <f>IFERROR(__xludf.DUMMYFUNCTION("GOOGLETRANSLATE(B44,""en"",""ar"")"),"أدخل رمز الإحالة")</f>
        <v>أدخل رمز الإحالة</v>
      </c>
      <c r="E44" s="4" t="str">
        <f>IFERROR(__xludf.DUMMYFUNCTION("GOOGLETRANSLATE(B44,""en"",""fr"")"),"Entrez le code de référence")</f>
        <v>Entrez le code de référence</v>
      </c>
      <c r="F44" s="4" t="str">
        <f>IFERROR(__xludf.DUMMYFUNCTION("GOOGLETRANSLATE(B44,""en"",""tr"")"),"Referans Kodunu Girin")</f>
        <v>Referans Kodunu Girin</v>
      </c>
      <c r="G44" s="4" t="str">
        <f>IFERROR(__xludf.DUMMYFUNCTION("GOOGLETRANSLATE(B44,""en"",""ru"")"),"Введите реферальный код")</f>
        <v>Введите реферальный код</v>
      </c>
      <c r="H44" s="4" t="str">
        <f>IFERROR(__xludf.DUMMYFUNCTION("GOOGLETRANSLATE(B44,""en"",""it"")"),"Inserisci il codice di riferimento")</f>
        <v>Inserisci il codice di riferimento</v>
      </c>
      <c r="I44" s="4" t="str">
        <f>IFERROR(__xludf.DUMMYFUNCTION("GOOGLETRANSLATE(B44,""en"",""de"")"),"Geben Sie den Empfehlungscode ein")</f>
        <v>Geben Sie den Empfehlungscode ein</v>
      </c>
      <c r="J44" s="4" t="str">
        <f>IFERROR(__xludf.DUMMYFUNCTION("GOOGLETRANSLATE(B44,""en"",""ko"")"),"추천 코드 입력")</f>
        <v>추천 코드 입력</v>
      </c>
      <c r="K44" s="4" t="str">
        <f>IFERROR(__xludf.DUMMYFUNCTION("GOOGLETRANSLATE(B44,""en"",""zh"")"),"输入推荐码")</f>
        <v>输入推荐码</v>
      </c>
      <c r="L44" s="4" t="str">
        <f>IFERROR(__xludf.DUMMYFUNCTION("GOOGLETRANSLATE(B44,""en"",""es"")"),"Ingrese el código de referencia")</f>
        <v>Ingrese el código de referencia</v>
      </c>
      <c r="M44" s="4" t="str">
        <f>IFERROR(__xludf.DUMMYFUNCTION("GOOGLETRANSLATE(B44,""en"",""iw"")"),"הזן קוד הפניה")</f>
        <v>הזן קוד הפניה</v>
      </c>
      <c r="N44" s="4" t="str">
        <f>IFERROR(__xludf.DUMMYFUNCTION("GOOGLETRANSLATE(B44,""en"",""bn"")"),"রেফারেল কোড লিখুন")</f>
        <v>রেফারেল কোড লিখুন</v>
      </c>
      <c r="O44" s="4" t="str">
        <f>IFERROR(__xludf.DUMMYFUNCTION("GOOGLETRANSLATE(B44,""en"",""pt"")"),"Insira o código de referência")</f>
        <v>Insira o código de referência</v>
      </c>
      <c r="P44" s="4"/>
    </row>
    <row r="45">
      <c r="A45" s="7" t="s">
        <v>136</v>
      </c>
      <c r="B45" s="3" t="s">
        <v>137</v>
      </c>
      <c r="C45" s="4" t="str">
        <f>IFERROR(__xludf.DUMMYFUNCTION("GOOGLETRANSLATE(B45,""en"",""hi"")"),"आवेदन करना")</f>
        <v>आवेदन करना</v>
      </c>
      <c r="D45" s="6" t="s">
        <v>98</v>
      </c>
      <c r="E45" s="4" t="str">
        <f>IFERROR(__xludf.DUMMYFUNCTION("GOOGLETRANSLATE(B45,""en"",""fr"")"),"Appliquer")</f>
        <v>Appliquer</v>
      </c>
      <c r="F45" s="4" t="str">
        <f>IFERROR(__xludf.DUMMYFUNCTION("GOOGLETRANSLATE(B45,""en"",""tr"")"),"Uygula")</f>
        <v>Uygula</v>
      </c>
      <c r="G45" s="4" t="str">
        <f>IFERROR(__xludf.DUMMYFUNCTION("GOOGLETRANSLATE(B45,""en"",""ru"")"),"Применять")</f>
        <v>Применять</v>
      </c>
      <c r="H45" s="4" t="str">
        <f>IFERROR(__xludf.DUMMYFUNCTION("GOOGLETRANSLATE(B45,""en"",""it"")"),"Fare domanda a")</f>
        <v>Fare domanda a</v>
      </c>
      <c r="I45" s="4" t="str">
        <f>IFERROR(__xludf.DUMMYFUNCTION("GOOGLETRANSLATE(B45,""en"",""de"")"),"Anwenden")</f>
        <v>Anwenden</v>
      </c>
      <c r="J45" s="4" t="str">
        <f>IFERROR(__xludf.DUMMYFUNCTION("GOOGLETRANSLATE(B45,""en"",""ko"")"),"적용하다")</f>
        <v>적용하다</v>
      </c>
      <c r="K45" s="4" t="str">
        <f>IFERROR(__xludf.DUMMYFUNCTION("GOOGLETRANSLATE(B45,""en"",""zh"")"),"申请")</f>
        <v>申请</v>
      </c>
      <c r="L45" s="4" t="str">
        <f>IFERROR(__xludf.DUMMYFUNCTION("GOOGLETRANSLATE(B45,""en"",""es"")"),"Aplicar")</f>
        <v>Aplicar</v>
      </c>
      <c r="M45" s="4" t="str">
        <f>IFERROR(__xludf.DUMMYFUNCTION("GOOGLETRANSLATE(B45,""en"",""iw"")"),"להגיש מועמדות")</f>
        <v>להגיש מועמדות</v>
      </c>
      <c r="N45" s="4" t="str">
        <f>IFERROR(__xludf.DUMMYFUNCTION("GOOGLETRANSLATE(B45,""en"",""bn"")"),"আবেদন করুন")</f>
        <v>আবেদন করুন</v>
      </c>
      <c r="O45" s="4" t="str">
        <f>IFERROR(__xludf.DUMMYFUNCTION("GOOGLETRANSLATE(B45,""en"",""pt"")"),"Aplicar")</f>
        <v>Aplicar</v>
      </c>
      <c r="P45" s="4"/>
    </row>
    <row r="46">
      <c r="A46" s="7" t="s">
        <v>138</v>
      </c>
      <c r="B46" s="3" t="s">
        <v>139</v>
      </c>
      <c r="C46" s="4" t="str">
        <f>IFERROR(__xludf.DUMMYFUNCTION("GOOGLETRANSLATE(B46,""en"",""hi"")"),"दस्तावेज़ प्रबंधित करें")</f>
        <v>दस्तावेज़ प्रबंधित करें</v>
      </c>
      <c r="D46" s="6" t="s">
        <v>140</v>
      </c>
      <c r="E46" s="4" t="str">
        <f>IFERROR(__xludf.DUMMYFUNCTION("GOOGLETRANSLATE(B46,""en"",""fr"")"),"Gérer les documents")</f>
        <v>Gérer les documents</v>
      </c>
      <c r="F46" s="4" t="str">
        <f>IFERROR(__xludf.DUMMYFUNCTION("GOOGLETRANSLATE(B46,""en"",""tr"")"),"Belgeleri Yönet")</f>
        <v>Belgeleri Yönet</v>
      </c>
      <c r="G46" s="4" t="str">
        <f>IFERROR(__xludf.DUMMYFUNCTION("GOOGLETRANSLATE(B46,""en"",""ru"")"),"Управление документами")</f>
        <v>Управление документами</v>
      </c>
      <c r="H46" s="4" t="str">
        <f>IFERROR(__xludf.DUMMYFUNCTION("GOOGLETRANSLATE(B46,""en"",""it"")"),"Gestisci documenti")</f>
        <v>Gestisci documenti</v>
      </c>
      <c r="I46" s="4" t="str">
        <f>IFERROR(__xludf.DUMMYFUNCTION("GOOGLETRANSLATE(B46,""en"",""de"")"),"Dokumente verwalten")</f>
        <v>Dokumente verwalten</v>
      </c>
      <c r="J46" s="4" t="str">
        <f>IFERROR(__xludf.DUMMYFUNCTION("GOOGLETRANSLATE(B46,""en"",""ko"")"),"문서 관리")</f>
        <v>문서 관리</v>
      </c>
      <c r="K46" s="4" t="str">
        <f>IFERROR(__xludf.DUMMYFUNCTION("GOOGLETRANSLATE(B46,""en"",""zh"")"),"管理文档")</f>
        <v>管理文档</v>
      </c>
      <c r="L46" s="4" t="str">
        <f>IFERROR(__xludf.DUMMYFUNCTION("GOOGLETRANSLATE(B46,""en"",""es"")"),"Administrar documentos")</f>
        <v>Administrar documentos</v>
      </c>
      <c r="M46" s="4" t="str">
        <f>IFERROR(__xludf.DUMMYFUNCTION("GOOGLETRANSLATE(B46,""en"",""iw"")"),"ניהול מסמכים")</f>
        <v>ניהול מסמכים</v>
      </c>
      <c r="N46" s="4" t="str">
        <f>IFERROR(__xludf.DUMMYFUNCTION("GOOGLETRANSLATE(B46,""en"",""bn"")"),"নথি পরিচালনা করুন")</f>
        <v>নথি পরিচালনা করুন</v>
      </c>
      <c r="O46" s="4" t="str">
        <f>IFERROR(__xludf.DUMMYFUNCTION("GOOGLETRANSLATE(B46,""en"",""pt"")"),"Gerenciar documentos")</f>
        <v>Gerenciar documentos</v>
      </c>
      <c r="P46" s="6"/>
    </row>
    <row r="47">
      <c r="A47" s="7" t="s">
        <v>141</v>
      </c>
      <c r="B47" s="3" t="s">
        <v>142</v>
      </c>
      <c r="C47" s="4" t="str">
        <f>IFERROR(__xludf.DUMMYFUNCTION("GOOGLETRANSLATE(B47,""en"",""hi"")"),"पासपोर्ट")</f>
        <v>पासपोर्ट</v>
      </c>
      <c r="D47" s="6" t="s">
        <v>143</v>
      </c>
      <c r="E47" s="4" t="str">
        <f>IFERROR(__xludf.DUMMYFUNCTION("GOOGLETRANSLATE(B47,""en"",""fr"")"),"Passeport")</f>
        <v>Passeport</v>
      </c>
      <c r="F47" s="4" t="str">
        <f>IFERROR(__xludf.DUMMYFUNCTION("GOOGLETRANSLATE(B47,""en"",""tr"")"),"Pasaport")</f>
        <v>Pasaport</v>
      </c>
      <c r="G47" s="4" t="str">
        <f>IFERROR(__xludf.DUMMYFUNCTION("GOOGLETRANSLATE(B47,""en"",""ru"")"),"Заграничный пасспорт")</f>
        <v>Заграничный пасспорт</v>
      </c>
      <c r="H47" s="4" t="str">
        <f>IFERROR(__xludf.DUMMYFUNCTION("GOOGLETRANSLATE(B47,""en"",""it"")"),"Passaporto")</f>
        <v>Passaporto</v>
      </c>
      <c r="I47" s="4" t="str">
        <f>IFERROR(__xludf.DUMMYFUNCTION("GOOGLETRANSLATE(B47,""en"",""de"")"),"Reisepass")</f>
        <v>Reisepass</v>
      </c>
      <c r="J47" s="4" t="str">
        <f>IFERROR(__xludf.DUMMYFUNCTION("GOOGLETRANSLATE(B47,""en"",""ko"")"),"여권")</f>
        <v>여권</v>
      </c>
      <c r="K47" s="4" t="str">
        <f>IFERROR(__xludf.DUMMYFUNCTION("GOOGLETRANSLATE(B47,""en"",""zh"")"),"护照")</f>
        <v>护照</v>
      </c>
      <c r="L47" s="4" t="str">
        <f>IFERROR(__xludf.DUMMYFUNCTION("GOOGLETRANSLATE(B47,""en"",""es"")"),"Pasaporte")</f>
        <v>Pasaporte</v>
      </c>
      <c r="M47" s="4" t="str">
        <f>IFERROR(__xludf.DUMMYFUNCTION("GOOGLETRANSLATE(B47,""en"",""iw"")"),"דַרכּוֹן")</f>
        <v>דַרכּוֹן</v>
      </c>
      <c r="N47" s="4" t="str">
        <f>IFERROR(__xludf.DUMMYFUNCTION("GOOGLETRANSLATE(B47,""en"",""bn"")"),"পাসপোর্ট")</f>
        <v>পাসপোর্ট</v>
      </c>
      <c r="O47" s="4" t="str">
        <f>IFERROR(__xludf.DUMMYFUNCTION("GOOGLETRANSLATE(B47,""en"",""pt"")"),"Passaporte")</f>
        <v>Passaporte</v>
      </c>
      <c r="P47" s="6"/>
    </row>
    <row r="48">
      <c r="A48" s="7" t="s">
        <v>144</v>
      </c>
      <c r="B48" s="3" t="s">
        <v>145</v>
      </c>
      <c r="C48" s="4" t="str">
        <f>IFERROR(__xludf.DUMMYFUNCTION("GOOGLETRANSLATE(B48,""en"",""hi"")"),"अपलोड नहीं किया गया")</f>
        <v>अपलोड नहीं किया गया</v>
      </c>
      <c r="D48" s="6" t="s">
        <v>146</v>
      </c>
      <c r="E48" s="4" t="str">
        <f>IFERROR(__xludf.DUMMYFUNCTION("GOOGLETRANSLATE(B48,""en"",""fr"")"),"Non téléchargé")</f>
        <v>Non téléchargé</v>
      </c>
      <c r="F48" s="4" t="str">
        <f>IFERROR(__xludf.DUMMYFUNCTION("GOOGLETRANSLATE(B48,""en"",""tr"")"),"Yüklenmedi")</f>
        <v>Yüklenmedi</v>
      </c>
      <c r="G48" s="4" t="str">
        <f>IFERROR(__xludf.DUMMYFUNCTION("GOOGLETRANSLATE(B48,""en"",""ru"")"),"Не загружено")</f>
        <v>Не загружено</v>
      </c>
      <c r="H48" s="4" t="str">
        <f>IFERROR(__xludf.DUMMYFUNCTION("GOOGLETRANSLATE(B48,""en"",""it"")"),"Non caricato")</f>
        <v>Non caricato</v>
      </c>
      <c r="I48" s="4" t="str">
        <f>IFERROR(__xludf.DUMMYFUNCTION("GOOGLETRANSLATE(B48,""en"",""de"")"),"Nicht hochgeladen")</f>
        <v>Nicht hochgeladen</v>
      </c>
      <c r="J48" s="4" t="str">
        <f>IFERROR(__xludf.DUMMYFUNCTION("GOOGLETRANSLATE(B48,""en"",""ko"")"),"업로드되지 않음")</f>
        <v>업로드되지 않음</v>
      </c>
      <c r="K48" s="4" t="str">
        <f>IFERROR(__xludf.DUMMYFUNCTION("GOOGLETRANSLATE(B48,""en"",""zh"")"),"未上传")</f>
        <v>未上传</v>
      </c>
      <c r="L48" s="4" t="str">
        <f>IFERROR(__xludf.DUMMYFUNCTION("GOOGLETRANSLATE(B48,""en"",""es"")"),"No subido")</f>
        <v>No subido</v>
      </c>
      <c r="M48" s="4" t="str">
        <f>IFERROR(__xludf.DUMMYFUNCTION("GOOGLETRANSLATE(B48,""en"",""iw"")"),"לא הועלה")</f>
        <v>לא הועלה</v>
      </c>
      <c r="N48" s="4" t="str">
        <f>IFERROR(__xludf.DUMMYFUNCTION("GOOGLETRANSLATE(B48,""en"",""bn"")"),"আপলোড করা হয়নি")</f>
        <v>আপলোড করা হয়নি</v>
      </c>
      <c r="O48" s="4" t="str">
        <f>IFERROR(__xludf.DUMMYFUNCTION("GOOGLETRANSLATE(B48,""en"",""pt"")"),"Não enviado")</f>
        <v>Não enviado</v>
      </c>
      <c r="P48" s="6"/>
    </row>
    <row r="49">
      <c r="A49" s="7" t="s">
        <v>147</v>
      </c>
      <c r="B49" s="3" t="s">
        <v>148</v>
      </c>
      <c r="C49" s="4" t="str">
        <f>IFERROR(__xludf.DUMMYFUNCTION("GOOGLETRANSLATE(B49,""en"",""hi"")"),"अपलोड किए गए")</f>
        <v>अपलोड किए गए</v>
      </c>
      <c r="D49" s="6" t="s">
        <v>149</v>
      </c>
      <c r="E49" s="4" t="str">
        <f>IFERROR(__xludf.DUMMYFUNCTION("GOOGLETRANSLATE(B49,""en"",""fr"")"),"Téléchargé")</f>
        <v>Téléchargé</v>
      </c>
      <c r="F49" s="4" t="str">
        <f>IFERROR(__xludf.DUMMYFUNCTION("GOOGLETRANSLATE(B49,""en"",""tr"")"),"Yüklendi")</f>
        <v>Yüklendi</v>
      </c>
      <c r="G49" s="4" t="str">
        <f>IFERROR(__xludf.DUMMYFUNCTION("GOOGLETRANSLATE(B49,""en"",""ru"")"),"Загружено")</f>
        <v>Загружено</v>
      </c>
      <c r="H49" s="4" t="str">
        <f>IFERROR(__xludf.DUMMYFUNCTION("GOOGLETRANSLATE(B49,""en"",""it"")"),"Caricato")</f>
        <v>Caricato</v>
      </c>
      <c r="I49" s="4" t="str">
        <f>IFERROR(__xludf.DUMMYFUNCTION("GOOGLETRANSLATE(B49,""en"",""de"")"),"Hochgeladen")</f>
        <v>Hochgeladen</v>
      </c>
      <c r="J49" s="4" t="str">
        <f>IFERROR(__xludf.DUMMYFUNCTION("GOOGLETRANSLATE(B49,""en"",""ko"")"),"업로드됨")</f>
        <v>업로드됨</v>
      </c>
      <c r="K49" s="4" t="str">
        <f>IFERROR(__xludf.DUMMYFUNCTION("GOOGLETRANSLATE(B49,""en"",""zh"")"),"已上传")</f>
        <v>已上传</v>
      </c>
      <c r="L49" s="4" t="str">
        <f>IFERROR(__xludf.DUMMYFUNCTION("GOOGLETRANSLATE(B49,""en"",""es"")"),"subido")</f>
        <v>subido</v>
      </c>
      <c r="M49" s="4" t="str">
        <f>IFERROR(__xludf.DUMMYFUNCTION("GOOGLETRANSLATE(B49,""en"",""iw"")"),"הועלה")</f>
        <v>הועלה</v>
      </c>
      <c r="N49" s="4" t="str">
        <f>IFERROR(__xludf.DUMMYFUNCTION("GOOGLETRANSLATE(B49,""en"",""bn"")"),"আপলোড করা হয়েছে")</f>
        <v>আপলোড করা হয়েছে</v>
      </c>
      <c r="O49" s="4" t="str">
        <f>IFERROR(__xludf.DUMMYFUNCTION("GOOGLETRANSLATE(B49,""en"",""pt"")"),"Carregado")</f>
        <v>Carregado</v>
      </c>
      <c r="P49" s="6"/>
    </row>
    <row r="50">
      <c r="A50" s="7" t="s">
        <v>150</v>
      </c>
      <c r="B50" s="3" t="s">
        <v>151</v>
      </c>
      <c r="C50" s="4" t="str">
        <f>IFERROR(__xludf.DUMMYFUNCTION("GOOGLETRANSLATE(B50,""en"",""hi"")"),"डालना")</f>
        <v>डालना</v>
      </c>
      <c r="D50" s="6" t="s">
        <v>152</v>
      </c>
      <c r="E50" s="4" t="str">
        <f>IFERROR(__xludf.DUMMYFUNCTION("GOOGLETRANSLATE(B50,""en"",""fr"")"),"Télécharger")</f>
        <v>Télécharger</v>
      </c>
      <c r="F50" s="4" t="str">
        <f>IFERROR(__xludf.DUMMYFUNCTION("GOOGLETRANSLATE(B50,""en"",""tr"")"),"Yüklemek")</f>
        <v>Yüklemek</v>
      </c>
      <c r="G50" s="4" t="str">
        <f>IFERROR(__xludf.DUMMYFUNCTION("GOOGLETRANSLATE(B50,""en"",""ru"")"),"Загрузить")</f>
        <v>Загрузить</v>
      </c>
      <c r="H50" s="4" t="str">
        <f>IFERROR(__xludf.DUMMYFUNCTION("GOOGLETRANSLATE(B50,""en"",""it"")"),"Caricamento")</f>
        <v>Caricamento</v>
      </c>
      <c r="I50" s="4" t="str">
        <f>IFERROR(__xludf.DUMMYFUNCTION("GOOGLETRANSLATE(B50,""en"",""de"")"),"Hochladen")</f>
        <v>Hochladen</v>
      </c>
      <c r="J50" s="4" t="str">
        <f>IFERROR(__xludf.DUMMYFUNCTION("GOOGLETRANSLATE(B50,""en"",""ko"")"),"업로드")</f>
        <v>업로드</v>
      </c>
      <c r="K50" s="4" t="str">
        <f>IFERROR(__xludf.DUMMYFUNCTION("GOOGLETRANSLATE(B50,""en"",""zh"")"),"上传")</f>
        <v>上传</v>
      </c>
      <c r="L50" s="4" t="str">
        <f>IFERROR(__xludf.DUMMYFUNCTION("GOOGLETRANSLATE(B50,""en"",""es"")"),"Subir")</f>
        <v>Subir</v>
      </c>
      <c r="M50" s="4" t="str">
        <f>IFERROR(__xludf.DUMMYFUNCTION("GOOGLETRANSLATE(B50,""en"",""iw"")"),"העלה")</f>
        <v>העלה</v>
      </c>
      <c r="N50" s="4" t="str">
        <f>IFERROR(__xludf.DUMMYFUNCTION("GOOGLETRANSLATE(B50,""en"",""bn"")"),"আপলোড করুন")</f>
        <v>আপলোড করুন</v>
      </c>
      <c r="O50" s="4" t="str">
        <f>IFERROR(__xludf.DUMMYFUNCTION("GOOGLETRANSLATE(B50,""en"",""pt"")"),"Carregar")</f>
        <v>Carregar</v>
      </c>
      <c r="P50" s="6"/>
    </row>
    <row r="51">
      <c r="A51" s="7" t="s">
        <v>153</v>
      </c>
      <c r="B51" s="3" t="s">
        <v>154</v>
      </c>
      <c r="C51" s="4" t="str">
        <f>IFERROR(__xludf.DUMMYFUNCTION("GOOGLETRANSLATE(B51,""en"",""hi"")"),"सत्यापन लंबित")</f>
        <v>सत्यापन लंबित</v>
      </c>
      <c r="D51" s="6" t="s">
        <v>155</v>
      </c>
      <c r="E51" s="4" t="str">
        <f>IFERROR(__xludf.DUMMYFUNCTION("GOOGLETRANSLATE(B51,""en"",""fr"")"),"Vérification en attente")</f>
        <v>Vérification en attente</v>
      </c>
      <c r="F51" s="4" t="str">
        <f>IFERROR(__xludf.DUMMYFUNCTION("GOOGLETRANSLATE(B51,""en"",""tr"")"),"Doğrulama Bekleniyor")</f>
        <v>Doğrulama Bekleniyor</v>
      </c>
      <c r="G51" s="4" t="str">
        <f>IFERROR(__xludf.DUMMYFUNCTION("GOOGLETRANSLATE(B51,""en"",""ru"")"),"Ожидается проверка")</f>
        <v>Ожидается проверка</v>
      </c>
      <c r="H51" s="4" t="str">
        <f>IFERROR(__xludf.DUMMYFUNCTION("GOOGLETRANSLATE(B51,""en"",""it"")"),"Verifica in sospeso")</f>
        <v>Verifica in sospeso</v>
      </c>
      <c r="I51" s="4" t="str">
        <f>IFERROR(__xludf.DUMMYFUNCTION("GOOGLETRANSLATE(B51,""en"",""de"")"),"Verifizierung steht aus")</f>
        <v>Verifizierung steht aus</v>
      </c>
      <c r="J51" s="4" t="str">
        <f>IFERROR(__xludf.DUMMYFUNCTION("GOOGLETRANSLATE(B51,""en"",""ko"")"),"확인 보류 중")</f>
        <v>확인 보류 중</v>
      </c>
      <c r="K51" s="4" t="str">
        <f>IFERROR(__xludf.DUMMYFUNCTION("GOOGLETRANSLATE(B51,""en"",""zh"")"),"待验证")</f>
        <v>待验证</v>
      </c>
      <c r="L51" s="4" t="str">
        <f>IFERROR(__xludf.DUMMYFUNCTION("GOOGLETRANSLATE(B51,""en"",""es"")"),"Verificación pendiente")</f>
        <v>Verificación pendiente</v>
      </c>
      <c r="M51" s="4" t="str">
        <f>IFERROR(__xludf.DUMMYFUNCTION("GOOGLETRANSLATE(B51,""en"",""iw"")"),"ממתין לאימות")</f>
        <v>ממתין לאימות</v>
      </c>
      <c r="N51" s="4" t="str">
        <f>IFERROR(__xludf.DUMMYFUNCTION("GOOGLETRANSLATE(B51,""en"",""bn"")"),"যাচাইকরণ মুলতুবি")</f>
        <v>যাচাইকরণ মুলতুবি</v>
      </c>
      <c r="O51" s="4" t="str">
        <f>IFERROR(__xludf.DUMMYFUNCTION("GOOGLETRANSLATE(B51,""en"",""pt"")"),"Verificação pendente")</f>
        <v>Verificação pendente</v>
      </c>
      <c r="P51" s="6"/>
    </row>
    <row r="52">
      <c r="A52" s="7" t="s">
        <v>156</v>
      </c>
      <c r="B52" s="3" t="s">
        <v>157</v>
      </c>
      <c r="C52" s="4" t="str">
        <f>IFERROR(__xludf.DUMMYFUNCTION("GOOGLETRANSLATE(B52,""en"",""hi"")"),"आपका दस्तावेज़ अभी भी सत्यापन के लिए लंबित है। एक बार जब यह सब सत्यापित हो जाता है तो आपको सवारी मिलनी शुरू हो जाती है। कृपया आराम से बैठें")</f>
        <v>आपका दस्तावेज़ अभी भी सत्यापन के लिए लंबित है। एक बार जब यह सब सत्यापित हो जाता है तो आपको सवारी मिलनी शुरू हो जाती है। कृपया आराम से बैठें</v>
      </c>
      <c r="D52" s="6" t="s">
        <v>158</v>
      </c>
      <c r="E52" s="4" t="str">
        <f>IFERROR(__xludf.DUMMYFUNCTION("GOOGLETRANSLATE(B52,""en"",""fr"")"),"Votre document est toujours en attente de vérification. Une fois que tout est vérifié, vous commencez à faire des courses. S'il te plaît, assieds-toi bien")</f>
        <v>Votre document est toujours en attente de vérification. Une fois que tout est vérifié, vous commencez à faire des courses. S'il te plaît, assieds-toi bien</v>
      </c>
      <c r="F52" s="4" t="str">
        <f>IFERROR(__xludf.DUMMYFUNCTION("GOOGLETRANSLATE(B52,""en"",""tr"")"),"Belgeniz hâlâ doğrulama için beklemede. Her şey doğrulandıktan sonra araç almaya başlarsınız. Lütfen sıkı oturun")</f>
        <v>Belgeniz hâlâ doğrulama için beklemede. Her şey doğrulandıktan sonra araç almaya başlarsınız. Lütfen sıkı oturun</v>
      </c>
      <c r="G52" s="4" t="str">
        <f>IFERROR(__xludf.DUMMYFUNCTION("GOOGLETRANSLATE(B52,""en"",""ru"")"),"Ваш документ все еще ожидает проверки. Как только все будет проверено, вы начнете получать поездки. Пожалуйста, сидите спокойно")</f>
        <v>Ваш документ все еще ожидает проверки. Как только все будет проверено, вы начнете получать поездки. Пожалуйста, сидите спокойно</v>
      </c>
      <c r="H52" s="4" t="str">
        <f>IFERROR(__xludf.DUMMYFUNCTION("GOOGLETRANSLATE(B52,""en"",""it"")"),"Il tuo documento è ancora in attesa di verifica. Una volta che tutto è stato verificato, inizi a ricevere passaggi. Per favore, siediti")</f>
        <v>Il tuo documento è ancora in attesa di verifica. Una volta che tutto è stato verificato, inizi a ricevere passaggi. Per favore, siediti</v>
      </c>
      <c r="I52" s="4" t="str">
        <f>IFERROR(__xludf.DUMMYFUNCTION("GOOGLETRANSLATE(B52,""en"",""de"")"),"Die Überprüfung Ihres Dokuments steht noch aus. Sobald alles überprüft ist, können Sie Fahrten buchen. Bitte bleiben Sie ruhig")</f>
        <v>Die Überprüfung Ihres Dokuments steht noch aus. Sobald alles überprüft ist, können Sie Fahrten buchen. Bitte bleiben Sie ruhig</v>
      </c>
      <c r="J52" s="4" t="str">
        <f>IFERROR(__xludf.DUMMYFUNCTION("GOOGLETRANSLATE(B52,""en"",""ko"")"),"귀하의 문서가 아직 확인 대기 중입니다. 모두 확인되면 탑승을 시작합니다. 꼭 앉아주세요")</f>
        <v>귀하의 문서가 아직 확인 대기 중입니다. 모두 확인되면 탑승을 시작합니다. 꼭 앉아주세요</v>
      </c>
      <c r="K52" s="4" t="str">
        <f>IFERROR(__xludf.DUMMYFUNCTION("GOOGLETRANSLATE(B52,""en"",""zh"")"),"您的文件仍在等待验证。全部验证完毕后，您就可以开始乘车了。请坐稳")</f>
        <v>您的文件仍在等待验证。全部验证完毕后，您就可以开始乘车了。请坐稳</v>
      </c>
      <c r="L52" s="4" t="str">
        <f>IFERROR(__xludf.DUMMYFUNCTION("GOOGLETRANSLATE(B52,""en"",""es"")"),"Su documento aún está pendiente de verificación. Una vez que todo esté verificado, comenzarás a recibir viajes. Por favor siéntate tranquilo")</f>
        <v>Su documento aún está pendiente de verificación. Una vez que todo esté verificado, comenzarás a recibir viajes. Por favor siéntate tranquilo</v>
      </c>
      <c r="M52" s="4" t="str">
        <f>IFERROR(__xludf.DUMMYFUNCTION("GOOGLETRANSLATE(B52,""en"",""iw"")"),"המסמך שלך עדיין ממתין לאימות. לאחר שהכל אומת אתה מתחיל לקבל נסיעות. בבקשה שב חזק")</f>
        <v>המסמך שלך עדיין ממתין לאימות. לאחר שהכל אומת אתה מתחיל לקבל נסיעות. בבקשה שב חזק</v>
      </c>
      <c r="N52" s="4" t="str">
        <f>IFERROR(__xludf.DUMMYFUNCTION("GOOGLETRANSLATE(B52,""en"",""bn"")"),"আপনার নথি যাচাইকরণের জন্য এখনও মুলতুবি আছে. একবার সব যাচাই হয়ে গেলে আপনি রাইড পেতে শুরু করবেন। অনুগ্রহ করে শক্ত হয়ে বসুন")</f>
        <v>আপনার নথি যাচাইকরণের জন্য এখনও মুলতুবি আছে. একবার সব যাচাই হয়ে গেলে আপনি রাইড পেতে শুরু করবেন। অনুগ্রহ করে শক্ত হয়ে বসুন</v>
      </c>
      <c r="O52" s="4" t="str">
        <f>IFERROR(__xludf.DUMMYFUNCTION("GOOGLETRANSLATE(B52,""en"",""pt"")"),"Seu documento ainda está pendente para verificação. Depois que tudo estiver verificado, você começará a receber caronas. Por favor, sente-se firme")</f>
        <v>Seu documento ainda está pendente para verificação. Depois que tudo estiver verificado, você começará a receber caronas. Por favor, sente-se firme</v>
      </c>
      <c r="P52" s="6"/>
    </row>
    <row r="53">
      <c r="A53" s="7" t="s">
        <v>159</v>
      </c>
      <c r="B53" s="3" t="s">
        <v>160</v>
      </c>
      <c r="C53" s="4" t="str">
        <f>IFERROR(__xludf.DUMMYFUNCTION("GOOGLETRANSLATE(B53,""en"",""hi"")"),"दस्तावेज़ अपलोड करें")</f>
        <v>दस्तावेज़ अपलोड करें</v>
      </c>
      <c r="D53" s="6" t="s">
        <v>161</v>
      </c>
      <c r="E53" s="4" t="str">
        <f>IFERROR(__xludf.DUMMYFUNCTION("GOOGLETRANSLATE(B53,""en"",""fr"")"),"Télécharger des documents")</f>
        <v>Télécharger des documents</v>
      </c>
      <c r="F53" s="4" t="str">
        <f>IFERROR(__xludf.DUMMYFUNCTION("GOOGLETRANSLATE(B53,""en"",""tr"")"),"Belgeleri Yükle")</f>
        <v>Belgeleri Yükle</v>
      </c>
      <c r="G53" s="4" t="str">
        <f>IFERROR(__xludf.DUMMYFUNCTION("GOOGLETRANSLATE(B53,""en"",""ru"")"),"Загрузить документы")</f>
        <v>Загрузить документы</v>
      </c>
      <c r="H53" s="4" t="str">
        <f>IFERROR(__xludf.DUMMYFUNCTION("GOOGLETRANSLATE(B53,""en"",""it"")"),"Carica documenti")</f>
        <v>Carica documenti</v>
      </c>
      <c r="I53" s="4" t="str">
        <f>IFERROR(__xludf.DUMMYFUNCTION("GOOGLETRANSLATE(B53,""en"",""de"")"),"Dokumente hochladen")</f>
        <v>Dokumente hochladen</v>
      </c>
      <c r="J53" s="4" t="str">
        <f>IFERROR(__xludf.DUMMYFUNCTION("GOOGLETRANSLATE(B53,""en"",""ko"")"),"문서 업로드")</f>
        <v>문서 업로드</v>
      </c>
      <c r="K53" s="4" t="str">
        <f>IFERROR(__xludf.DUMMYFUNCTION("GOOGLETRANSLATE(B53,""en"",""zh"")"),"上传文件")</f>
        <v>上传文件</v>
      </c>
      <c r="L53" s="4" t="str">
        <f>IFERROR(__xludf.DUMMYFUNCTION("GOOGLETRANSLATE(B53,""en"",""es"")"),"subir documentos")</f>
        <v>subir documentos</v>
      </c>
      <c r="M53" s="4" t="str">
        <f>IFERROR(__xludf.DUMMYFUNCTION("GOOGLETRANSLATE(B53,""en"",""iw"")"),"העלה מסמכים")</f>
        <v>העלה מסמכים</v>
      </c>
      <c r="N53" s="4" t="str">
        <f>IFERROR(__xludf.DUMMYFUNCTION("GOOGLETRANSLATE(B53,""en"",""bn"")"),"নথি আপলোড করুন")</f>
        <v>নথি আপলোড করুন</v>
      </c>
      <c r="O53" s="4" t="str">
        <f>IFERROR(__xludf.DUMMYFUNCTION("GOOGLETRANSLATE(B53,""en"",""pt"")"),"Carregar documentos")</f>
        <v>Carregar documentos</v>
      </c>
      <c r="P53" s="6"/>
    </row>
    <row r="54">
      <c r="A54" s="7" t="s">
        <v>162</v>
      </c>
      <c r="B54" s="3" t="s">
        <v>163</v>
      </c>
      <c r="C54" s="4" t="str">
        <f>IFERROR(__xludf.DUMMYFUNCTION("GOOGLETRANSLATE(B54,""en"",""hi"")"),"भाषा चुनें")</f>
        <v>भाषा चुनें</v>
      </c>
      <c r="D54" s="6" t="s">
        <v>164</v>
      </c>
      <c r="E54" s="4" t="str">
        <f>IFERROR(__xludf.DUMMYFUNCTION("GOOGLETRANSLATE(B54,""en"",""fr"")"),"Choisissez la langue")</f>
        <v>Choisissez la langue</v>
      </c>
      <c r="F54" s="4" t="str">
        <f>IFERROR(__xludf.DUMMYFUNCTION("GOOGLETRANSLATE(B54,""en"",""tr"")"),"Dil seçiniz")</f>
        <v>Dil seçiniz</v>
      </c>
      <c r="G54" s="4" t="str">
        <f>IFERROR(__xludf.DUMMYFUNCTION("GOOGLETRANSLATE(B54,""en"",""ru"")"),"Выберите язык")</f>
        <v>Выберите язык</v>
      </c>
      <c r="H54" s="4" t="str">
        <f>IFERROR(__xludf.DUMMYFUNCTION("GOOGLETRANSLATE(B54,""en"",""it"")"),"Scegli la lingua")</f>
        <v>Scegli la lingua</v>
      </c>
      <c r="I54" s="4" t="str">
        <f>IFERROR(__xludf.DUMMYFUNCTION("GOOGLETRANSLATE(B54,""en"",""de"")"),"Sprache wählen")</f>
        <v>Sprache wählen</v>
      </c>
      <c r="J54" s="4" t="str">
        <f>IFERROR(__xludf.DUMMYFUNCTION("GOOGLETRANSLATE(B54,""en"",""ko"")"),"언어 선택")</f>
        <v>언어 선택</v>
      </c>
      <c r="K54" s="4" t="str">
        <f>IFERROR(__xludf.DUMMYFUNCTION("GOOGLETRANSLATE(B54,""en"",""zh"")"),"选择语言")</f>
        <v>选择语言</v>
      </c>
      <c r="L54" s="4" t="str">
        <f>IFERROR(__xludf.DUMMYFUNCTION("GOOGLETRANSLATE(B54,""en"",""es"")"),"Elige lengua")</f>
        <v>Elige lengua</v>
      </c>
      <c r="M54" s="4" t="str">
        <f>IFERROR(__xludf.DUMMYFUNCTION("GOOGLETRANSLATE(B54,""en"",""iw"")"),"בחר שפה")</f>
        <v>בחר שפה</v>
      </c>
      <c r="N54" s="4" t="str">
        <f>IFERROR(__xludf.DUMMYFUNCTION("GOOGLETRANSLATE(B54,""en"",""bn"")"),"ভাষা নির্বাচন করুন")</f>
        <v>ভাষা নির্বাচন করুন</v>
      </c>
      <c r="O54" s="4" t="str">
        <f>IFERROR(__xludf.DUMMYFUNCTION("GOOGLETRANSLATE(B54,""en"",""pt"")"),"Escolha o seu idioma")</f>
        <v>Escolha o seu idioma</v>
      </c>
      <c r="P54" s="6"/>
    </row>
    <row r="55">
      <c r="A55" s="7" t="s">
        <v>165</v>
      </c>
      <c r="B55" s="3" t="s">
        <v>166</v>
      </c>
      <c r="C55" s="4" t="str">
        <f>IFERROR(__xludf.DUMMYFUNCTION("GOOGLETRANSLATE(B55,""en"",""hi"")"),"अपना वाहन मॉडल वर्ष दर्ज करें")</f>
        <v>अपना वाहन मॉडल वर्ष दर्ज करें</v>
      </c>
      <c r="D55" s="6" t="s">
        <v>167</v>
      </c>
      <c r="E55" s="4" t="str">
        <f>IFERROR(__xludf.DUMMYFUNCTION("GOOGLETRANSLATE(B55,""en"",""fr"")"),"Entrez l'année du modèle de votre véhicule")</f>
        <v>Entrez l'année du modèle de votre véhicule</v>
      </c>
      <c r="F55" s="4" t="str">
        <f>IFERROR(__xludf.DUMMYFUNCTION("GOOGLETRANSLATE(B55,""en"",""tr"")"),"Araç Model Yılınızı girin")</f>
        <v>Araç Model Yılınızı girin</v>
      </c>
      <c r="G55" s="4" t="str">
        <f>IFERROR(__xludf.DUMMYFUNCTION("GOOGLETRANSLATE(B55,""en"",""ru"")"),"Введите год выпуска вашего автомобиля")</f>
        <v>Введите год выпуска вашего автомобиля</v>
      </c>
      <c r="H55" s="4" t="str">
        <f>IFERROR(__xludf.DUMMYFUNCTION("GOOGLETRANSLATE(B55,""en"",""it"")"),"Inserisci l'anno del modello del tuo veicolo")</f>
        <v>Inserisci l'anno del modello del tuo veicolo</v>
      </c>
      <c r="I55" s="4" t="str">
        <f>IFERROR(__xludf.DUMMYFUNCTION("GOOGLETRANSLATE(B55,""en"",""de"")"),"Geben Sie Ihr Fahrzeugmodelljahr ein")</f>
        <v>Geben Sie Ihr Fahrzeugmodelljahr ein</v>
      </c>
      <c r="J55" s="4" t="str">
        <f>IFERROR(__xludf.DUMMYFUNCTION("GOOGLETRANSLATE(B55,""en"",""ko"")"),"차량 모델 연도를 입력하세요.")</f>
        <v>차량 모델 연도를 입력하세요.</v>
      </c>
      <c r="K55" s="4" t="str">
        <f>IFERROR(__xludf.DUMMYFUNCTION("GOOGLETRANSLATE(B55,""en"",""zh"")"),"输入您的车辆型号年份")</f>
        <v>输入您的车辆型号年份</v>
      </c>
      <c r="L55" s="4" t="str">
        <f>IFERROR(__xludf.DUMMYFUNCTION("GOOGLETRANSLATE(B55,""en"",""es"")"),"Ingrese el año del modelo de su vehículo")</f>
        <v>Ingrese el año del modelo de su vehículo</v>
      </c>
      <c r="M55" s="4" t="str">
        <f>IFERROR(__xludf.DUMMYFUNCTION("GOOGLETRANSLATE(B55,""en"",""iw"")"),"הזן את שנת דגם הרכב שלך")</f>
        <v>הזן את שנת דגם הרכב שלך</v>
      </c>
      <c r="N55" s="4" t="str">
        <f>IFERROR(__xludf.DUMMYFUNCTION("GOOGLETRANSLATE(B55,""en"",""bn"")"),"আপনার গাড়ির মডেল বছর লিখুন")</f>
        <v>আপনার গাড়ির মডেল বছর লিখুন</v>
      </c>
      <c r="O55" s="4" t="str">
        <f>IFERROR(__xludf.DUMMYFUNCTION("GOOGLETRANSLATE(B55,""en"",""pt"")"),"Insira o ano do modelo do seu veículo")</f>
        <v>Insira o ano do modelo do seu veículo</v>
      </c>
      <c r="P55" s="6"/>
    </row>
    <row r="56">
      <c r="A56" s="7" t="s">
        <v>168</v>
      </c>
      <c r="B56" s="3" t="s">
        <v>169</v>
      </c>
      <c r="C56" s="4" t="str">
        <f>IFERROR(__xludf.DUMMYFUNCTION("GOOGLETRANSLATE(B56,""en"",""hi"")"),"अपने वाहन का रंग दर्ज करें")</f>
        <v>अपने वाहन का रंग दर्ज करें</v>
      </c>
      <c r="D56" s="6" t="s">
        <v>170</v>
      </c>
      <c r="E56" s="4" t="str">
        <f>IFERROR(__xludf.DUMMYFUNCTION("GOOGLETRANSLATE(B56,""en"",""fr"")"),"Entrez la couleur de votre véhicule")</f>
        <v>Entrez la couleur de votre véhicule</v>
      </c>
      <c r="F56" s="4" t="str">
        <f>IFERROR(__xludf.DUMMYFUNCTION("GOOGLETRANSLATE(B56,""en"",""tr"")"),"Aracınızın Rengini Girin")</f>
        <v>Aracınızın Rengini Girin</v>
      </c>
      <c r="G56" s="4" t="str">
        <f>IFERROR(__xludf.DUMMYFUNCTION("GOOGLETRANSLATE(B56,""en"",""ru"")"),"Введите цвет вашего автомобиля")</f>
        <v>Введите цвет вашего автомобиля</v>
      </c>
      <c r="H56" s="4" t="str">
        <f>IFERROR(__xludf.DUMMYFUNCTION("GOOGLETRANSLATE(B56,""en"",""it"")"),"Inserisci il colore del tuo veicolo")</f>
        <v>Inserisci il colore del tuo veicolo</v>
      </c>
      <c r="I56" s="4" t="str">
        <f>IFERROR(__xludf.DUMMYFUNCTION("GOOGLETRANSLATE(B56,""en"",""de"")"),"Geben Sie Ihre Fahrzeugfarbe ein")</f>
        <v>Geben Sie Ihre Fahrzeugfarbe ein</v>
      </c>
      <c r="J56" s="4" t="str">
        <f>IFERROR(__xludf.DUMMYFUNCTION("GOOGLETRANSLATE(B56,""en"",""ko"")"),"차량 색상을 입력하세요")</f>
        <v>차량 색상을 입력하세요</v>
      </c>
      <c r="K56" s="4" t="str">
        <f>IFERROR(__xludf.DUMMYFUNCTION("GOOGLETRANSLATE(B56,""en"",""zh"")"),"输入您的车辆颜色")</f>
        <v>输入您的车辆颜色</v>
      </c>
      <c r="L56" s="4" t="str">
        <f>IFERROR(__xludf.DUMMYFUNCTION("GOOGLETRANSLATE(B56,""en"",""es"")"),"Ingrese el color de su vehículo")</f>
        <v>Ingrese el color de su vehículo</v>
      </c>
      <c r="M56" s="4" t="str">
        <f>IFERROR(__xludf.DUMMYFUNCTION("GOOGLETRANSLATE(B56,""en"",""iw"")"),"הזן את צבע הרכב שלך")</f>
        <v>הזן את צבע הרכב שלך</v>
      </c>
      <c r="N56" s="4" t="str">
        <f>IFERROR(__xludf.DUMMYFUNCTION("GOOGLETRANSLATE(B56,""en"",""bn"")"),"আপনার গাড়ির রঙ লিখুন")</f>
        <v>আপনার গাড়ির রঙ লিখুন</v>
      </c>
      <c r="O56" s="4" t="str">
        <f>IFERROR(__xludf.DUMMYFUNCTION("GOOGLETRANSLATE(B56,""en"",""pt"")"),"Insira a cor do seu veículo")</f>
        <v>Insira a cor do seu veículo</v>
      </c>
      <c r="P56" s="6"/>
    </row>
    <row r="57">
      <c r="A57" s="7" t="s">
        <v>171</v>
      </c>
      <c r="B57" s="3" t="s">
        <v>172</v>
      </c>
      <c r="C57" s="4" t="str">
        <f>IFERROR(__xludf.DUMMYFUNCTION("GOOGLETRANSLATE(B57,""en"",""hi"")"),"दस्तावेज़ अद्यतन करें")</f>
        <v>दस्तावेज़ अद्यतन करें</v>
      </c>
      <c r="D57" s="4" t="str">
        <f>IFERROR(__xludf.DUMMYFUNCTION("GOOGLETRANSLATE(B57,""en"",""ar"")"),"تحديث المستندات")</f>
        <v>تحديث المستندات</v>
      </c>
      <c r="E57" s="4" t="str">
        <f>IFERROR(__xludf.DUMMYFUNCTION("GOOGLETRANSLATE(B57,""en"",""fr"")"),"Mettre à jour les documents")</f>
        <v>Mettre à jour les documents</v>
      </c>
      <c r="F57" s="4" t="str">
        <f>IFERROR(__xludf.DUMMYFUNCTION("GOOGLETRANSLATE(B57,""en"",""tr"")"),"Belgeleri Güncelle")</f>
        <v>Belgeleri Güncelle</v>
      </c>
      <c r="G57" s="4" t="str">
        <f>IFERROR(__xludf.DUMMYFUNCTION("GOOGLETRANSLATE(B57,""en"",""ru"")"),"Обновить документы")</f>
        <v>Обновить документы</v>
      </c>
      <c r="H57" s="4" t="str">
        <f>IFERROR(__xludf.DUMMYFUNCTION("GOOGLETRANSLATE(B57,""en"",""it"")"),"Aggiorna documenti")</f>
        <v>Aggiorna documenti</v>
      </c>
      <c r="I57" s="4" t="str">
        <f>IFERROR(__xludf.DUMMYFUNCTION("GOOGLETRANSLATE(B57,""en"",""de"")"),"Dokumente aktualisieren")</f>
        <v>Dokumente aktualisieren</v>
      </c>
      <c r="J57" s="4" t="str">
        <f>IFERROR(__xludf.DUMMYFUNCTION("GOOGLETRANSLATE(B57,""en"",""ko"")"),"문서 업데이트")</f>
        <v>문서 업데이트</v>
      </c>
      <c r="K57" s="4" t="str">
        <f>IFERROR(__xludf.DUMMYFUNCTION("GOOGLETRANSLATE(B57,""en"",""zh"")"),"更新文件")</f>
        <v>更新文件</v>
      </c>
      <c r="L57" s="4" t="str">
        <f>IFERROR(__xludf.DUMMYFUNCTION("GOOGLETRANSLATE(B57,""en"",""es"")"),"Actualizar documentos")</f>
        <v>Actualizar documentos</v>
      </c>
      <c r="M57" s="4" t="str">
        <f>IFERROR(__xludf.DUMMYFUNCTION("GOOGLETRANSLATE(B57,""en"",""iw"")"),"עדכון מסמכים")</f>
        <v>עדכון מסמכים</v>
      </c>
      <c r="N57" s="4" t="str">
        <f>IFERROR(__xludf.DUMMYFUNCTION("GOOGLETRANSLATE(B57,""en"",""bn"")"),"নথি আপডেট করুন")</f>
        <v>নথি আপডেট করুন</v>
      </c>
      <c r="O57" s="4" t="str">
        <f>IFERROR(__xludf.DUMMYFUNCTION("GOOGLETRANSLATE(B57,""en"",""pt"")"),"Atualizar documentos")</f>
        <v>Atualizar documentos</v>
      </c>
      <c r="P57" s="6"/>
    </row>
    <row r="58">
      <c r="A58" s="7" t="s">
        <v>173</v>
      </c>
      <c r="B58" s="3" t="s">
        <v>174</v>
      </c>
      <c r="C58" s="4" t="str">
        <f>IFERROR(__xludf.DUMMYFUNCTION("GOOGLETRANSLATE(B58,""en"",""hi"")"),"खाता ब्लॉक कर दिया गया")</f>
        <v>खाता ब्लॉक कर दिया गया</v>
      </c>
      <c r="D58" s="6" t="s">
        <v>175</v>
      </c>
      <c r="E58" s="4" t="str">
        <f>IFERROR(__xludf.DUMMYFUNCTION("GOOGLETRANSLATE(B58,""en"",""fr"")"),"Compte bloqué")</f>
        <v>Compte bloqué</v>
      </c>
      <c r="F58" s="4" t="str">
        <f>IFERROR(__xludf.DUMMYFUNCTION("GOOGLETRANSLATE(B58,""en"",""tr"")"),"Hesap Engellendi")</f>
        <v>Hesap Engellendi</v>
      </c>
      <c r="G58" s="4" t="str">
        <f>IFERROR(__xludf.DUMMYFUNCTION("GOOGLETRANSLATE(B58,""en"",""ru"")"),"Аккаунт заблокирован")</f>
        <v>Аккаунт заблокирован</v>
      </c>
      <c r="H58" s="4" t="str">
        <f>IFERROR(__xludf.DUMMYFUNCTION("GOOGLETRANSLATE(B58,""en"",""it"")"),"Conto bloccato")</f>
        <v>Conto bloccato</v>
      </c>
      <c r="I58" s="4" t="str">
        <f>IFERROR(__xludf.DUMMYFUNCTION("GOOGLETRANSLATE(B58,""en"",""de"")"),"Konto gesperrt")</f>
        <v>Konto gesperrt</v>
      </c>
      <c r="J58" s="4" t="str">
        <f>IFERROR(__xludf.DUMMYFUNCTION("GOOGLETRANSLATE(B58,""en"",""ko"")"),"계정이 차단되었습니다")</f>
        <v>계정이 차단되었습니다</v>
      </c>
      <c r="K58" s="4" t="str">
        <f>IFERROR(__xludf.DUMMYFUNCTION("GOOGLETRANSLATE(B58,""en"",""zh"")"),"帐户被冻结")</f>
        <v>帐户被冻结</v>
      </c>
      <c r="L58" s="4" t="str">
        <f>IFERROR(__xludf.DUMMYFUNCTION("GOOGLETRANSLATE(B58,""en"",""es"")"),"Cuenta bloqueada")</f>
        <v>Cuenta bloqueada</v>
      </c>
      <c r="M58" s="4" t="str">
        <f>IFERROR(__xludf.DUMMYFUNCTION("GOOGLETRANSLATE(B58,""en"",""iw"")"),"חשבון חסום")</f>
        <v>חשבון חסום</v>
      </c>
      <c r="N58" s="4" t="str">
        <f>IFERROR(__xludf.DUMMYFUNCTION("GOOGLETRANSLATE(B58,""en"",""bn"")"),"অ্যাকাউন্ট ব্লক করা হয়েছে")</f>
        <v>অ্যাকাউন্ট ব্লক করা হয়েছে</v>
      </c>
      <c r="O58" s="4" t="str">
        <f>IFERROR(__xludf.DUMMYFUNCTION("GOOGLETRANSLATE(B58,""en"",""pt"")"),"Conta bloqueada")</f>
        <v>Conta bloqueada</v>
      </c>
      <c r="P58" s="4"/>
    </row>
    <row r="59">
      <c r="A59" s="7" t="s">
        <v>176</v>
      </c>
      <c r="B59" s="3" t="s">
        <v>177</v>
      </c>
      <c r="C59" s="4" t="str">
        <f>IFERROR(__xludf.DUMMYFUNCTION("GOOGLETRANSLATE(B59,""en"",""hi"")"),"आपका खाता निम्नलिखित कारणों से अवरुद्ध कर दिया गया है")</f>
        <v>आपका खाता निम्नलिखित कारणों से अवरुद्ध कर दिया गया है</v>
      </c>
      <c r="D59" s="6" t="s">
        <v>178</v>
      </c>
      <c r="E59" s="4" t="str">
        <f>IFERROR(__xludf.DUMMYFUNCTION("GOOGLETRANSLATE(B59,""en"",""fr"")"),"Votre compte est bloqué pour les raisons suivantes")</f>
        <v>Votre compte est bloqué pour les raisons suivantes</v>
      </c>
      <c r="F59" s="4" t="str">
        <f>IFERROR(__xludf.DUMMYFUNCTION("GOOGLETRANSLATE(B59,""en"",""tr"")"),"Hesabınız aşağıdaki nedenlerden dolayı engellendi")</f>
        <v>Hesabınız aşağıdaki nedenlerden dolayı engellendi</v>
      </c>
      <c r="G59" s="4" t="str">
        <f>IFERROR(__xludf.DUMMYFUNCTION("GOOGLETRANSLATE(B59,""en"",""ru"")"),"Ваш аккаунт заблокирован по следующим причинам")</f>
        <v>Ваш аккаунт заблокирован по следующим причинам</v>
      </c>
      <c r="H59" s="4" t="str">
        <f>IFERROR(__xludf.DUMMYFUNCTION("GOOGLETRANSLATE(B59,""en"",""it"")"),"Il tuo account è bloccato per i seguenti motivi")</f>
        <v>Il tuo account è bloccato per i seguenti motivi</v>
      </c>
      <c r="I59" s="4" t="str">
        <f>IFERROR(__xludf.DUMMYFUNCTION("GOOGLETRANSLATE(B59,""en"",""de"")"),"Ihr Konto ist aus folgenden Gründen gesperrt")</f>
        <v>Ihr Konto ist aus folgenden Gründen gesperrt</v>
      </c>
      <c r="J59" s="4" t="str">
        <f>IFERROR(__xludf.DUMMYFUNCTION("GOOGLETRANSLATE(B59,""en"",""ko"")"),"귀하의 계정은 다음과 같은 이유로 차단되었습니다")</f>
        <v>귀하의 계정은 다음과 같은 이유로 차단되었습니다</v>
      </c>
      <c r="K59" s="4" t="str">
        <f>IFERROR(__xludf.DUMMYFUNCTION("GOOGLETRANSLATE(B59,""en"",""zh"")"),"您的帐户因以下原因被封锁")</f>
        <v>您的帐户因以下原因被封锁</v>
      </c>
      <c r="L59" s="4" t="str">
        <f>IFERROR(__xludf.DUMMYFUNCTION("GOOGLETRANSLATE(B59,""en"",""es"")"),"Su cuenta está bloqueada por los siguientes motivos")</f>
        <v>Su cuenta está bloqueada por los siguientes motivos</v>
      </c>
      <c r="M59" s="4" t="str">
        <f>IFERROR(__xludf.DUMMYFUNCTION("GOOGLETRANSLATE(B59,""en"",""iw"")"),"החשבון שלך נחסם מהסיבות הבאות")</f>
        <v>החשבון שלך נחסם מהסיבות הבאות</v>
      </c>
      <c r="N59" s="4" t="str">
        <f>IFERROR(__xludf.DUMMYFUNCTION("GOOGLETRANSLATE(B59,""en"",""bn"")"),"নিম্নলিখিত কারণে আপনার অ্যাকাউন্ট ব্লক করা হয়েছে")</f>
        <v>নিম্নলিখিত কারণে আপনার অ্যাকাউন্ট ব্লক করা হয়েছে</v>
      </c>
      <c r="O59" s="4" t="str">
        <f>IFERROR(__xludf.DUMMYFUNCTION("GOOGLETRANSLATE(B59,""en"",""pt"")"),"Sua conta está bloqueada pelos seguintes motivos")</f>
        <v>Sua conta está bloqueada pelos seguintes motivos</v>
      </c>
      <c r="P59" s="6"/>
    </row>
    <row r="60">
      <c r="A60" s="7" t="s">
        <v>179</v>
      </c>
      <c r="B60" s="3" t="s">
        <v>180</v>
      </c>
      <c r="C60" s="4" t="str">
        <f>IFERROR(__xludf.DUMMYFUNCTION("GOOGLETRANSLATE(B60,""en"",""hi"")"),"अपने व्यवस्थापक से संपर्क करें")</f>
        <v>अपने व्यवस्थापक से संपर्क करें</v>
      </c>
      <c r="D60" s="6" t="s">
        <v>181</v>
      </c>
      <c r="E60" s="4" t="str">
        <f>IFERROR(__xludf.DUMMYFUNCTION("GOOGLETRANSLATE(B60,""en"",""fr"")"),"Contactez votre administrateur")</f>
        <v>Contactez votre administrateur</v>
      </c>
      <c r="F60" s="4" t="str">
        <f>IFERROR(__xludf.DUMMYFUNCTION("GOOGLETRANSLATE(B60,""en"",""tr"")"),"Yöneticinizle iletişime geçin")</f>
        <v>Yöneticinizle iletişime geçin</v>
      </c>
      <c r="G60" s="4" t="str">
        <f>IFERROR(__xludf.DUMMYFUNCTION("GOOGLETRANSLATE(B60,""en"",""ru"")"),"Свяжитесь с вашим администратором")</f>
        <v>Свяжитесь с вашим администратором</v>
      </c>
      <c r="H60" s="4" t="str">
        <f>IFERROR(__xludf.DUMMYFUNCTION("GOOGLETRANSLATE(B60,""en"",""it"")"),"Contatta il tuo amministratore")</f>
        <v>Contatta il tuo amministratore</v>
      </c>
      <c r="I60" s="4" t="str">
        <f>IFERROR(__xludf.DUMMYFUNCTION("GOOGLETRANSLATE(B60,""en"",""de"")"),"Kontaktieren Sie Ihren Administrator")</f>
        <v>Kontaktieren Sie Ihren Administrator</v>
      </c>
      <c r="J60" s="4" t="str">
        <f>IFERROR(__xludf.DUMMYFUNCTION("GOOGLETRANSLATE(B60,""en"",""ko"")"),"관리자에게 문의하세요")</f>
        <v>관리자에게 문의하세요</v>
      </c>
      <c r="K60" s="4" t="str">
        <f>IFERROR(__xludf.DUMMYFUNCTION("GOOGLETRANSLATE(B60,""en"",""zh"")"),"联系您的管理员")</f>
        <v>联系您的管理员</v>
      </c>
      <c r="L60" s="4" t="str">
        <f>IFERROR(__xludf.DUMMYFUNCTION("GOOGLETRANSLATE(B60,""en"",""es"")"),"Póngase en contacto con su administrador")</f>
        <v>Póngase en contacto con su administrador</v>
      </c>
      <c r="M60" s="4" t="str">
        <f>IFERROR(__xludf.DUMMYFUNCTION("GOOGLETRANSLATE(B60,""en"",""iw"")"),"פנה למנהל המערכת שלך")</f>
        <v>פנה למנהל המערכת שלך</v>
      </c>
      <c r="N60" s="4" t="str">
        <f>IFERROR(__xludf.DUMMYFUNCTION("GOOGLETRANSLATE(B60,""en"",""bn"")"),"আপনার অ্যাডমিনের সাথে যোগাযোগ করুন")</f>
        <v>আপনার অ্যাডমিনের সাথে যোগাযোগ করুন</v>
      </c>
      <c r="O60" s="4" t="str">
        <f>IFERROR(__xludf.DUMMYFUNCTION("GOOGLETRANSLATE(B60,""en"",""pt"")"),"Entre em contato com seu administrador")</f>
        <v>Entre em contato com seu administrador</v>
      </c>
      <c r="P60" s="6"/>
    </row>
    <row r="61">
      <c r="A61" s="7" t="s">
        <v>182</v>
      </c>
      <c r="B61" s="3" t="s">
        <v>183</v>
      </c>
      <c r="C61" s="4" t="str">
        <f>IFERROR(__xludf.DUMMYFUNCTION("GOOGLETRANSLATE(B61,""en"",""hi"")"),"कृपया अपना स्थान सक्षम करें")</f>
        <v>कृपया अपना स्थान सक्षम करें</v>
      </c>
      <c r="D61" s="6" t="s">
        <v>184</v>
      </c>
      <c r="E61" s="4" t="str">
        <f>IFERROR(__xludf.DUMMYFUNCTION("GOOGLETRANSLATE(B61,""en"",""fr"")"),"Veuillez activer votre emplacement")</f>
        <v>Veuillez activer votre emplacement</v>
      </c>
      <c r="F61" s="4" t="str">
        <f>IFERROR(__xludf.DUMMYFUNCTION("GOOGLETRANSLATE(B61,""en"",""tr"")"),"Lütfen Konumunuzu Etkinleştirin")</f>
        <v>Lütfen Konumunuzu Etkinleştirin</v>
      </c>
      <c r="G61" s="4" t="str">
        <f>IFERROR(__xludf.DUMMYFUNCTION("GOOGLETRANSLATE(B61,""en"",""ru"")"),"Пожалуйста, включите ваше местоположение")</f>
        <v>Пожалуйста, включите ваше местоположение</v>
      </c>
      <c r="H61" s="4" t="str">
        <f>IFERROR(__xludf.DUMMYFUNCTION("GOOGLETRANSLATE(B61,""en"",""it"")"),"Per favore abilita la tua posizione")</f>
        <v>Per favore abilita la tua posizione</v>
      </c>
      <c r="I61" s="4" t="str">
        <f>IFERROR(__xludf.DUMMYFUNCTION("GOOGLETRANSLATE(B61,""en"",""de"")"),"Bitte aktivieren Sie Ihren Standort")</f>
        <v>Bitte aktivieren Sie Ihren Standort</v>
      </c>
      <c r="J61" s="4" t="str">
        <f>IFERROR(__xludf.DUMMYFUNCTION("GOOGLETRANSLATE(B61,""en"",""ko"")"),"위치를 활성화하십시오")</f>
        <v>위치를 활성화하십시오</v>
      </c>
      <c r="K61" s="4" t="str">
        <f>IFERROR(__xludf.DUMMYFUNCTION("GOOGLETRANSLATE(B61,""en"",""zh"")"),"请启用您的位置")</f>
        <v>请启用您的位置</v>
      </c>
      <c r="L61" s="4" t="str">
        <f>IFERROR(__xludf.DUMMYFUNCTION("GOOGLETRANSLATE(B61,""en"",""es"")"),"Por favor habilite su ubicación")</f>
        <v>Por favor habilite su ubicación</v>
      </c>
      <c r="M61" s="4" t="str">
        <f>IFERROR(__xludf.DUMMYFUNCTION("GOOGLETRANSLATE(B61,""en"",""iw"")"),"אנא הפעל את המיקום שלך")</f>
        <v>אנא הפעל את המיקום שלך</v>
      </c>
      <c r="N61" s="4" t="str">
        <f>IFERROR(__xludf.DUMMYFUNCTION("GOOGLETRANSLATE(B61,""en"",""bn"")"),"আপনার অবস্থান সক্রিয় করুন")</f>
        <v>আপনার অবস্থান সক্রিয় করুন</v>
      </c>
      <c r="O61" s="4" t="str">
        <f>IFERROR(__xludf.DUMMYFUNCTION("GOOGLETRANSLATE(B61,""en"",""pt"")"),"Ative sua localização")</f>
        <v>Ative sua localização</v>
      </c>
      <c r="P61" s="6"/>
    </row>
    <row r="62">
      <c r="A62" s="7" t="s">
        <v>185</v>
      </c>
      <c r="B62" s="3" t="s">
        <v>186</v>
      </c>
      <c r="C62" s="4" t="str">
        <f>IFERROR(__xludf.DUMMYFUNCTION("GOOGLETRANSLATE(B62,""en"",""hi"")"),"ठीक है")</f>
        <v>ठीक है</v>
      </c>
      <c r="D62" s="6" t="s">
        <v>187</v>
      </c>
      <c r="E62" s="4" t="str">
        <f>IFERROR(__xludf.DUMMYFUNCTION("GOOGLETRANSLATE(B62,""en"",""fr"")"),"D'accord")</f>
        <v>D'accord</v>
      </c>
      <c r="F62" s="4" t="str">
        <f>IFERROR(__xludf.DUMMYFUNCTION("GOOGLETRANSLATE(B62,""en"",""tr"")"),"Tamam")</f>
        <v>Tamam</v>
      </c>
      <c r="G62" s="4" t="str">
        <f>IFERROR(__xludf.DUMMYFUNCTION("GOOGLETRANSLATE(B62,""en"",""ru"")"),"Хорошо")</f>
        <v>Хорошо</v>
      </c>
      <c r="H62" s="4" t="str">
        <f>IFERROR(__xludf.DUMMYFUNCTION("GOOGLETRANSLATE(B62,""en"",""it"")"),"OK")</f>
        <v>OK</v>
      </c>
      <c r="I62" s="4" t="str">
        <f>IFERROR(__xludf.DUMMYFUNCTION("GOOGLETRANSLATE(B62,""en"",""de"")"),"OK")</f>
        <v>OK</v>
      </c>
      <c r="J62" s="4" t="str">
        <f>IFERROR(__xludf.DUMMYFUNCTION("GOOGLETRANSLATE(B62,""en"",""ko"")"),"좋아요")</f>
        <v>좋아요</v>
      </c>
      <c r="K62" s="4" t="str">
        <f>IFERROR(__xludf.DUMMYFUNCTION("GOOGLETRANSLATE(B62,""en"",""zh"")"),"好的")</f>
        <v>好的</v>
      </c>
      <c r="L62" s="4" t="str">
        <f>IFERROR(__xludf.DUMMYFUNCTION("GOOGLETRANSLATE(B62,""en"",""es"")"),"De acuerdo")</f>
        <v>De acuerdo</v>
      </c>
      <c r="M62" s="4" t="str">
        <f>IFERROR(__xludf.DUMMYFUNCTION("GOOGLETRANSLATE(B62,""en"",""iw"")"),"בסדר")</f>
        <v>בסדר</v>
      </c>
      <c r="N62" s="4" t="str">
        <f>IFERROR(__xludf.DUMMYFUNCTION("GOOGLETRANSLATE(B62,""en"",""bn"")"),"ঠিক আছে")</f>
        <v>ঠিক আছে</v>
      </c>
      <c r="O62" s="4" t="str">
        <f>IFERROR(__xludf.DUMMYFUNCTION("GOOGLETRANSLATE(B62,""en"",""pt"")"),"OK")</f>
        <v>OK</v>
      </c>
      <c r="P62" s="6"/>
    </row>
    <row r="63">
      <c r="A63" s="7" t="s">
        <v>188</v>
      </c>
      <c r="B63" s="3" t="s">
        <v>189</v>
      </c>
      <c r="C63" s="4" t="str">
        <f>IFERROR(__xludf.DUMMYFUNCTION("GOOGLETRANSLATE(B63,""en"",""hi"")"),"हर समय स्थान की अनुमति दें - वाहन बुक करने के लिए")</f>
        <v>हर समय स्थान की अनुमति दें - वाहन बुक करने के लिए</v>
      </c>
      <c r="D63" s="6" t="s">
        <v>190</v>
      </c>
      <c r="E63" s="4" t="str">
        <f>IFERROR(__xludf.DUMMYFUNCTION("GOOGLETRANSLATE(B63,""en"",""fr"")"),"Autoriser la localisation à tout moment - Pour réserver un véhicule")</f>
        <v>Autoriser la localisation à tout moment - Pour réserver un véhicule</v>
      </c>
      <c r="F63" s="4" t="str">
        <f>IFERROR(__xludf.DUMMYFUNCTION("GOOGLETRANSLATE(B63,""en"",""tr"")"),"Konum'a her zaman izin ver - Araç rezervasyonu yapmak için")</f>
        <v>Konum'a her zaman izin ver - Araç rezervasyonu yapmak için</v>
      </c>
      <c r="G63" s="4" t="str">
        <f>IFERROR(__xludf.DUMMYFUNCTION("GOOGLETRANSLATE(B63,""en"",""ru"")"),"Разрешить местоположение все время - Чтобы забронировать автомобиль")</f>
        <v>Разрешить местоположение все время - Чтобы забронировать автомобиль</v>
      </c>
      <c r="H63" s="4" t="str">
        <f>IFERROR(__xludf.DUMMYFUNCTION("GOOGLETRANSLATE(B63,""en"",""it"")"),"Consenti sempre la posizione: per prenotare un veicolo")</f>
        <v>Consenti sempre la posizione: per prenotare un veicolo</v>
      </c>
      <c r="I63" s="4" t="str">
        <f>IFERROR(__xludf.DUMMYFUNCTION("GOOGLETRANSLATE(B63,""en"",""de"")"),"Standort ständig zulassen – Um ein Fahrzeug zu buchen")</f>
        <v>Standort ständig zulassen – Um ein Fahrzeug zu buchen</v>
      </c>
      <c r="J63" s="4" t="str">
        <f>IFERROR(__xludf.DUMMYFUNCTION("GOOGLETRANSLATE(B63,""en"",""ko"")"),"항상 위치 허용 - 차량을 예약하려면")</f>
        <v>항상 위치 허용 - 차량을 예약하려면</v>
      </c>
      <c r="K63" s="4" t="str">
        <f>IFERROR(__xludf.DUMMYFUNCTION("GOOGLETRANSLATE(B63,""en"",""zh"")"),"始终允许位置 - 预订车辆")</f>
        <v>始终允许位置 - 预订车辆</v>
      </c>
      <c r="L63" s="4" t="str">
        <f>IFERROR(__xludf.DUMMYFUNCTION("GOOGLETRANSLATE(B63,""en"",""es"")"),"Permitir ubicación todo el tiempo: para reservar un vehículo")</f>
        <v>Permitir ubicación todo el tiempo: para reservar un vehículo</v>
      </c>
      <c r="M63" s="4" t="str">
        <f>IFERROR(__xludf.DUMMYFUNCTION("GOOGLETRANSLATE(B63,""en"",""iw"")"),"אפשר מיקום כל הזמן - להזמנת רכב")</f>
        <v>אפשר מיקום כל הזמן - להזמנת רכב</v>
      </c>
      <c r="N63" s="4" t="str">
        <f>IFERROR(__xludf.DUMMYFUNCTION("GOOGLETRANSLATE(B63,""en"",""bn"")"),"সর্বদা অবস্থানের অনুমতি দিন - একটি যানবাহন বুক করতে")</f>
        <v>সর্বদা অবস্থানের অনুমতি দিন - একটি যানবাহন বুক করতে</v>
      </c>
      <c r="O63" s="4" t="str">
        <f>IFERROR(__xludf.DUMMYFUNCTION("GOOGLETRANSLATE(B63,""en"",""pt"")"),"Permitir localização o tempo todo - Para reservar um veículo")</f>
        <v>Permitir localização o tempo todo - Para reservar um veículo</v>
      </c>
      <c r="P63" s="6"/>
    </row>
    <row r="64">
      <c r="A64" s="7" t="s">
        <v>191</v>
      </c>
      <c r="B64" s="3" t="s">
        <v>192</v>
      </c>
      <c r="C64" s="4" t="str">
        <f>IFERROR(__xludf.DUMMYFUNCTION("GOOGLETRANSLATE(B64,""en"",""hi"")"),"काम पर")</f>
        <v>काम पर</v>
      </c>
      <c r="D64" s="4" t="str">
        <f>IFERROR(__xludf.DUMMYFUNCTION("GOOGLETRANSLATE(B64,""en"",""ar"")"),"في الخدمة")</f>
        <v>في الخدمة</v>
      </c>
      <c r="E64" s="4" t="str">
        <f>IFERROR(__xludf.DUMMYFUNCTION("GOOGLETRANSLATE(B64,""en"",""fr"")"),"En service")</f>
        <v>En service</v>
      </c>
      <c r="F64" s="4" t="str">
        <f>IFERROR(__xludf.DUMMYFUNCTION("GOOGLETRANSLATE(B64,""en"",""tr"")"),"Görevde")</f>
        <v>Görevde</v>
      </c>
      <c r="G64" s="4" t="str">
        <f>IFERROR(__xludf.DUMMYFUNCTION("GOOGLETRANSLATE(B64,""en"",""ru"")"),"На службе")</f>
        <v>На службе</v>
      </c>
      <c r="H64" s="4" t="str">
        <f>IFERROR(__xludf.DUMMYFUNCTION("GOOGLETRANSLATE(B64,""en"",""it"")"),"In servizio")</f>
        <v>In servizio</v>
      </c>
      <c r="I64" s="4" t="str">
        <f>IFERROR(__xludf.DUMMYFUNCTION("GOOGLETRANSLATE(B64,""en"",""de"")"),"Im Dienst")</f>
        <v>Im Dienst</v>
      </c>
      <c r="J64" s="4" t="str">
        <f>IFERROR(__xludf.DUMMYFUNCTION("GOOGLETRANSLATE(B64,""en"",""ko"")"),"근무중인")</f>
        <v>근무중인</v>
      </c>
      <c r="K64" s="4" t="str">
        <f>IFERROR(__xludf.DUMMYFUNCTION("GOOGLETRANSLATE(B64,""en"",""zh"")"),"值班")</f>
        <v>值班</v>
      </c>
      <c r="L64" s="4" t="str">
        <f>IFERROR(__xludf.DUMMYFUNCTION("GOOGLETRANSLATE(B64,""en"",""es"")"),"De servicio")</f>
        <v>De servicio</v>
      </c>
      <c r="M64" s="4" t="str">
        <f>IFERROR(__xludf.DUMMYFUNCTION("GOOGLETRANSLATE(B64,""en"",""iw"")"),"בתפקיד")</f>
        <v>בתפקיד</v>
      </c>
      <c r="N64" s="4" t="str">
        <f>IFERROR(__xludf.DUMMYFUNCTION("GOOGLETRANSLATE(B64,""en"",""bn"")"),"কাজে আছি")</f>
        <v>কাজে আছি</v>
      </c>
      <c r="O64" s="4" t="str">
        <f>IFERROR(__xludf.DUMMYFUNCTION("GOOGLETRANSLATE(B64,""en"",""pt"")"),"Em serviço")</f>
        <v>Em serviço</v>
      </c>
      <c r="P64" s="6"/>
    </row>
    <row r="65">
      <c r="A65" s="7" t="s">
        <v>193</v>
      </c>
      <c r="B65" s="3" t="s">
        <v>194</v>
      </c>
      <c r="C65" s="4" t="str">
        <f>IFERROR(__xludf.DUMMYFUNCTION("GOOGLETRANSLATE(B65,""en"",""hi"")"),"काम के समय के बाद")</f>
        <v>काम के समय के बाद</v>
      </c>
      <c r="D65" s="4" t="str">
        <f>IFERROR(__xludf.DUMMYFUNCTION("GOOGLETRANSLATE(B65,""en"",""ar"")"),"خارج الخدمه")</f>
        <v>خارج الخدمه</v>
      </c>
      <c r="E65" s="4" t="str">
        <f>IFERROR(__xludf.DUMMYFUNCTION("GOOGLETRANSLATE(B65,""en"",""fr"")"),"En congé")</f>
        <v>En congé</v>
      </c>
      <c r="F65" s="4" t="str">
        <f>IFERROR(__xludf.DUMMYFUNCTION("GOOGLETRANSLATE(B65,""en"",""tr"")"),"Görev dışı")</f>
        <v>Görev dışı</v>
      </c>
      <c r="G65" s="4" t="str">
        <f>IFERROR(__xludf.DUMMYFUNCTION("GOOGLETRANSLATE(B65,""en"",""ru"")"),"Вне службы")</f>
        <v>Вне службы</v>
      </c>
      <c r="H65" s="4" t="str">
        <f>IFERROR(__xludf.DUMMYFUNCTION("GOOGLETRANSLATE(B65,""en"",""it"")"),"Fuori servizio")</f>
        <v>Fuori servizio</v>
      </c>
      <c r="I65" s="4" t="str">
        <f>IFERROR(__xludf.DUMMYFUNCTION("GOOGLETRANSLATE(B65,""en"",""de"")"),"Außer Dienst")</f>
        <v>Außer Dienst</v>
      </c>
      <c r="J65" s="4" t="str">
        <f>IFERROR(__xludf.DUMMYFUNCTION("GOOGLETRANSLATE(B65,""en"",""ko"")"),"비번")</f>
        <v>비번</v>
      </c>
      <c r="K65" s="4" t="str">
        <f>IFERROR(__xludf.DUMMYFUNCTION("GOOGLETRANSLATE(B65,""en"",""zh"")"),"下班")</f>
        <v>下班</v>
      </c>
      <c r="L65" s="4" t="str">
        <f>IFERROR(__xludf.DUMMYFUNCTION("GOOGLETRANSLATE(B65,""en"",""es"")"),"Fuera de servicio")</f>
        <v>Fuera de servicio</v>
      </c>
      <c r="M65" s="4" t="str">
        <f>IFERROR(__xludf.DUMMYFUNCTION("GOOGLETRANSLATE(B65,""en"",""iw"")"),"לא בתפקיד")</f>
        <v>לא בתפקיד</v>
      </c>
      <c r="N65" s="4" t="str">
        <f>IFERROR(__xludf.DUMMYFUNCTION("GOOGLETRANSLATE(B65,""en"",""bn"")"),"দায়িত্ব বন্ধ")</f>
        <v>দায়িত্ব বন্ধ</v>
      </c>
      <c r="O65" s="4" t="str">
        <f>IFERROR(__xludf.DUMMYFUNCTION("GOOGLETRANSLATE(B65,""en"",""pt"")"),"Fora de serviço")</f>
        <v>Fora de serviço</v>
      </c>
      <c r="P65" s="4"/>
    </row>
    <row r="66">
      <c r="A66" s="7" t="s">
        <v>195</v>
      </c>
      <c r="B66" s="3" t="s">
        <v>196</v>
      </c>
      <c r="C66" s="4" t="str">
        <f>IFERROR(__xludf.DUMMYFUNCTION("GOOGLETRANSLATE(B66,""en"",""hi"")"),"पिक अप बिंदु")</f>
        <v>पिक अप बिंदु</v>
      </c>
      <c r="D66" s="6" t="s">
        <v>197</v>
      </c>
      <c r="E66" s="4" t="str">
        <f>IFERROR(__xludf.DUMMYFUNCTION("GOOGLETRANSLATE(B66,""en"",""fr"")"),"Point de retrait")</f>
        <v>Point de retrait</v>
      </c>
      <c r="F66" s="4" t="str">
        <f>IFERROR(__xludf.DUMMYFUNCTION("GOOGLETRANSLATE(B66,""en"",""tr"")"),"Teslim alma noktası")</f>
        <v>Teslim alma noktası</v>
      </c>
      <c r="G66" s="4" t="str">
        <f>IFERROR(__xludf.DUMMYFUNCTION("GOOGLETRANSLATE(B66,""en"",""ru"")"),"Место сбора")</f>
        <v>Место сбора</v>
      </c>
      <c r="H66" s="4" t="str">
        <f>IFERROR(__xludf.DUMMYFUNCTION("GOOGLETRANSLATE(B66,""en"",""it"")"),"Punto di ritiro")</f>
        <v>Punto di ritiro</v>
      </c>
      <c r="I66" s="4" t="str">
        <f>IFERROR(__xludf.DUMMYFUNCTION("GOOGLETRANSLATE(B66,""en"",""de"")"),"Abholpunkt")</f>
        <v>Abholpunkt</v>
      </c>
      <c r="J66" s="4" t="str">
        <f>IFERROR(__xludf.DUMMYFUNCTION("GOOGLETRANSLATE(B66,""en"",""ko"")"),"픽업 장소")</f>
        <v>픽업 장소</v>
      </c>
      <c r="K66" s="4" t="str">
        <f>IFERROR(__xludf.DUMMYFUNCTION("GOOGLETRANSLATE(B66,""en"",""zh"")"),"接送点")</f>
        <v>接送点</v>
      </c>
      <c r="L66" s="4" t="str">
        <f>IFERROR(__xludf.DUMMYFUNCTION("GOOGLETRANSLATE(B66,""en"",""es"")"),"Punto de recogida")</f>
        <v>Punto de recogida</v>
      </c>
      <c r="M66" s="4" t="str">
        <f>IFERROR(__xludf.DUMMYFUNCTION("GOOGLETRANSLATE(B66,""en"",""iw"")"),"נקודת איסוף")</f>
        <v>נקודת איסוף</v>
      </c>
      <c r="N66" s="4" t="str">
        <f>IFERROR(__xludf.DUMMYFUNCTION("GOOGLETRANSLATE(B66,""en"",""bn"")"),"সংগ্রহের স্থান")</f>
        <v>সংগ্রহের স্থান</v>
      </c>
      <c r="O66" s="4" t="str">
        <f>IFERROR(__xludf.DUMMYFUNCTION("GOOGLETRANSLATE(B66,""en"",""pt"")"),"Ponto de coleta")</f>
        <v>Ponto de coleta</v>
      </c>
      <c r="P66" s="4"/>
    </row>
    <row r="67">
      <c r="A67" s="7" t="s">
        <v>198</v>
      </c>
      <c r="B67" s="3" t="s">
        <v>199</v>
      </c>
      <c r="C67" s="4" t="str">
        <f>IFERROR(__xludf.DUMMYFUNCTION("GOOGLETRANSLATE(B67,""en"",""hi"")"),"ड्रॉपआउट बिंदु")</f>
        <v>ड्रॉपआउट बिंदु</v>
      </c>
      <c r="D67" s="6" t="s">
        <v>200</v>
      </c>
      <c r="E67" s="4" t="str">
        <f>IFERROR(__xludf.DUMMYFUNCTION("GOOGLETRANSLATE(B67,""en"",""fr"")"),"Point d'abandon")</f>
        <v>Point d'abandon</v>
      </c>
      <c r="F67" s="4" t="str">
        <f>IFERROR(__xludf.DUMMYFUNCTION("GOOGLETRANSLATE(B67,""en"",""tr"")"),"Bırakma noktası")</f>
        <v>Bırakma noktası</v>
      </c>
      <c r="G67" s="4" t="str">
        <f>IFERROR(__xludf.DUMMYFUNCTION("GOOGLETRANSLATE(B67,""en"",""ru"")"),"Точка отсева")</f>
        <v>Точка отсева</v>
      </c>
      <c r="H67" s="4" t="str">
        <f>IFERROR(__xludf.DUMMYFUNCTION("GOOGLETRANSLATE(B67,""en"",""it"")"),"Punto di abbandono")</f>
        <v>Punto di abbandono</v>
      </c>
      <c r="I67" s="4" t="str">
        <f>IFERROR(__xludf.DUMMYFUNCTION("GOOGLETRANSLATE(B67,""en"",""de"")"),"Ausfallpunkt")</f>
        <v>Ausfallpunkt</v>
      </c>
      <c r="J67" s="4" t="str">
        <f>IFERROR(__xludf.DUMMYFUNCTION("GOOGLETRANSLATE(B67,""en"",""ko"")"),"탈락 지점")</f>
        <v>탈락 지점</v>
      </c>
      <c r="K67" s="4" t="str">
        <f>IFERROR(__xludf.DUMMYFUNCTION("GOOGLETRANSLATE(B67,""en"",""zh"")"),"辍学点")</f>
        <v>辍学点</v>
      </c>
      <c r="L67" s="4" t="str">
        <f>IFERROR(__xludf.DUMMYFUNCTION("GOOGLETRANSLATE(B67,""en"",""es"")"),"Punto de abandono")</f>
        <v>Punto de abandono</v>
      </c>
      <c r="M67" s="4" t="str">
        <f>IFERROR(__xludf.DUMMYFUNCTION("GOOGLETRANSLATE(B67,""en"",""iw"")"),"נקודת נשירה")</f>
        <v>נקודת נשירה</v>
      </c>
      <c r="N67" s="4" t="str">
        <f>IFERROR(__xludf.DUMMYFUNCTION("GOOGLETRANSLATE(B67,""en"",""bn"")"),"ড্রপআউট পয়েন্ট")</f>
        <v>ড্রপআউট পয়েন্ট</v>
      </c>
      <c r="O67" s="4" t="str">
        <f>IFERROR(__xludf.DUMMYFUNCTION("GOOGLETRANSLATE(B67,""en"",""pt"")"),"Ponto de abandono")</f>
        <v>Ponto de abandono</v>
      </c>
      <c r="P67" s="6"/>
    </row>
    <row r="68">
      <c r="A68" s="7" t="s">
        <v>201</v>
      </c>
      <c r="B68" s="8" t="s">
        <v>202</v>
      </c>
      <c r="C68" s="4" t="str">
        <f>IFERROR(__xludf.DUMMYFUNCTION("GOOGLETRANSLATE(B68,""en"",""hi"")"),"गिरावट")</f>
        <v>गिरावट</v>
      </c>
      <c r="D68" s="6" t="s">
        <v>203</v>
      </c>
      <c r="E68" s="4" t="str">
        <f>IFERROR(__xludf.DUMMYFUNCTION("GOOGLETRANSLATE(B68,""en"",""fr"")"),"Déclin")</f>
        <v>Déclin</v>
      </c>
      <c r="F68" s="4" t="str">
        <f>IFERROR(__xludf.DUMMYFUNCTION("GOOGLETRANSLATE(B68,""en"",""tr"")"),"Reddetmek")</f>
        <v>Reddetmek</v>
      </c>
      <c r="G68" s="4" t="str">
        <f>IFERROR(__xludf.DUMMYFUNCTION("GOOGLETRANSLATE(B68,""en"",""ru"")"),"Отклонить")</f>
        <v>Отклонить</v>
      </c>
      <c r="H68" s="4" t="str">
        <f>IFERROR(__xludf.DUMMYFUNCTION("GOOGLETRANSLATE(B68,""en"",""it"")"),"Declino")</f>
        <v>Declino</v>
      </c>
      <c r="I68" s="4" t="str">
        <f>IFERROR(__xludf.DUMMYFUNCTION("GOOGLETRANSLATE(B68,""en"",""de"")"),"Abfall")</f>
        <v>Abfall</v>
      </c>
      <c r="J68" s="4" t="str">
        <f>IFERROR(__xludf.DUMMYFUNCTION("GOOGLETRANSLATE(B68,""en"",""ko"")"),"감소")</f>
        <v>감소</v>
      </c>
      <c r="K68" s="4" t="str">
        <f>IFERROR(__xludf.DUMMYFUNCTION("GOOGLETRANSLATE(B68,""en"",""zh"")"),"衰退")</f>
        <v>衰退</v>
      </c>
      <c r="L68" s="4" t="str">
        <f>IFERROR(__xludf.DUMMYFUNCTION("GOOGLETRANSLATE(B68,""en"",""es"")"),"Rechazar")</f>
        <v>Rechazar</v>
      </c>
      <c r="M68" s="4" t="str">
        <f>IFERROR(__xludf.DUMMYFUNCTION("GOOGLETRANSLATE(B68,""en"",""iw"")"),"יְרִידָה")</f>
        <v>יְרִידָה</v>
      </c>
      <c r="N68" s="4" t="str">
        <f>IFERROR(__xludf.DUMMYFUNCTION("GOOGLETRANSLATE(B68,""en"",""bn"")"),"প্রত্যাখ্যান")</f>
        <v>প্রত্যাখ্যান</v>
      </c>
      <c r="O68" s="4" t="str">
        <f>IFERROR(__xludf.DUMMYFUNCTION("GOOGLETRANSLATE(B68,""en"",""pt"")"),"Declínio")</f>
        <v>Declínio</v>
      </c>
      <c r="P68" s="6"/>
    </row>
    <row r="69">
      <c r="A69" s="7" t="s">
        <v>204</v>
      </c>
      <c r="B69" s="3" t="s">
        <v>205</v>
      </c>
      <c r="C69" s="4" t="str">
        <f>IFERROR(__xludf.DUMMYFUNCTION("GOOGLETRANSLATE(B69,""en"",""hi"")"),"स्वीकार करना")</f>
        <v>स्वीकार करना</v>
      </c>
      <c r="D69" s="6" t="s">
        <v>206</v>
      </c>
      <c r="E69" s="4" t="str">
        <f>IFERROR(__xludf.DUMMYFUNCTION("GOOGLETRANSLATE(B69,""en"",""fr"")"),"Accepter")</f>
        <v>Accepter</v>
      </c>
      <c r="F69" s="4" t="str">
        <f>IFERROR(__xludf.DUMMYFUNCTION("GOOGLETRANSLATE(B69,""en"",""tr"")"),"Kabul etmek")</f>
        <v>Kabul etmek</v>
      </c>
      <c r="G69" s="4" t="str">
        <f>IFERROR(__xludf.DUMMYFUNCTION("GOOGLETRANSLATE(B69,""en"",""ru"")"),"Принимать")</f>
        <v>Принимать</v>
      </c>
      <c r="H69" s="4" t="str">
        <f>IFERROR(__xludf.DUMMYFUNCTION("GOOGLETRANSLATE(B69,""en"",""it"")"),"Accettare")</f>
        <v>Accettare</v>
      </c>
      <c r="I69" s="4" t="str">
        <f>IFERROR(__xludf.DUMMYFUNCTION("GOOGLETRANSLATE(B69,""en"",""de"")"),"Akzeptieren")</f>
        <v>Akzeptieren</v>
      </c>
      <c r="J69" s="4" t="str">
        <f>IFERROR(__xludf.DUMMYFUNCTION("GOOGLETRANSLATE(B69,""en"",""ko"")"),"수용하다")</f>
        <v>수용하다</v>
      </c>
      <c r="K69" s="4" t="str">
        <f>IFERROR(__xludf.DUMMYFUNCTION("GOOGLETRANSLATE(B69,""en"",""zh"")"),"接受")</f>
        <v>接受</v>
      </c>
      <c r="L69" s="4" t="str">
        <f>IFERROR(__xludf.DUMMYFUNCTION("GOOGLETRANSLATE(B69,""en"",""es"")"),"Aceptar")</f>
        <v>Aceptar</v>
      </c>
      <c r="M69" s="4" t="str">
        <f>IFERROR(__xludf.DUMMYFUNCTION("GOOGLETRANSLATE(B69,""en"",""iw"")"),"לְקַבֵּל")</f>
        <v>לְקַבֵּל</v>
      </c>
      <c r="N69" s="4" t="str">
        <f>IFERROR(__xludf.DUMMYFUNCTION("GOOGLETRANSLATE(B69,""en"",""bn"")"),"গ্রহণ করুন")</f>
        <v>গ্রহণ করুন</v>
      </c>
      <c r="O69" s="4" t="str">
        <f>IFERROR(__xludf.DUMMYFUNCTION("GOOGLETRANSLATE(B69,""en"",""pt"")"),"Aceitar")</f>
        <v>Aceitar</v>
      </c>
      <c r="P69" s="6"/>
    </row>
    <row r="70">
      <c r="A70" s="7" t="s">
        <v>207</v>
      </c>
      <c r="B70" s="3" t="s">
        <v>208</v>
      </c>
      <c r="C70" s="4" t="str">
        <f>IFERROR(__xludf.DUMMYFUNCTION("GOOGLETRANSLATE(B70,""en"",""hi"")"),"पुकारना")</f>
        <v>पुकारना</v>
      </c>
      <c r="D70" s="6" t="s">
        <v>209</v>
      </c>
      <c r="E70" s="4" t="str">
        <f>IFERROR(__xludf.DUMMYFUNCTION("GOOGLETRANSLATE(B70,""en"",""fr"")"),"Appel")</f>
        <v>Appel</v>
      </c>
      <c r="F70" s="4" t="str">
        <f>IFERROR(__xludf.DUMMYFUNCTION("GOOGLETRANSLATE(B70,""en"",""tr"")"),"Arama")</f>
        <v>Arama</v>
      </c>
      <c r="G70" s="4" t="str">
        <f>IFERROR(__xludf.DUMMYFUNCTION("GOOGLETRANSLATE(B70,""en"",""ru"")"),"Вызов")</f>
        <v>Вызов</v>
      </c>
      <c r="H70" s="4" t="str">
        <f>IFERROR(__xludf.DUMMYFUNCTION("GOOGLETRANSLATE(B70,""en"",""it"")"),"Chiamata")</f>
        <v>Chiamata</v>
      </c>
      <c r="I70" s="4" t="str">
        <f>IFERROR(__xludf.DUMMYFUNCTION("GOOGLETRANSLATE(B70,""en"",""de"")"),"Anruf")</f>
        <v>Anruf</v>
      </c>
      <c r="J70" s="4" t="str">
        <f>IFERROR(__xludf.DUMMYFUNCTION("GOOGLETRANSLATE(B70,""en"",""ko"")"),"부르다")</f>
        <v>부르다</v>
      </c>
      <c r="K70" s="4" t="str">
        <f>IFERROR(__xludf.DUMMYFUNCTION("GOOGLETRANSLATE(B70,""en"",""zh"")"),"称呼")</f>
        <v>称呼</v>
      </c>
      <c r="L70" s="4" t="str">
        <f>IFERROR(__xludf.DUMMYFUNCTION("GOOGLETRANSLATE(B70,""en"",""es"")"),"Llamar")</f>
        <v>Llamar</v>
      </c>
      <c r="M70" s="4" t="str">
        <f>IFERROR(__xludf.DUMMYFUNCTION("GOOGLETRANSLATE(B70,""en"",""iw"")"),"שִׂיחָה")</f>
        <v>שִׂיחָה</v>
      </c>
      <c r="N70" s="4" t="str">
        <f>IFERROR(__xludf.DUMMYFUNCTION("GOOGLETRANSLATE(B70,""en"",""bn"")"),"কল")</f>
        <v>কল</v>
      </c>
      <c r="O70" s="4" t="str">
        <f>IFERROR(__xludf.DUMMYFUNCTION("GOOGLETRANSLATE(B70,""en"",""pt"")"),"Chamar")</f>
        <v>Chamar</v>
      </c>
      <c r="P70" s="6"/>
    </row>
    <row r="71">
      <c r="A71" s="7" t="s">
        <v>210</v>
      </c>
      <c r="B71" s="3" t="s">
        <v>211</v>
      </c>
      <c r="C71" s="4" t="str">
        <f>IFERROR(__xludf.DUMMYFUNCTION("GOOGLETRANSLATE(B71,""en"",""hi"")"),"बात करना")</f>
        <v>बात करना</v>
      </c>
      <c r="D71" s="6" t="s">
        <v>212</v>
      </c>
      <c r="E71" s="4" t="str">
        <f>IFERROR(__xludf.DUMMYFUNCTION("GOOGLETRANSLATE(B71,""en"",""fr"")"),"Chat")</f>
        <v>Chat</v>
      </c>
      <c r="F71" s="4" t="str">
        <f>IFERROR(__xludf.DUMMYFUNCTION("GOOGLETRANSLATE(B71,""en"",""tr"")"),"Sohbet")</f>
        <v>Sohbet</v>
      </c>
      <c r="G71" s="4" t="str">
        <f>IFERROR(__xludf.DUMMYFUNCTION("GOOGLETRANSLATE(B71,""en"",""ru"")"),"Чат")</f>
        <v>Чат</v>
      </c>
      <c r="H71" s="4" t="str">
        <f>IFERROR(__xludf.DUMMYFUNCTION("GOOGLETRANSLATE(B71,""en"",""it"")"),"Chiacchierata")</f>
        <v>Chiacchierata</v>
      </c>
      <c r="I71" s="4" t="str">
        <f>IFERROR(__xludf.DUMMYFUNCTION("GOOGLETRANSLATE(B71,""en"",""de"")"),"Plaudern")</f>
        <v>Plaudern</v>
      </c>
      <c r="J71" s="4" t="str">
        <f>IFERROR(__xludf.DUMMYFUNCTION("GOOGLETRANSLATE(B71,""en"",""ko"")"),"채팅")</f>
        <v>채팅</v>
      </c>
      <c r="K71" s="4" t="str">
        <f>IFERROR(__xludf.DUMMYFUNCTION("GOOGLETRANSLATE(B71,""en"",""zh"")"),"聊天")</f>
        <v>聊天</v>
      </c>
      <c r="L71" s="4" t="str">
        <f>IFERROR(__xludf.DUMMYFUNCTION("GOOGLETRANSLATE(B71,""en"",""es"")"),"Charlar")</f>
        <v>Charlar</v>
      </c>
      <c r="M71" s="4" t="str">
        <f>IFERROR(__xludf.DUMMYFUNCTION("GOOGLETRANSLATE(B71,""en"",""iw"")"),"לְשׂוֹחֵחַ")</f>
        <v>לְשׂוֹחֵחַ</v>
      </c>
      <c r="N71" s="4" t="str">
        <f>IFERROR(__xludf.DUMMYFUNCTION("GOOGLETRANSLATE(B71,""en"",""bn"")"),"চ্যাট")</f>
        <v>চ্যাট</v>
      </c>
      <c r="O71" s="4" t="str">
        <f>IFERROR(__xludf.DUMMYFUNCTION("GOOGLETRANSLATE(B71,""en"",""pt"")"),"Bater papo")</f>
        <v>Bater papo</v>
      </c>
      <c r="P71" s="6"/>
    </row>
    <row r="72">
      <c r="A72" s="7" t="s">
        <v>213</v>
      </c>
      <c r="B72" s="9" t="s">
        <v>214</v>
      </c>
      <c r="C72" s="4" t="str">
        <f>IFERROR(__xludf.DUMMYFUNCTION("GOOGLETRANSLATE(B72,""en"",""hi"")"),"रद्द करना")</f>
        <v>रद्द करना</v>
      </c>
      <c r="D72" s="6" t="s">
        <v>215</v>
      </c>
      <c r="E72" s="4" t="str">
        <f>IFERROR(__xludf.DUMMYFUNCTION("GOOGLETRANSLATE(B72,""en"",""fr"")"),"Annuler")</f>
        <v>Annuler</v>
      </c>
      <c r="F72" s="4" t="str">
        <f>IFERROR(__xludf.DUMMYFUNCTION("GOOGLETRANSLATE(B72,""en"",""tr"")"),"İptal etmek")</f>
        <v>İptal etmek</v>
      </c>
      <c r="G72" s="4" t="str">
        <f>IFERROR(__xludf.DUMMYFUNCTION("GOOGLETRANSLATE(B72,""en"",""ru"")"),"Отмена")</f>
        <v>Отмена</v>
      </c>
      <c r="H72" s="4" t="str">
        <f>IFERROR(__xludf.DUMMYFUNCTION("GOOGLETRANSLATE(B72,""en"",""it"")"),"Annulla")</f>
        <v>Annulla</v>
      </c>
      <c r="I72" s="4" t="str">
        <f>IFERROR(__xludf.DUMMYFUNCTION("GOOGLETRANSLATE(B72,""en"",""de"")"),"Stornieren")</f>
        <v>Stornieren</v>
      </c>
      <c r="J72" s="4" t="str">
        <f>IFERROR(__xludf.DUMMYFUNCTION("GOOGLETRANSLATE(B72,""en"",""ko"")"),"취소")</f>
        <v>취소</v>
      </c>
      <c r="K72" s="4" t="str">
        <f>IFERROR(__xludf.DUMMYFUNCTION("GOOGLETRANSLATE(B72,""en"",""zh"")"),"取消")</f>
        <v>取消</v>
      </c>
      <c r="L72" s="4" t="str">
        <f>IFERROR(__xludf.DUMMYFUNCTION("GOOGLETRANSLATE(B72,""en"",""es"")"),"Cancelar")</f>
        <v>Cancelar</v>
      </c>
      <c r="M72" s="4" t="str">
        <f>IFERROR(__xludf.DUMMYFUNCTION("GOOGLETRANSLATE(B72,""en"",""iw"")"),"לְבַטֵל")</f>
        <v>לְבַטֵל</v>
      </c>
      <c r="N72" s="4" t="str">
        <f>IFERROR(__xludf.DUMMYFUNCTION("GOOGLETRANSLATE(B72,""en"",""bn"")"),"বাতিল করুন")</f>
        <v>বাতিল করুন</v>
      </c>
      <c r="O72" s="4" t="str">
        <f>IFERROR(__xludf.DUMMYFUNCTION("GOOGLETRANSLATE(B72,""en"",""pt"")"),"Cancelar")</f>
        <v>Cancelar</v>
      </c>
      <c r="P72" s="6"/>
    </row>
    <row r="73">
      <c r="A73" s="7" t="s">
        <v>216</v>
      </c>
      <c r="B73" s="3" t="s">
        <v>217</v>
      </c>
      <c r="C73" s="4" t="str">
        <f>IFERROR(__xludf.DUMMYFUNCTION("GOOGLETRANSLATE(B73,""en"",""hi"")"),"पहुँचा")</f>
        <v>पहुँचा</v>
      </c>
      <c r="D73" s="6" t="s">
        <v>218</v>
      </c>
      <c r="E73" s="4" t="str">
        <f>IFERROR(__xludf.DUMMYFUNCTION("GOOGLETRANSLATE(B73,""en"",""fr"")"),"Arrivé")</f>
        <v>Arrivé</v>
      </c>
      <c r="F73" s="4" t="str">
        <f>IFERROR(__xludf.DUMMYFUNCTION("GOOGLETRANSLATE(B73,""en"",""tr"")"),"Ulaşmış")</f>
        <v>Ulaşmış</v>
      </c>
      <c r="G73" s="4" t="str">
        <f>IFERROR(__xludf.DUMMYFUNCTION("GOOGLETRANSLATE(B73,""en"",""ru"")"),"Приехал")</f>
        <v>Приехал</v>
      </c>
      <c r="H73" s="4" t="str">
        <f>IFERROR(__xludf.DUMMYFUNCTION("GOOGLETRANSLATE(B73,""en"",""it"")"),"Arrivato")</f>
        <v>Arrivato</v>
      </c>
      <c r="I73" s="4" t="str">
        <f>IFERROR(__xludf.DUMMYFUNCTION("GOOGLETRANSLATE(B73,""en"",""de"")"),"Angekommen")</f>
        <v>Angekommen</v>
      </c>
      <c r="J73" s="4" t="str">
        <f>IFERROR(__xludf.DUMMYFUNCTION("GOOGLETRANSLATE(B73,""en"",""ko"")"),"도착했다")</f>
        <v>도착했다</v>
      </c>
      <c r="K73" s="4" t="str">
        <f>IFERROR(__xludf.DUMMYFUNCTION("GOOGLETRANSLATE(B73,""en"",""zh"")"),"到达的")</f>
        <v>到达的</v>
      </c>
      <c r="L73" s="4" t="str">
        <f>IFERROR(__xludf.DUMMYFUNCTION("GOOGLETRANSLATE(B73,""en"",""es"")"),"Llegó")</f>
        <v>Llegó</v>
      </c>
      <c r="M73" s="4" t="str">
        <f>IFERROR(__xludf.DUMMYFUNCTION("GOOGLETRANSLATE(B73,""en"",""iw"")"),"הגיע")</f>
        <v>הגיע</v>
      </c>
      <c r="N73" s="4" t="str">
        <f>IFERROR(__xludf.DUMMYFUNCTION("GOOGLETRANSLATE(B73,""en"",""bn"")"),"পৌঁছেছে")</f>
        <v>পৌঁছেছে</v>
      </c>
      <c r="O73" s="4" t="str">
        <f>IFERROR(__xludf.DUMMYFUNCTION("GOOGLETRANSLATE(B73,""en"",""pt"")"),"Chegado")</f>
        <v>Chegado</v>
      </c>
      <c r="P73" s="6"/>
    </row>
    <row r="74">
      <c r="A74" s="7" t="s">
        <v>219</v>
      </c>
      <c r="B74" s="3" t="s">
        <v>220</v>
      </c>
      <c r="C74" s="4" t="str">
        <f>IFERROR(__xludf.DUMMYFUNCTION("GOOGLETRANSLATE(B74,""en"",""hi"")"),"अब आप ऑनलाइन हैं")</f>
        <v>अब आप ऑनलाइन हैं</v>
      </c>
      <c r="D74" s="6" t="s">
        <v>221</v>
      </c>
      <c r="E74" s="4" t="str">
        <f>IFERROR(__xludf.DUMMYFUNCTION("GOOGLETRANSLATE(B74,""en"",""fr"")"),"Vous êtes en ligne maintenant")</f>
        <v>Vous êtes en ligne maintenant</v>
      </c>
      <c r="F74" s="4" t="str">
        <f>IFERROR(__xludf.DUMMYFUNCTION("GOOGLETRANSLATE(B74,""en"",""tr"")"),"Şu anda Çevrimiçisiniz")</f>
        <v>Şu anda Çevrimiçisiniz</v>
      </c>
      <c r="G74" s="4" t="str">
        <f>IFERROR(__xludf.DUMMYFUNCTION("GOOGLETRANSLATE(B74,""en"",""ru"")"),"Вы сейчас онлайн")</f>
        <v>Вы сейчас онлайн</v>
      </c>
      <c r="H74" s="4" t="str">
        <f>IFERROR(__xludf.DUMMYFUNCTION("GOOGLETRANSLATE(B74,""en"",""it"")"),"Sei online adesso")</f>
        <v>Sei online adesso</v>
      </c>
      <c r="I74" s="4" t="str">
        <f>IFERROR(__xludf.DUMMYFUNCTION("GOOGLETRANSLATE(B74,""en"",""de"")"),"Sie sind jetzt online")</f>
        <v>Sie sind jetzt online</v>
      </c>
      <c r="J74" s="4" t="str">
        <f>IFERROR(__xludf.DUMMYFUNCTION("GOOGLETRANSLATE(B74,""en"",""ko"")"),"현재 온라인 상태입니다")</f>
        <v>현재 온라인 상태입니다</v>
      </c>
      <c r="K74" s="4" t="str">
        <f>IFERROR(__xludf.DUMMYFUNCTION("GOOGLETRANSLATE(B74,""en"",""zh"")"),"您现在在线")</f>
        <v>您现在在线</v>
      </c>
      <c r="L74" s="4" t="str">
        <f>IFERROR(__xludf.DUMMYFUNCTION("GOOGLETRANSLATE(B74,""en"",""es"")"),"Estás en línea ahora")</f>
        <v>Estás en línea ahora</v>
      </c>
      <c r="M74" s="4" t="str">
        <f>IFERROR(__xludf.DUMMYFUNCTION("GOOGLETRANSLATE(B74,""en"",""iw"")"),"אתה מחובר עכשיו")</f>
        <v>אתה מחובר עכשיו</v>
      </c>
      <c r="N74" s="4" t="str">
        <f>IFERROR(__xludf.DUMMYFUNCTION("GOOGLETRANSLATE(B74,""en"",""bn"")"),"আপনি এখন অনলাইন")</f>
        <v>আপনি এখন অনলাইন</v>
      </c>
      <c r="O74" s="4" t="str">
        <f>IFERROR(__xludf.DUMMYFUNCTION("GOOGLETRANSLATE(B74,""en"",""pt"")"),"Você está on-line agora")</f>
        <v>Você está on-line agora</v>
      </c>
      <c r="P74" s="6"/>
    </row>
    <row r="75">
      <c r="A75" s="7" t="s">
        <v>222</v>
      </c>
      <c r="B75" s="3" t="s">
        <v>223</v>
      </c>
      <c r="C75" s="4" t="str">
        <f>IFERROR(__xludf.DUMMYFUNCTION("GOOGLETRANSLATE(B75,""en"",""hi"")"),"अब आप ऑफ़लाइन हैं")</f>
        <v>अब आप ऑफ़लाइन हैं</v>
      </c>
      <c r="D75" s="6" t="s">
        <v>224</v>
      </c>
      <c r="E75" s="4" t="str">
        <f>IFERROR(__xludf.DUMMYFUNCTION("GOOGLETRANSLATE(B75,""en"",""fr"")"),"Vous êtes hors ligne maintenant")</f>
        <v>Vous êtes hors ligne maintenant</v>
      </c>
      <c r="F75" s="4" t="str">
        <f>IFERROR(__xludf.DUMMYFUNCTION("GOOGLETRANSLATE(B75,""en"",""tr"")"),"Şu anda çevrimdışısınız")</f>
        <v>Şu anda çevrimdışısınız</v>
      </c>
      <c r="G75" s="4" t="str">
        <f>IFERROR(__xludf.DUMMYFUNCTION("GOOGLETRANSLATE(B75,""en"",""ru"")"),"Вы сейчас офлайн")</f>
        <v>Вы сейчас офлайн</v>
      </c>
      <c r="H75" s="4" t="str">
        <f>IFERROR(__xludf.DUMMYFUNCTION("GOOGLETRANSLATE(B75,""en"",""it"")"),"Sei offline adesso")</f>
        <v>Sei offline adesso</v>
      </c>
      <c r="I75" s="4" t="str">
        <f>IFERROR(__xludf.DUMMYFUNCTION("GOOGLETRANSLATE(B75,""en"",""de"")"),"Sie sind jetzt offline")</f>
        <v>Sie sind jetzt offline</v>
      </c>
      <c r="J75" s="4" t="str">
        <f>IFERROR(__xludf.DUMMYFUNCTION("GOOGLETRANSLATE(B75,""en"",""ko"")"),"현재 오프라인 상태입니다")</f>
        <v>현재 오프라인 상태입니다</v>
      </c>
      <c r="K75" s="4" t="str">
        <f>IFERROR(__xludf.DUMMYFUNCTION("GOOGLETRANSLATE(B75,""en"",""zh"")"),"您现在离线")</f>
        <v>您现在离线</v>
      </c>
      <c r="L75" s="4" t="str">
        <f>IFERROR(__xludf.DUMMYFUNCTION("GOOGLETRANSLATE(B75,""en"",""es"")"),"Estás desconectado ahora")</f>
        <v>Estás desconectado ahora</v>
      </c>
      <c r="M75" s="4" t="str">
        <f>IFERROR(__xludf.DUMMYFUNCTION("GOOGLETRANSLATE(B75,""en"",""iw"")"),"אתה במצב לא מקוון עכשיו")</f>
        <v>אתה במצב לא מקוון עכשיו</v>
      </c>
      <c r="N75" s="4" t="str">
        <f>IFERROR(__xludf.DUMMYFUNCTION("GOOGLETRANSLATE(B75,""en"",""bn"")"),"আপনি এখন অফলাইন")</f>
        <v>আপনি এখন অফলাইন</v>
      </c>
      <c r="O75" s="4" t="str">
        <f>IFERROR(__xludf.DUMMYFUNCTION("GOOGLETRANSLATE(B75,""en"",""pt"")"),"Você está off-line agora")</f>
        <v>Você está off-line agora</v>
      </c>
      <c r="P75" s="6"/>
    </row>
    <row r="76">
      <c r="A76" s="7" t="s">
        <v>225</v>
      </c>
      <c r="B76" s="10" t="s">
        <v>226</v>
      </c>
      <c r="C76" s="4" t="str">
        <f>IFERROR(__xludf.DUMMYFUNCTION("GOOGLETRANSLATE(B76,""en"",""hi"")"),"पहुंचने")</f>
        <v>पहुंचने</v>
      </c>
      <c r="D76" s="6" t="s">
        <v>227</v>
      </c>
      <c r="E76" s="4" t="str">
        <f>IFERROR(__xludf.DUMMYFUNCTION("GOOGLETRANSLATE(B76,""en"",""fr"")"),"En arrivant")</f>
        <v>En arrivant</v>
      </c>
      <c r="F76" s="4" t="str">
        <f>IFERROR(__xludf.DUMMYFUNCTION("GOOGLETRANSLATE(B76,""en"",""tr"")"),"Varış")</f>
        <v>Varış</v>
      </c>
      <c r="G76" s="4" t="str">
        <f>IFERROR(__xludf.DUMMYFUNCTION("GOOGLETRANSLATE(B76,""en"",""ru"")"),"Прибытие")</f>
        <v>Прибытие</v>
      </c>
      <c r="H76" s="4" t="str">
        <f>IFERROR(__xludf.DUMMYFUNCTION("GOOGLETRANSLATE(B76,""en"",""it"")"),"In arrivo")</f>
        <v>In arrivo</v>
      </c>
      <c r="I76" s="4" t="str">
        <f>IFERROR(__xludf.DUMMYFUNCTION("GOOGLETRANSLATE(B76,""en"",""de"")"),"ankommen")</f>
        <v>ankommen</v>
      </c>
      <c r="J76" s="4" t="str">
        <f>IFERROR(__xludf.DUMMYFUNCTION("GOOGLETRANSLATE(B76,""en"",""ko"")"),"도착")</f>
        <v>도착</v>
      </c>
      <c r="K76" s="4" t="str">
        <f>IFERROR(__xludf.DUMMYFUNCTION("GOOGLETRANSLATE(B76,""en"",""zh"")"),"到达")</f>
        <v>到达</v>
      </c>
      <c r="L76" s="4" t="str">
        <f>IFERROR(__xludf.DUMMYFUNCTION("GOOGLETRANSLATE(B76,""en"",""es"")"),"Llegando")</f>
        <v>Llegando</v>
      </c>
      <c r="M76" s="4" t="str">
        <f>IFERROR(__xludf.DUMMYFUNCTION("GOOGLETRANSLATE(B76,""en"",""iw"")"),"מגיע")</f>
        <v>מגיע</v>
      </c>
      <c r="N76" s="4" t="str">
        <f>IFERROR(__xludf.DUMMYFUNCTION("GOOGLETRANSLATE(B76,""en"",""bn"")"),"আগত")</f>
        <v>আগত</v>
      </c>
      <c r="O76" s="4" t="str">
        <f>IFERROR(__xludf.DUMMYFUNCTION("GOOGLETRANSLATE(B76,""en"",""pt"")"),"A chegar")</f>
        <v>A chegar</v>
      </c>
      <c r="P76" s="6"/>
    </row>
    <row r="77">
      <c r="A77" s="7" t="s">
        <v>228</v>
      </c>
      <c r="B77" s="3" t="s">
        <v>229</v>
      </c>
      <c r="C77" s="4" t="str">
        <f>IFERROR(__xludf.DUMMYFUNCTION("GOOGLETRANSLATE(B77,""en"",""hi"")"),"गंतव्य तक पहुंचना")</f>
        <v>गंतव्य तक पहुंचना</v>
      </c>
      <c r="D77" s="6" t="s">
        <v>230</v>
      </c>
      <c r="E77" s="4" t="str">
        <f>IFERROR(__xludf.DUMMYFUNCTION("GOOGLETRANSLATE(B77,""en"",""fr"")"),"Atteindre la destination")</f>
        <v>Atteindre la destination</v>
      </c>
      <c r="F77" s="4" t="str">
        <f>IFERROR(__xludf.DUMMYFUNCTION("GOOGLETRANSLATE(B77,""en"",""tr"")"),"Hedefe Ulaşmak")</f>
        <v>Hedefe Ulaşmak</v>
      </c>
      <c r="G77" s="4" t="str">
        <f>IFERROR(__xludf.DUMMYFUNCTION("GOOGLETRANSLATE(B77,""en"",""ru"")"),"Достижение пункта назначения")</f>
        <v>Достижение пункта назначения</v>
      </c>
      <c r="H77" s="4" t="str">
        <f>IFERROR(__xludf.DUMMYFUNCTION("GOOGLETRANSLATE(B77,""en"",""it"")"),"Raggiungere la destinazione")</f>
        <v>Raggiungere la destinazione</v>
      </c>
      <c r="I77" s="4" t="str">
        <f>IFERROR(__xludf.DUMMYFUNCTION("GOOGLETRANSLATE(B77,""en"",""de"")"),"Ziel erreichen")</f>
        <v>Ziel erreichen</v>
      </c>
      <c r="J77" s="4" t="str">
        <f>IFERROR(__xludf.DUMMYFUNCTION("GOOGLETRANSLATE(B77,""en"",""ko"")"),"목적지 도착")</f>
        <v>목적지 도착</v>
      </c>
      <c r="K77" s="4" t="str">
        <f>IFERROR(__xludf.DUMMYFUNCTION("GOOGLETRANSLATE(B77,""en"",""zh"")"),"到达目的地")</f>
        <v>到达目的地</v>
      </c>
      <c r="L77" s="4" t="str">
        <f>IFERROR(__xludf.DUMMYFUNCTION("GOOGLETRANSLATE(B77,""en"",""es"")"),"Llegar al destino")</f>
        <v>Llegar al destino</v>
      </c>
      <c r="M77" s="4" t="str">
        <f>IFERROR(__xludf.DUMMYFUNCTION("GOOGLETRANSLATE(B77,""en"",""iw"")"),"הגעה ליעד")</f>
        <v>הגעה ליעד</v>
      </c>
      <c r="N77" s="4" t="str">
        <f>IFERROR(__xludf.DUMMYFUNCTION("GOOGLETRANSLATE(B77,""en"",""bn"")"),"গন্তব্যে পৌঁছানো")</f>
        <v>গন্তব্যে পৌঁছানো</v>
      </c>
      <c r="O77" s="4" t="str">
        <f>IFERROR(__xludf.DUMMYFUNCTION("GOOGLETRANSLATE(B77,""en"",""pt"")"),"Alcançando o destino")</f>
        <v>Alcançando o destino</v>
      </c>
      <c r="P77" s="6"/>
    </row>
    <row r="78">
      <c r="A78" s="7" t="s">
        <v>231</v>
      </c>
      <c r="B78" s="3" t="s">
        <v>232</v>
      </c>
      <c r="C78" s="4" t="str">
        <f>IFERROR(__xludf.DUMMYFUNCTION("GOOGLETRANSLATE(B78,""en"",""hi"")"),"सवारी प्रारंभ करें")</f>
        <v>सवारी प्रारंभ करें</v>
      </c>
      <c r="D78" s="6" t="s">
        <v>233</v>
      </c>
      <c r="E78" s="4" t="str">
        <f>IFERROR(__xludf.DUMMYFUNCTION("GOOGLETRANSLATE(B78,""en"",""fr"")"),"Commencer le trajet")</f>
        <v>Commencer le trajet</v>
      </c>
      <c r="F78" s="4" t="str">
        <f>IFERROR(__xludf.DUMMYFUNCTION("GOOGLETRANSLATE(B78,""en"",""tr"")"),"Sürüşe Başla")</f>
        <v>Sürüşe Başla</v>
      </c>
      <c r="G78" s="4" t="str">
        <f>IFERROR(__xludf.DUMMYFUNCTION("GOOGLETRANSLATE(B78,""en"",""ru"")"),"Начать поездку")</f>
        <v>Начать поездку</v>
      </c>
      <c r="H78" s="4" t="str">
        <f>IFERROR(__xludf.DUMMYFUNCTION("GOOGLETRANSLATE(B78,""en"",""it"")"),"Inizia il giro")</f>
        <v>Inizia il giro</v>
      </c>
      <c r="I78" s="4" t="str">
        <f>IFERROR(__xludf.DUMMYFUNCTION("GOOGLETRANSLATE(B78,""en"",""de"")"),"Fahrt starten")</f>
        <v>Fahrt starten</v>
      </c>
      <c r="J78" s="4" t="str">
        <f>IFERROR(__xludf.DUMMYFUNCTION("GOOGLETRANSLATE(B78,""en"",""ko"")"),"라이딩 시작")</f>
        <v>라이딩 시작</v>
      </c>
      <c r="K78" s="4" t="str">
        <f>IFERROR(__xludf.DUMMYFUNCTION("GOOGLETRANSLATE(B78,""en"",""zh"")"),"开始骑行")</f>
        <v>开始骑行</v>
      </c>
      <c r="L78" s="4" t="str">
        <f>IFERROR(__xludf.DUMMYFUNCTION("GOOGLETRANSLATE(B78,""en"",""es"")"),"Iniciar viaje")</f>
        <v>Iniciar viaje</v>
      </c>
      <c r="M78" s="4" t="str">
        <f>IFERROR(__xludf.DUMMYFUNCTION("GOOGLETRANSLATE(B78,""en"",""iw"")"),"התחל רכיבה")</f>
        <v>התחל רכיבה</v>
      </c>
      <c r="N78" s="4" t="str">
        <f>IFERROR(__xludf.DUMMYFUNCTION("GOOGLETRANSLATE(B78,""en"",""bn"")"),"যাত্রা শুরু করুন")</f>
        <v>যাত্রা শুরু করুন</v>
      </c>
      <c r="O78" s="4" t="str">
        <f>IFERROR(__xludf.DUMMYFUNCTION("GOOGLETRANSLATE(B78,""en"",""pt"")"),"Iniciar passeio")</f>
        <v>Iniciar passeio</v>
      </c>
      <c r="P78" s="6"/>
    </row>
    <row r="79">
      <c r="A79" s="7" t="s">
        <v>234</v>
      </c>
      <c r="B79" s="3" t="s">
        <v>235</v>
      </c>
      <c r="C79" s="4" t="str">
        <f>IFERROR(__xludf.DUMMYFUNCTION("GOOGLETRANSLATE(B79,""en"",""hi"")"),"यात्रा समाप्त करें")</f>
        <v>यात्रा समाप्त करें</v>
      </c>
      <c r="D79" s="6" t="s">
        <v>236</v>
      </c>
      <c r="E79" s="4" t="str">
        <f>IFERROR(__xludf.DUMMYFUNCTION("GOOGLETRANSLATE(B79,""en"",""fr"")"),"Fin du voyage")</f>
        <v>Fin du voyage</v>
      </c>
      <c r="F79" s="4" t="str">
        <f>IFERROR(__xludf.DUMMYFUNCTION("GOOGLETRANSLATE(B79,""en"",""tr"")"),"Geziyi Bitir")</f>
        <v>Geziyi Bitir</v>
      </c>
      <c r="G79" s="4" t="str">
        <f>IFERROR(__xludf.DUMMYFUNCTION("GOOGLETRANSLATE(B79,""en"",""ru"")"),"Конец поездки")</f>
        <v>Конец поездки</v>
      </c>
      <c r="H79" s="4" t="str">
        <f>IFERROR(__xludf.DUMMYFUNCTION("GOOGLETRANSLATE(B79,""en"",""it"")"),"Fine viaggio")</f>
        <v>Fine viaggio</v>
      </c>
      <c r="I79" s="4" t="str">
        <f>IFERROR(__xludf.DUMMYFUNCTION("GOOGLETRANSLATE(B79,""en"",""de"")"),"Ende der Reise")</f>
        <v>Ende der Reise</v>
      </c>
      <c r="J79" s="4" t="str">
        <f>IFERROR(__xludf.DUMMYFUNCTION("GOOGLETRANSLATE(B79,""en"",""ko"")"),"여행 종료")</f>
        <v>여행 종료</v>
      </c>
      <c r="K79" s="4" t="str">
        <f>IFERROR(__xludf.DUMMYFUNCTION("GOOGLETRANSLATE(B79,""en"",""zh"")"),"结束行程")</f>
        <v>结束行程</v>
      </c>
      <c r="L79" s="4" t="str">
        <f>IFERROR(__xludf.DUMMYFUNCTION("GOOGLETRANSLATE(B79,""en"",""es"")"),"Fin del viaje")</f>
        <v>Fin del viaje</v>
      </c>
      <c r="M79" s="4" t="str">
        <f>IFERROR(__xludf.DUMMYFUNCTION("GOOGLETRANSLATE(B79,""en"",""iw"")"),"טיול סוף")</f>
        <v>טיול סוף</v>
      </c>
      <c r="N79" s="4" t="str">
        <f>IFERROR(__xludf.DUMMYFUNCTION("GOOGLETRANSLATE(B79,""en"",""bn"")"),"ট্রিপ শেষ করুন")</f>
        <v>ট্রিপ শেষ করুন</v>
      </c>
      <c r="O79" s="4" t="str">
        <f>IFERROR(__xludf.DUMMYFUNCTION("GOOGLETRANSLATE(B79,""en"",""pt"")"),"Finalizar viagem")</f>
        <v>Finalizar viagem</v>
      </c>
      <c r="P79" s="6"/>
    </row>
    <row r="80">
      <c r="A80" s="7" t="s">
        <v>237</v>
      </c>
      <c r="B80" s="3" t="s">
        <v>238</v>
      </c>
      <c r="C80" s="4" t="str">
        <f>IFERROR(__xludf.DUMMYFUNCTION("GOOGLETRANSLATE(B80,""en"",""hi"")"),"ओटीपी दर्ज करें")</f>
        <v>ओटीपी दर्ज करें</v>
      </c>
      <c r="D80" s="6" t="s">
        <v>239</v>
      </c>
      <c r="E80" s="4" t="str">
        <f>IFERROR(__xludf.DUMMYFUNCTION("GOOGLETRANSLATE(B80,""en"",""fr"")"),"Entrez OTP")</f>
        <v>Entrez OTP</v>
      </c>
      <c r="F80" s="4" t="str">
        <f>IFERROR(__xludf.DUMMYFUNCTION("GOOGLETRANSLATE(B80,""en"",""tr"")"),"OTP'yi girin")</f>
        <v>OTP'yi girin</v>
      </c>
      <c r="G80" s="4" t="str">
        <f>IFERROR(__xludf.DUMMYFUNCTION("GOOGLETRANSLATE(B80,""en"",""ru"")"),"Введите одноразовый пароль")</f>
        <v>Введите одноразовый пароль</v>
      </c>
      <c r="H80" s="4" t="str">
        <f>IFERROR(__xludf.DUMMYFUNCTION("GOOGLETRANSLATE(B80,""en"",""it"")"),"Inserisci l'OTP")</f>
        <v>Inserisci l'OTP</v>
      </c>
      <c r="I80" s="4" t="str">
        <f>IFERROR(__xludf.DUMMYFUNCTION("GOOGLETRANSLATE(B80,""en"",""de"")"),"Geben Sie OTP ein")</f>
        <v>Geben Sie OTP ein</v>
      </c>
      <c r="J80" s="4" t="str">
        <f>IFERROR(__xludf.DUMMYFUNCTION("GOOGLETRANSLATE(B80,""en"",""ko"")"),"OTP를 입력하세요")</f>
        <v>OTP를 입력하세요</v>
      </c>
      <c r="K80" s="4" t="str">
        <f>IFERROR(__xludf.DUMMYFUNCTION("GOOGLETRANSLATE(B80,""en"",""zh"")"),"输入一次性密码")</f>
        <v>输入一次性密码</v>
      </c>
      <c r="L80" s="4" t="str">
        <f>IFERROR(__xludf.DUMMYFUNCTION("GOOGLETRANSLATE(B80,""en"",""es"")"),"Ingrese la OTP")</f>
        <v>Ingrese la OTP</v>
      </c>
      <c r="M80" s="4" t="str">
        <f>IFERROR(__xludf.DUMMYFUNCTION("GOOGLETRANSLATE(B80,""en"",""iw"")"),"הזן OTP")</f>
        <v>הזן OTP</v>
      </c>
      <c r="N80" s="4" t="str">
        <f>IFERROR(__xludf.DUMMYFUNCTION("GOOGLETRANSLATE(B80,""en"",""bn"")"),"OTP লিখুন")</f>
        <v>OTP লিখুন</v>
      </c>
      <c r="O80" s="4" t="str">
        <f>IFERROR(__xludf.DUMMYFUNCTION("GOOGLETRANSLATE(B80,""en"",""pt"")"),"Digite OTP")</f>
        <v>Digite OTP</v>
      </c>
      <c r="P80" s="6"/>
    </row>
    <row r="81">
      <c r="A81" s="7" t="s">
        <v>240</v>
      </c>
      <c r="B81" s="3" t="s">
        <v>241</v>
      </c>
      <c r="C81" s="4" t="str">
        <f>IFERROR(__xludf.DUMMYFUNCTION("GOOGLETRANSLATE(B81,""en"",""hi"")"),"यात्रा शुरू करने के लिए ग्राहक के ऐप में प्रदर्शित ओटीपी दर्ज करें")</f>
        <v>यात्रा शुरू करने के लिए ग्राहक के ऐप में प्रदर्शित ओटीपी दर्ज करें</v>
      </c>
      <c r="D81" s="6" t="s">
        <v>242</v>
      </c>
      <c r="E81" s="4" t="str">
        <f>IFERROR(__xludf.DUMMYFUNCTION("GOOGLETRANSLATE(B81,""en"",""fr"")"),"Entrez l'OTP affiché dans l'application du client pour démarrer le trajet")</f>
        <v>Entrez l'OTP affiché dans l'application du client pour démarrer le trajet</v>
      </c>
      <c r="F81" s="4" t="str">
        <f>IFERROR(__xludf.DUMMYFUNCTION("GOOGLETRANSLATE(B81,""en"",""tr"")"),"Yolculuğu başlatmak için Müşterinin Uygulamasında görüntülenen OTP'yi girin")</f>
        <v>Yolculuğu başlatmak için Müşterinin Uygulamasında görüntülenen OTP'yi girin</v>
      </c>
      <c r="G81" s="4" t="str">
        <f>IFERROR(__xludf.DUMMYFUNCTION("GOOGLETRANSLATE(B81,""en"",""ru"")"),"Введите OTP, отображаемый в приложении клиента, чтобы начать поездку.")</f>
        <v>Введите OTP, отображаемый в приложении клиента, чтобы начать поездку.</v>
      </c>
      <c r="H81" s="4" t="str">
        <f>IFERROR(__xludf.DUMMYFUNCTION("GOOGLETRANSLATE(B81,""en"",""it"")"),"Inserisci l'OTP visualizzato nell'app del cliente per iniziare la corsa")</f>
        <v>Inserisci l'OTP visualizzato nell'app del cliente per iniziare la corsa</v>
      </c>
      <c r="I81" s="4" t="str">
        <f>IFERROR(__xludf.DUMMYFUNCTION("GOOGLETRANSLATE(B81,""en"",""de"")"),"Geben Sie das in der Kunden-App angezeigte OTP ein, um die Fahrt zu starten")</f>
        <v>Geben Sie das in der Kunden-App angezeigte OTP ein, um die Fahrt zu starten</v>
      </c>
      <c r="J81" s="4" t="str">
        <f>IFERROR(__xludf.DUMMYFUNCTION("GOOGLETRANSLATE(B81,""en"",""ko"")"),"탑승을 시작하려면 고객 앱에 표시된 OTP를 입력하세요.")</f>
        <v>탑승을 시작하려면 고객 앱에 표시된 OTP를 입력하세요.</v>
      </c>
      <c r="K81" s="4" t="str">
        <f>IFERROR(__xludf.DUMMYFUNCTION("GOOGLETRANSLATE(B81,""en"",""zh"")"),"输入客户应用程序中显示的 OTP 以开始行程")</f>
        <v>输入客户应用程序中显示的 OTP 以开始行程</v>
      </c>
      <c r="L81" s="4" t="str">
        <f>IFERROR(__xludf.DUMMYFUNCTION("GOOGLETRANSLATE(B81,""en"",""es"")"),"Ingrese la OTP que se muestra en la aplicación del cliente para iniciar el viaje")</f>
        <v>Ingrese la OTP que se muestra en la aplicación del cliente para iniciar el viaje</v>
      </c>
      <c r="M81" s="4" t="str">
        <f>IFERROR(__xludf.DUMMYFUNCTION("GOOGLETRANSLATE(B81,""en"",""iw"")"),"הזן את ה-OTP המוצג באפליקציה של הלקוח כדי להתחיל את הנסיעה")</f>
        <v>הזן את ה-OTP המוצג באפליקציה של הלקוח כדי להתחיל את הנסיעה</v>
      </c>
      <c r="N81" s="4" t="str">
        <f>IFERROR(__xludf.DUMMYFUNCTION("GOOGLETRANSLATE(B81,""en"",""bn"")"),"রাইড শুরু করতে গ্রাহকের অ্যাপে প্রদর্শিত OTP লিখুন")</f>
        <v>রাইড শুরু করতে গ্রাহকের অ্যাপে প্রদর্শিত OTP লিখুন</v>
      </c>
      <c r="O81" s="4" t="str">
        <f>IFERROR(__xludf.DUMMYFUNCTION("GOOGLETRANSLATE(B81,""en"",""pt"")"),"Insira o OTP exibido no aplicativo do cliente para iniciar a viagem")</f>
        <v>Insira o OTP exibido no aplicativo do cliente para iniciar a viagem</v>
      </c>
      <c r="P81" s="6"/>
    </row>
    <row r="82">
      <c r="A82" s="11" t="s">
        <v>243</v>
      </c>
      <c r="B82" s="3" t="s">
        <v>244</v>
      </c>
      <c r="C82" s="4" t="str">
        <f>IFERROR(__xludf.DUMMYFUNCTION("GOOGLETRANSLATE(B82,""en"",""hi"")"),"इतिहास")</f>
        <v>इतिहास</v>
      </c>
      <c r="D82" s="6" t="s">
        <v>245</v>
      </c>
      <c r="E82" s="4" t="str">
        <f>IFERROR(__xludf.DUMMYFUNCTION("GOOGLETRANSLATE(B82,""en"",""fr"")"),"Histoire")</f>
        <v>Histoire</v>
      </c>
      <c r="F82" s="4" t="str">
        <f>IFERROR(__xludf.DUMMYFUNCTION("GOOGLETRANSLATE(B82,""en"",""tr"")"),"Tarih")</f>
        <v>Tarih</v>
      </c>
      <c r="G82" s="4" t="str">
        <f>IFERROR(__xludf.DUMMYFUNCTION("GOOGLETRANSLATE(B82,""en"",""ru"")"),"История")</f>
        <v>История</v>
      </c>
      <c r="H82" s="4" t="str">
        <f>IFERROR(__xludf.DUMMYFUNCTION("GOOGLETRANSLATE(B82,""en"",""it"")"),"Storia")</f>
        <v>Storia</v>
      </c>
      <c r="I82" s="4" t="str">
        <f>IFERROR(__xludf.DUMMYFUNCTION("GOOGLETRANSLATE(B82,""en"",""de"")"),"Geschichte")</f>
        <v>Geschichte</v>
      </c>
      <c r="J82" s="4" t="str">
        <f>IFERROR(__xludf.DUMMYFUNCTION("GOOGLETRANSLATE(B82,""en"",""ko"")"),"역사")</f>
        <v>역사</v>
      </c>
      <c r="K82" s="4" t="str">
        <f>IFERROR(__xludf.DUMMYFUNCTION("GOOGLETRANSLATE(B82,""en"",""zh"")"),"历史")</f>
        <v>历史</v>
      </c>
      <c r="L82" s="4" t="str">
        <f>IFERROR(__xludf.DUMMYFUNCTION("GOOGLETRANSLATE(B82,""en"",""es"")"),"Historia")</f>
        <v>Historia</v>
      </c>
      <c r="M82" s="4" t="str">
        <f>IFERROR(__xludf.DUMMYFUNCTION("GOOGLETRANSLATE(B82,""en"",""iw"")"),"הִיסטוֹרִיָה")</f>
        <v>הִיסטוֹרִיָה</v>
      </c>
      <c r="N82" s="4" t="str">
        <f>IFERROR(__xludf.DUMMYFUNCTION("GOOGLETRANSLATE(B82,""en"",""bn"")"),"ইতিহাস")</f>
        <v>ইতিহাস</v>
      </c>
      <c r="O82" s="4" t="str">
        <f>IFERROR(__xludf.DUMMYFUNCTION("GOOGLETRANSLATE(B82,""en"",""pt"")"),"História")</f>
        <v>História</v>
      </c>
      <c r="P82" s="6"/>
    </row>
    <row r="83">
      <c r="A83" s="11" t="s">
        <v>246</v>
      </c>
      <c r="B83" s="3" t="s">
        <v>247</v>
      </c>
      <c r="C83" s="4" t="str">
        <f>IFERROR(__xludf.DUMMYFUNCTION("GOOGLETRANSLATE(B83,""en"",""hi"")"),"बटुआ")</f>
        <v>बटुआ</v>
      </c>
      <c r="D83" s="6" t="s">
        <v>248</v>
      </c>
      <c r="E83" s="4" t="str">
        <f>IFERROR(__xludf.DUMMYFUNCTION("GOOGLETRANSLATE(B83,""en"",""fr"")"),"Portefeuille")</f>
        <v>Portefeuille</v>
      </c>
      <c r="F83" s="4" t="str">
        <f>IFERROR(__xludf.DUMMYFUNCTION("GOOGLETRANSLATE(B83,""en"",""tr"")"),"Cüzdan")</f>
        <v>Cüzdan</v>
      </c>
      <c r="G83" s="4" t="str">
        <f>IFERROR(__xludf.DUMMYFUNCTION("GOOGLETRANSLATE(B83,""en"",""ru"")"),"Кошелек")</f>
        <v>Кошелек</v>
      </c>
      <c r="H83" s="4" t="str">
        <f>IFERROR(__xludf.DUMMYFUNCTION("GOOGLETRANSLATE(B83,""en"",""it"")"),"Portafoglio")</f>
        <v>Portafoglio</v>
      </c>
      <c r="I83" s="4" t="str">
        <f>IFERROR(__xludf.DUMMYFUNCTION("GOOGLETRANSLATE(B83,""en"",""de"")"),"Geldbörse")</f>
        <v>Geldbörse</v>
      </c>
      <c r="J83" s="4" t="str">
        <f>IFERROR(__xludf.DUMMYFUNCTION("GOOGLETRANSLATE(B83,""en"",""ko"")"),"지갑")</f>
        <v>지갑</v>
      </c>
      <c r="K83" s="4" t="str">
        <f>IFERROR(__xludf.DUMMYFUNCTION("GOOGLETRANSLATE(B83,""en"",""zh"")"),"钱包")</f>
        <v>钱包</v>
      </c>
      <c r="L83" s="4" t="str">
        <f>IFERROR(__xludf.DUMMYFUNCTION("GOOGLETRANSLATE(B83,""en"",""es"")"),"Billetera")</f>
        <v>Billetera</v>
      </c>
      <c r="M83" s="4" t="str">
        <f>IFERROR(__xludf.DUMMYFUNCTION("GOOGLETRANSLATE(B83,""en"",""iw"")"),"ארנק")</f>
        <v>ארנק</v>
      </c>
      <c r="N83" s="4" t="str">
        <f>IFERROR(__xludf.DUMMYFUNCTION("GOOGLETRANSLATE(B83,""en"",""bn"")"),"ওয়ালেট")</f>
        <v>ওয়ালেট</v>
      </c>
      <c r="O83" s="4" t="str">
        <f>IFERROR(__xludf.DUMMYFUNCTION("GOOGLETRANSLATE(B83,""en"",""pt"")"),"Carteira")</f>
        <v>Carteira</v>
      </c>
      <c r="P83" s="6"/>
    </row>
    <row r="84">
      <c r="A84" s="11" t="s">
        <v>249</v>
      </c>
      <c r="B84" s="3" t="s">
        <v>250</v>
      </c>
      <c r="C84" s="4" t="str">
        <f>IFERROR(__xludf.DUMMYFUNCTION("GOOGLETRANSLATE(B84,""en"",""hi"")"),"रेफ़रल")</f>
        <v>रेफ़रल</v>
      </c>
      <c r="D84" s="4" t="str">
        <f>IFERROR(__xludf.DUMMYFUNCTION("GOOGLETRANSLATE(B84,""en"",""ar"")"),"الإحالة")</f>
        <v>الإحالة</v>
      </c>
      <c r="E84" s="4" t="str">
        <f>IFERROR(__xludf.DUMMYFUNCTION("GOOGLETRANSLATE(B84,""en"",""fr"")"),"Référence")</f>
        <v>Référence</v>
      </c>
      <c r="F84" s="4" t="str">
        <f>IFERROR(__xludf.DUMMYFUNCTION("GOOGLETRANSLATE(B84,""en"",""tr"")"),"Yönlendirme")</f>
        <v>Yönlendirme</v>
      </c>
      <c r="G84" s="4" t="str">
        <f>IFERROR(__xludf.DUMMYFUNCTION("GOOGLETRANSLATE(B84,""en"",""ru"")"),"Реферал")</f>
        <v>Реферал</v>
      </c>
      <c r="H84" s="4" t="str">
        <f>IFERROR(__xludf.DUMMYFUNCTION("GOOGLETRANSLATE(B84,""en"",""it"")"),"Rinvio")</f>
        <v>Rinvio</v>
      </c>
      <c r="I84" s="4" t="str">
        <f>IFERROR(__xludf.DUMMYFUNCTION("GOOGLETRANSLATE(B84,""en"",""de"")"),"Empfehlung")</f>
        <v>Empfehlung</v>
      </c>
      <c r="J84" s="4" t="str">
        <f>IFERROR(__xludf.DUMMYFUNCTION("GOOGLETRANSLATE(B84,""en"",""ko"")"),"추천")</f>
        <v>추천</v>
      </c>
      <c r="K84" s="4" t="str">
        <f>IFERROR(__xludf.DUMMYFUNCTION("GOOGLETRANSLATE(B84,""en"",""zh"")"),"转介")</f>
        <v>转介</v>
      </c>
      <c r="L84" s="4" t="str">
        <f>IFERROR(__xludf.DUMMYFUNCTION("GOOGLETRANSLATE(B84,""en"",""es"")"),"Referencia")</f>
        <v>Referencia</v>
      </c>
      <c r="M84" s="4" t="str">
        <f>IFERROR(__xludf.DUMMYFUNCTION("GOOGLETRANSLATE(B84,""en"",""iw"")"),"הפניה")</f>
        <v>הפניה</v>
      </c>
      <c r="N84" s="4" t="str">
        <f>IFERROR(__xludf.DUMMYFUNCTION("GOOGLETRANSLATE(B84,""en"",""bn"")"),"রেফারেল")</f>
        <v>রেফারেল</v>
      </c>
      <c r="O84" s="4" t="str">
        <f>IFERROR(__xludf.DUMMYFUNCTION("GOOGLETRANSLATE(B84,""en"",""pt"")"),"Referência")</f>
        <v>Referência</v>
      </c>
      <c r="P84" s="6"/>
    </row>
    <row r="85">
      <c r="A85" s="11" t="s">
        <v>251</v>
      </c>
      <c r="B85" s="3" t="s">
        <v>252</v>
      </c>
      <c r="C85" s="4" t="str">
        <f>IFERROR(__xludf.DUMMYFUNCTION("GOOGLETRANSLATE(B85,""en"",""hi"")"),"सामान्य प्रश्न")</f>
        <v>सामान्य प्रश्न</v>
      </c>
      <c r="D85" s="6" t="s">
        <v>253</v>
      </c>
      <c r="E85" s="4" t="str">
        <f>IFERROR(__xludf.DUMMYFUNCTION("GOOGLETRANSLATE(B85,""en"",""fr"")"),"FAQ")</f>
        <v>FAQ</v>
      </c>
      <c r="F85" s="4" t="str">
        <f>IFERROR(__xludf.DUMMYFUNCTION("GOOGLETRANSLATE(B85,""en"",""tr"")"),"SSS")</f>
        <v>SSS</v>
      </c>
      <c r="G85" s="4" t="str">
        <f>IFERROR(__xludf.DUMMYFUNCTION("GOOGLETRANSLATE(B85,""en"",""ru"")"),"Часто задаваемые вопросы")</f>
        <v>Часто задаваемые вопросы</v>
      </c>
      <c r="H85" s="4" t="str">
        <f>IFERROR(__xludf.DUMMYFUNCTION("GOOGLETRANSLATE(B85,""en"",""it"")"),"FAQ")</f>
        <v>FAQ</v>
      </c>
      <c r="I85" s="4" t="str">
        <f>IFERROR(__xludf.DUMMYFUNCTION("GOOGLETRANSLATE(B85,""en"",""de"")"),"FAQ")</f>
        <v>FAQ</v>
      </c>
      <c r="J85" s="4" t="str">
        <f>IFERROR(__xludf.DUMMYFUNCTION("GOOGLETRANSLATE(B85,""en"",""ko"")"),"자주하는 질문")</f>
        <v>자주하는 질문</v>
      </c>
      <c r="K85" s="4" t="str">
        <f>IFERROR(__xludf.DUMMYFUNCTION("GOOGLETRANSLATE(B85,""en"",""zh"")"),"常问问题")</f>
        <v>常问问题</v>
      </c>
      <c r="L85" s="4" t="str">
        <f>IFERROR(__xludf.DUMMYFUNCTION("GOOGLETRANSLATE(B85,""en"",""es"")"),"Preguntas más frecuentes")</f>
        <v>Preguntas más frecuentes</v>
      </c>
      <c r="M85" s="4" t="str">
        <f>IFERROR(__xludf.DUMMYFUNCTION("GOOGLETRANSLATE(B85,""en"",""iw"")"),"שאלות נפוצות")</f>
        <v>שאלות נפוצות</v>
      </c>
      <c r="N85" s="4" t="str">
        <f>IFERROR(__xludf.DUMMYFUNCTION("GOOGLETRANSLATE(B85,""en"",""bn"")"),"FAQ")</f>
        <v>FAQ</v>
      </c>
      <c r="O85" s="4" t="str">
        <f>IFERROR(__xludf.DUMMYFUNCTION("GOOGLETRANSLATE(B85,""en"",""pt"")"),"Perguntas frequentes")</f>
        <v>Perguntas frequentes</v>
      </c>
      <c r="P85" s="6"/>
    </row>
    <row r="86">
      <c r="A86" s="11" t="s">
        <v>254</v>
      </c>
      <c r="B86" s="3" t="s">
        <v>255</v>
      </c>
      <c r="C86" s="4" t="str">
        <f>IFERROR(__xludf.DUMMYFUNCTION("GOOGLETRANSLATE(B86,""en"",""hi"")"),"मुसीबत का इशारा")</f>
        <v>मुसीबत का इशारा</v>
      </c>
      <c r="D86" s="4" t="s">
        <v>255</v>
      </c>
      <c r="E86" s="4" t="str">
        <f>IFERROR(__xludf.DUMMYFUNCTION("GOOGLETRANSLATE(B86,""en"",""fr"")"),"SOS")</f>
        <v>SOS</v>
      </c>
      <c r="F86" s="4" t="str">
        <f>IFERROR(__xludf.DUMMYFUNCTION("GOOGLETRANSLATE(B86,""en"",""tr"")"),"s.o.s.")</f>
        <v>s.o.s.</v>
      </c>
      <c r="G86" s="4" t="str">
        <f>IFERROR(__xludf.DUMMYFUNCTION("GOOGLETRANSLATE(B86,""en"",""ru"")"),"SOS")</f>
        <v>SOS</v>
      </c>
      <c r="H86" s="4" t="str">
        <f>IFERROR(__xludf.DUMMYFUNCTION("GOOGLETRANSLATE(B86,""en"",""it"")"),"sos")</f>
        <v>sos</v>
      </c>
      <c r="I86" s="4" t="str">
        <f>IFERROR(__xludf.DUMMYFUNCTION("GOOGLETRANSLATE(B86,""en"",""de"")"),"SOS")</f>
        <v>SOS</v>
      </c>
      <c r="J86" s="4" t="str">
        <f>IFERROR(__xludf.DUMMYFUNCTION("GOOGLETRANSLATE(B86,""en"",""ko"")"),"위급 신호")</f>
        <v>위급 신호</v>
      </c>
      <c r="K86" s="4" t="str">
        <f>IFERROR(__xludf.DUMMYFUNCTION("GOOGLETRANSLATE(B86,""en"",""zh"")"),"求救")</f>
        <v>求救</v>
      </c>
      <c r="L86" s="4" t="str">
        <f>IFERROR(__xludf.DUMMYFUNCTION("GOOGLETRANSLATE(B86,""en"",""es"")"),"LLAMADA DE SOCORRO")</f>
        <v>LLAMADA DE SOCORRO</v>
      </c>
      <c r="M86" s="4" t="str">
        <f>IFERROR(__xludf.DUMMYFUNCTION("GOOGLETRANSLATE(B86,""en"",""iw"")"),"הַצִילוּ")</f>
        <v>הַצִילוּ</v>
      </c>
      <c r="N86" s="4" t="str">
        <f>IFERROR(__xludf.DUMMYFUNCTION("GOOGLETRANSLATE(B86,""en"",""bn"")"),"এসওএস")</f>
        <v>এসওএস</v>
      </c>
      <c r="O86" s="4" t="str">
        <f>IFERROR(__xludf.DUMMYFUNCTION("GOOGLETRANSLATE(B86,""en"",""pt"")"),"SOS")</f>
        <v>SOS</v>
      </c>
      <c r="P86" s="4"/>
    </row>
    <row r="87">
      <c r="A87" s="7" t="s">
        <v>256</v>
      </c>
      <c r="B87" s="3" t="s">
        <v>257</v>
      </c>
      <c r="C87" s="4" t="str">
        <f>IFERROR(__xludf.DUMMYFUNCTION("GOOGLETRANSLATE(B87,""en"",""hi"")"),"भाषा बदलें")</f>
        <v>भाषा बदलें</v>
      </c>
      <c r="D87" s="6" t="s">
        <v>258</v>
      </c>
      <c r="E87" s="4" t="str">
        <f>IFERROR(__xludf.DUMMYFUNCTION("GOOGLETRANSLATE(B87,""en"",""fr"")"),"Changer de langue")</f>
        <v>Changer de langue</v>
      </c>
      <c r="F87" s="4" t="str">
        <f>IFERROR(__xludf.DUMMYFUNCTION("GOOGLETRANSLATE(B87,""en"",""tr"")"),"Dili değiştir")</f>
        <v>Dili değiştir</v>
      </c>
      <c r="G87" s="4" t="str">
        <f>IFERROR(__xludf.DUMMYFUNCTION("GOOGLETRANSLATE(B87,""en"",""ru"")"),"Изменение языка")</f>
        <v>Изменение языка</v>
      </c>
      <c r="H87" s="4" t="str">
        <f>IFERROR(__xludf.DUMMYFUNCTION("GOOGLETRANSLATE(B87,""en"",""it"")"),"Cambia lingua")</f>
        <v>Cambia lingua</v>
      </c>
      <c r="I87" s="4" t="str">
        <f>IFERROR(__xludf.DUMMYFUNCTION("GOOGLETRANSLATE(B87,""en"",""de"")"),"Sprache ändern")</f>
        <v>Sprache ändern</v>
      </c>
      <c r="J87" s="4" t="str">
        <f>IFERROR(__xludf.DUMMYFUNCTION("GOOGLETRANSLATE(B87,""en"",""ko"")"),"언어 변경")</f>
        <v>언어 변경</v>
      </c>
      <c r="K87" s="4" t="str">
        <f>IFERROR(__xludf.DUMMYFUNCTION("GOOGLETRANSLATE(B87,""en"",""zh"")"),"改变语言")</f>
        <v>改变语言</v>
      </c>
      <c r="L87" s="4" t="str">
        <f>IFERROR(__xludf.DUMMYFUNCTION("GOOGLETRANSLATE(B87,""en"",""es"")"),"Cambiar idioma")</f>
        <v>Cambiar idioma</v>
      </c>
      <c r="M87" s="4" t="str">
        <f>IFERROR(__xludf.DUMMYFUNCTION("GOOGLETRANSLATE(B87,""en"",""iw"")"),"שנה שפה")</f>
        <v>שנה שפה</v>
      </c>
      <c r="N87" s="4" t="str">
        <f>IFERROR(__xludf.DUMMYFUNCTION("GOOGLETRANSLATE(B87,""en"",""bn"")"),"ভাষা পরিবর্তন করুন")</f>
        <v>ভাষা পরিবর্তন করুন</v>
      </c>
      <c r="O87" s="4" t="str">
        <f>IFERROR(__xludf.DUMMYFUNCTION("GOOGLETRANSLATE(B87,""en"",""pt"")"),"Mudar idioma")</f>
        <v>Mudar idioma</v>
      </c>
      <c r="P87" s="6"/>
    </row>
    <row r="88">
      <c r="A88" s="12" t="s">
        <v>259</v>
      </c>
      <c r="B88" s="13" t="s">
        <v>260</v>
      </c>
      <c r="C88" s="4" t="str">
        <f>IFERROR(__xludf.DUMMYFUNCTION("GOOGLETRANSLATE(B88,""en"",""hi"")"),"के बारे में")</f>
        <v>के बारे में</v>
      </c>
      <c r="D88" s="6" t="s">
        <v>261</v>
      </c>
      <c r="E88" s="4" t="str">
        <f>IFERROR(__xludf.DUMMYFUNCTION("GOOGLETRANSLATE(B88,""en"",""fr"")"),"À propos")</f>
        <v>À propos</v>
      </c>
      <c r="F88" s="4" t="str">
        <f>IFERROR(__xludf.DUMMYFUNCTION("GOOGLETRANSLATE(B88,""en"",""tr"")"),"Hakkında")</f>
        <v>Hakkında</v>
      </c>
      <c r="G88" s="4" t="str">
        <f>IFERROR(__xludf.DUMMYFUNCTION("GOOGLETRANSLATE(B88,""en"",""ru"")"),"О")</f>
        <v>О</v>
      </c>
      <c r="H88" s="4" t="str">
        <f>IFERROR(__xludf.DUMMYFUNCTION("GOOGLETRANSLATE(B88,""en"",""it"")"),"Di")</f>
        <v>Di</v>
      </c>
      <c r="I88" s="4" t="str">
        <f>IFERROR(__xludf.DUMMYFUNCTION("GOOGLETRANSLATE(B88,""en"",""de"")"),"Um")</f>
        <v>Um</v>
      </c>
      <c r="J88" s="4" t="str">
        <f>IFERROR(__xludf.DUMMYFUNCTION("GOOGLETRANSLATE(B88,""en"",""ko"")"),"에 대한")</f>
        <v>에 대한</v>
      </c>
      <c r="K88" s="4" t="str">
        <f>IFERROR(__xludf.DUMMYFUNCTION("GOOGLETRANSLATE(B88,""en"",""zh"")"),"关于")</f>
        <v>关于</v>
      </c>
      <c r="L88" s="4" t="str">
        <f>IFERROR(__xludf.DUMMYFUNCTION("GOOGLETRANSLATE(B88,""en"",""es"")"),"Acerca de")</f>
        <v>Acerca de</v>
      </c>
      <c r="M88" s="4" t="str">
        <f>IFERROR(__xludf.DUMMYFUNCTION("GOOGLETRANSLATE(B88,""en"",""iw"")"),"על אודות")</f>
        <v>על אודות</v>
      </c>
      <c r="N88" s="4" t="str">
        <f>IFERROR(__xludf.DUMMYFUNCTION("GOOGLETRANSLATE(B88,""en"",""bn"")"),"সম্পর্কিত")</f>
        <v>সম্পর্কিত</v>
      </c>
      <c r="O88" s="4" t="str">
        <f>IFERROR(__xludf.DUMMYFUNCTION("GOOGLETRANSLATE(B88,""en"",""pt"")"),"Sobre")</f>
        <v>Sobre</v>
      </c>
      <c r="P88" s="4"/>
    </row>
    <row r="89">
      <c r="A89" s="12" t="s">
        <v>262</v>
      </c>
      <c r="B89" s="3" t="s">
        <v>263</v>
      </c>
      <c r="C89" s="4" t="str">
        <f>IFERROR(__xludf.DUMMYFUNCTION("GOOGLETRANSLATE(B89,""en"",""hi"")"),"लॉग आउट")</f>
        <v>लॉग आउट</v>
      </c>
      <c r="D89" s="4" t="str">
        <f>IFERROR(__xludf.DUMMYFUNCTION("GOOGLETRANSLATE(B89,""en"",""ar"")"),"تسجيل خروج")</f>
        <v>تسجيل خروج</v>
      </c>
      <c r="E89" s="4" t="str">
        <f>IFERROR(__xludf.DUMMYFUNCTION("GOOGLETRANSLATE(B89,""en"",""fr"")"),"Se déconnecter")</f>
        <v>Se déconnecter</v>
      </c>
      <c r="F89" s="4" t="str">
        <f>IFERROR(__xludf.DUMMYFUNCTION("GOOGLETRANSLATE(B89,""en"",""tr"")"),"Çıkış Yap")</f>
        <v>Çıkış Yap</v>
      </c>
      <c r="G89" s="4" t="str">
        <f>IFERROR(__xludf.DUMMYFUNCTION("GOOGLETRANSLATE(B89,""en"",""ru"")"),"Выйти")</f>
        <v>Выйти</v>
      </c>
      <c r="H89" s="4" t="str">
        <f>IFERROR(__xludf.DUMMYFUNCTION("GOOGLETRANSLATE(B89,""en"",""it"")"),"Disconnettersi")</f>
        <v>Disconnettersi</v>
      </c>
      <c r="I89" s="4" t="str">
        <f>IFERROR(__xludf.DUMMYFUNCTION("GOOGLETRANSLATE(B89,""en"",""de"")"),"Ausloggen")</f>
        <v>Ausloggen</v>
      </c>
      <c r="J89" s="4" t="str">
        <f>IFERROR(__xludf.DUMMYFUNCTION("GOOGLETRANSLATE(B89,""en"",""ko"")"),"로그 아웃")</f>
        <v>로그 아웃</v>
      </c>
      <c r="K89" s="4" t="str">
        <f>IFERROR(__xludf.DUMMYFUNCTION("GOOGLETRANSLATE(B89,""en"",""zh"")"),"登出")</f>
        <v>登出</v>
      </c>
      <c r="L89" s="4" t="str">
        <f>IFERROR(__xludf.DUMMYFUNCTION("GOOGLETRANSLATE(B89,""en"",""es"")"),"Cerrar sesión")</f>
        <v>Cerrar sesión</v>
      </c>
      <c r="M89" s="4" t="str">
        <f>IFERROR(__xludf.DUMMYFUNCTION("GOOGLETRANSLATE(B89,""en"",""iw"")"),"להתנתק")</f>
        <v>להתנתק</v>
      </c>
      <c r="N89" s="4" t="str">
        <f>IFERROR(__xludf.DUMMYFUNCTION("GOOGLETRANSLATE(B89,""en"",""bn"")"),"প্রস্থান")</f>
        <v>প্রস্থান</v>
      </c>
      <c r="O89" s="4" t="str">
        <f>IFERROR(__xludf.DUMMYFUNCTION("GOOGLETRANSLATE(B89,""en"",""pt"")"),"Sair")</f>
        <v>Sair</v>
      </c>
      <c r="P89" s="6"/>
    </row>
    <row r="90">
      <c r="A90" s="7" t="s">
        <v>264</v>
      </c>
      <c r="B90" s="3" t="s">
        <v>265</v>
      </c>
      <c r="C90" s="4" t="str">
        <f>IFERROR(__xludf.DUMMYFUNCTION("GOOGLETRANSLATE(B90,""en"",""hi"")"),"यात्रा सारांश")</f>
        <v>यात्रा सारांश</v>
      </c>
      <c r="D90" s="6" t="s">
        <v>266</v>
      </c>
      <c r="E90" s="4" t="str">
        <f>IFERROR(__xludf.DUMMYFUNCTION("GOOGLETRANSLATE(B90,""en"",""fr"")"),"Résumé du voyage")</f>
        <v>Résumé du voyage</v>
      </c>
      <c r="F90" s="4" t="str">
        <f>IFERROR(__xludf.DUMMYFUNCTION("GOOGLETRANSLATE(B90,""en"",""tr"")"),"Seyahat Özeti")</f>
        <v>Seyahat Özeti</v>
      </c>
      <c r="G90" s="4" t="str">
        <f>IFERROR(__xludf.DUMMYFUNCTION("GOOGLETRANSLATE(B90,""en"",""ru"")"),"Краткое описание поездки")</f>
        <v>Краткое описание поездки</v>
      </c>
      <c r="H90" s="4" t="str">
        <f>IFERROR(__xludf.DUMMYFUNCTION("GOOGLETRANSLATE(B90,""en"",""it"")"),"Riepilogo del viaggio")</f>
        <v>Riepilogo del viaggio</v>
      </c>
      <c r="I90" s="4" t="str">
        <f>IFERROR(__xludf.DUMMYFUNCTION("GOOGLETRANSLATE(B90,""en"",""de"")"),"Reisezusammenfassung")</f>
        <v>Reisezusammenfassung</v>
      </c>
      <c r="J90" s="4" t="str">
        <f>IFERROR(__xludf.DUMMYFUNCTION("GOOGLETRANSLATE(B90,""en"",""ko"")"),"여행 요약")</f>
        <v>여행 요약</v>
      </c>
      <c r="K90" s="4" t="str">
        <f>IFERROR(__xludf.DUMMYFUNCTION("GOOGLETRANSLATE(B90,""en"",""zh"")"),"行程总结")</f>
        <v>行程总结</v>
      </c>
      <c r="L90" s="4" t="str">
        <f>IFERROR(__xludf.DUMMYFUNCTION("GOOGLETRANSLATE(B90,""en"",""es"")"),"Resumen del viaje")</f>
        <v>Resumen del viaje</v>
      </c>
      <c r="M90" s="4" t="str">
        <f>IFERROR(__xludf.DUMMYFUNCTION("GOOGLETRANSLATE(B90,""en"",""iw"")"),"סיכום טיול")</f>
        <v>סיכום טיול</v>
      </c>
      <c r="N90" s="4" t="str">
        <f>IFERROR(__xludf.DUMMYFUNCTION("GOOGLETRANSLATE(B90,""en"",""bn"")"),"ট্রিপ সারাংশ")</f>
        <v>ট্রিপ সারাংশ</v>
      </c>
      <c r="O90" s="4" t="str">
        <f>IFERROR(__xludf.DUMMYFUNCTION("GOOGLETRANSLATE(B90,""en"",""pt"")"),"Resumo da viagem")</f>
        <v>Resumo da viagem</v>
      </c>
      <c r="P90" s="6"/>
    </row>
    <row r="91">
      <c r="A91" s="7" t="s">
        <v>267</v>
      </c>
      <c r="B91" s="3" t="s">
        <v>268</v>
      </c>
      <c r="C91" s="4" t="str">
        <f>IFERROR(__xludf.DUMMYFUNCTION("GOOGLETRANSLATE(B91,""en"",""hi"")"),"संदर्भ संख्या")</f>
        <v>संदर्भ संख्या</v>
      </c>
      <c r="D91" s="6" t="s">
        <v>269</v>
      </c>
      <c r="E91" s="4" t="str">
        <f>IFERROR(__xludf.DUMMYFUNCTION("GOOGLETRANSLATE(B91,""en"",""fr"")"),"Numéro de réference")</f>
        <v>Numéro de réference</v>
      </c>
      <c r="F91" s="4" t="str">
        <f>IFERROR(__xludf.DUMMYFUNCTION("GOOGLETRANSLATE(B91,""en"",""tr"")"),"Referans numarası")</f>
        <v>Referans numarası</v>
      </c>
      <c r="G91" s="4" t="str">
        <f>IFERROR(__xludf.DUMMYFUNCTION("GOOGLETRANSLATE(B91,""en"",""ru"")"),"Справочный номер")</f>
        <v>Справочный номер</v>
      </c>
      <c r="H91" s="4" t="str">
        <f>IFERROR(__xludf.DUMMYFUNCTION("GOOGLETRANSLATE(B91,""en"",""it"")"),"Numero di riferimento")</f>
        <v>Numero di riferimento</v>
      </c>
      <c r="I91" s="4" t="str">
        <f>IFERROR(__xludf.DUMMYFUNCTION("GOOGLETRANSLATE(B91,""en"",""de"")"),"Referenznummer")</f>
        <v>Referenznummer</v>
      </c>
      <c r="J91" s="4" t="str">
        <f>IFERROR(__xludf.DUMMYFUNCTION("GOOGLETRANSLATE(B91,""en"",""ko"")"),"참조번호")</f>
        <v>참조번호</v>
      </c>
      <c r="K91" s="4" t="str">
        <f>IFERROR(__xludf.DUMMYFUNCTION("GOOGLETRANSLATE(B91,""en"",""zh"")"),"参考编号")</f>
        <v>参考编号</v>
      </c>
      <c r="L91" s="4" t="str">
        <f>IFERROR(__xludf.DUMMYFUNCTION("GOOGLETRANSLATE(B91,""en"",""es"")"),"Número de referencia")</f>
        <v>Número de referencia</v>
      </c>
      <c r="M91" s="4" t="str">
        <f>IFERROR(__xludf.DUMMYFUNCTION("GOOGLETRANSLATE(B91,""en"",""iw"")"),"מספר סימוכין")</f>
        <v>מספר סימוכין</v>
      </c>
      <c r="N91" s="4" t="str">
        <f>IFERROR(__xludf.DUMMYFUNCTION("GOOGLETRANSLATE(B91,""en"",""bn"")"),"পরিচিত সংখ্যা")</f>
        <v>পরিচিত সংখ্যা</v>
      </c>
      <c r="O91" s="4" t="str">
        <f>IFERROR(__xludf.DUMMYFUNCTION("GOOGLETRANSLATE(B91,""en"",""pt"")"),"Número de referência")</f>
        <v>Número de referência</v>
      </c>
      <c r="P91" s="4"/>
    </row>
    <row r="92">
      <c r="A92" s="7" t="s">
        <v>270</v>
      </c>
      <c r="B92" s="3" t="s">
        <v>271</v>
      </c>
      <c r="C92" s="4" t="str">
        <f>IFERROR(__xludf.DUMMYFUNCTION("GOOGLETRANSLATE(B92,""en"",""hi"")"),"सवारी का प्रकार")</f>
        <v>सवारी का प्रकार</v>
      </c>
      <c r="D92" s="6" t="s">
        <v>272</v>
      </c>
      <c r="E92" s="4" t="str">
        <f>IFERROR(__xludf.DUMMYFUNCTION("GOOGLETRANSLATE(B92,""en"",""fr"")"),"Type de trajet")</f>
        <v>Type de trajet</v>
      </c>
      <c r="F92" s="4" t="str">
        <f>IFERROR(__xludf.DUMMYFUNCTION("GOOGLETRANSLATE(B92,""en"",""tr"")"),"Sürüş Türü")</f>
        <v>Sürüş Türü</v>
      </c>
      <c r="G92" s="4" t="str">
        <f>IFERROR(__xludf.DUMMYFUNCTION("GOOGLETRANSLATE(B92,""en"",""ru"")"),"Тип поездки")</f>
        <v>Тип поездки</v>
      </c>
      <c r="H92" s="4" t="str">
        <f>IFERROR(__xludf.DUMMYFUNCTION("GOOGLETRANSLATE(B92,""en"",""it"")"),"Tipo di corsa")</f>
        <v>Tipo di corsa</v>
      </c>
      <c r="I92" s="4" t="str">
        <f>IFERROR(__xludf.DUMMYFUNCTION("GOOGLETRANSLATE(B92,""en"",""de"")"),"Art der Fahrt")</f>
        <v>Art der Fahrt</v>
      </c>
      <c r="J92" s="4" t="str">
        <f>IFERROR(__xludf.DUMMYFUNCTION("GOOGLETRANSLATE(B92,""en"",""ko"")"),"탑승 유형")</f>
        <v>탑승 유형</v>
      </c>
      <c r="K92" s="4" t="str">
        <f>IFERROR(__xludf.DUMMYFUNCTION("GOOGLETRANSLATE(B92,""en"",""zh"")"),"乘车类型")</f>
        <v>乘车类型</v>
      </c>
      <c r="L92" s="4" t="str">
        <f>IFERROR(__xludf.DUMMYFUNCTION("GOOGLETRANSLATE(B92,""en"",""es"")"),"Tipo de viaje")</f>
        <v>Tipo de viaje</v>
      </c>
      <c r="M92" s="4" t="str">
        <f>IFERROR(__xludf.DUMMYFUNCTION("GOOGLETRANSLATE(B92,""en"",""iw"")"),"סוג נסיעה")</f>
        <v>סוג נסיעה</v>
      </c>
      <c r="N92" s="4" t="str">
        <f>IFERROR(__xludf.DUMMYFUNCTION("GOOGLETRANSLATE(B92,""en"",""bn"")"),"রাইডের ধরন")</f>
        <v>রাইডের ধরন</v>
      </c>
      <c r="O92" s="4" t="str">
        <f>IFERROR(__xludf.DUMMYFUNCTION("GOOGLETRANSLATE(B92,""en"",""pt"")"),"Tipo de passeio")</f>
        <v>Tipo de passeio</v>
      </c>
      <c r="P92" s="6"/>
    </row>
    <row r="93">
      <c r="A93" s="7" t="s">
        <v>273</v>
      </c>
      <c r="B93" s="3" t="s">
        <v>274</v>
      </c>
      <c r="C93" s="4" t="str">
        <f>IFERROR(__xludf.DUMMYFUNCTION("GOOGLETRANSLATE(B93,""en"",""hi"")"),"दूरी")</f>
        <v>दूरी</v>
      </c>
      <c r="D93" s="6" t="s">
        <v>275</v>
      </c>
      <c r="E93" s="4" t="str">
        <f>IFERROR(__xludf.DUMMYFUNCTION("GOOGLETRANSLATE(B93,""en"",""fr"")"),"Distance")</f>
        <v>Distance</v>
      </c>
      <c r="F93" s="4" t="str">
        <f>IFERROR(__xludf.DUMMYFUNCTION("GOOGLETRANSLATE(B93,""en"",""tr"")"),"Mesafe")</f>
        <v>Mesafe</v>
      </c>
      <c r="G93" s="4" t="str">
        <f>IFERROR(__xludf.DUMMYFUNCTION("GOOGLETRANSLATE(B93,""en"",""ru"")"),"Расстояние")</f>
        <v>Расстояние</v>
      </c>
      <c r="H93" s="4" t="str">
        <f>IFERROR(__xludf.DUMMYFUNCTION("GOOGLETRANSLATE(B93,""en"",""it"")"),"Distanza")</f>
        <v>Distanza</v>
      </c>
      <c r="I93" s="4" t="str">
        <f>IFERROR(__xludf.DUMMYFUNCTION("GOOGLETRANSLATE(B93,""en"",""de"")"),"Distanz")</f>
        <v>Distanz</v>
      </c>
      <c r="J93" s="4" t="str">
        <f>IFERROR(__xludf.DUMMYFUNCTION("GOOGLETRANSLATE(B93,""en"",""ko"")"),"거리")</f>
        <v>거리</v>
      </c>
      <c r="K93" s="4" t="str">
        <f>IFERROR(__xludf.DUMMYFUNCTION("GOOGLETRANSLATE(B93,""en"",""zh"")"),"距离")</f>
        <v>距离</v>
      </c>
      <c r="L93" s="4" t="str">
        <f>IFERROR(__xludf.DUMMYFUNCTION("GOOGLETRANSLATE(B93,""en"",""es"")"),"Distancia")</f>
        <v>Distancia</v>
      </c>
      <c r="M93" s="4" t="str">
        <f>IFERROR(__xludf.DUMMYFUNCTION("GOOGLETRANSLATE(B93,""en"",""iw"")"),"מֶרְחָק")</f>
        <v>מֶרְחָק</v>
      </c>
      <c r="N93" s="4" t="str">
        <f>IFERROR(__xludf.DUMMYFUNCTION("GOOGLETRANSLATE(B93,""en"",""bn"")"),"দূরত্ব")</f>
        <v>দূরত্ব</v>
      </c>
      <c r="O93" s="4" t="str">
        <f>IFERROR(__xludf.DUMMYFUNCTION("GOOGLETRANSLATE(B93,""en"",""pt"")"),"Distância")</f>
        <v>Distância</v>
      </c>
      <c r="P93" s="6"/>
    </row>
    <row r="94">
      <c r="A94" s="7" t="s">
        <v>276</v>
      </c>
      <c r="B94" s="9" t="s">
        <v>277</v>
      </c>
      <c r="C94" s="4" t="str">
        <f>IFERROR(__xludf.DUMMYFUNCTION("GOOGLETRANSLATE(B94,""en"",""hi"")"),"अवधि")</f>
        <v>अवधि</v>
      </c>
      <c r="D94" s="6" t="s">
        <v>278</v>
      </c>
      <c r="E94" s="4" t="str">
        <f>IFERROR(__xludf.DUMMYFUNCTION("GOOGLETRANSLATE(B94,""en"",""fr"")"),"Durée")</f>
        <v>Durée</v>
      </c>
      <c r="F94" s="4" t="str">
        <f>IFERROR(__xludf.DUMMYFUNCTION("GOOGLETRANSLATE(B94,""en"",""tr"")"),"Süre")</f>
        <v>Süre</v>
      </c>
      <c r="G94" s="4" t="str">
        <f>IFERROR(__xludf.DUMMYFUNCTION("GOOGLETRANSLATE(B94,""en"",""ru"")"),"Продолжительность")</f>
        <v>Продолжительность</v>
      </c>
      <c r="H94" s="4" t="str">
        <f>IFERROR(__xludf.DUMMYFUNCTION("GOOGLETRANSLATE(B94,""en"",""it"")"),"Durata")</f>
        <v>Durata</v>
      </c>
      <c r="I94" s="4" t="str">
        <f>IFERROR(__xludf.DUMMYFUNCTION("GOOGLETRANSLATE(B94,""en"",""de"")"),"Dauer")</f>
        <v>Dauer</v>
      </c>
      <c r="J94" s="4" t="str">
        <f>IFERROR(__xludf.DUMMYFUNCTION("GOOGLETRANSLATE(B94,""en"",""ko"")"),"지속")</f>
        <v>지속</v>
      </c>
      <c r="K94" s="4" t="str">
        <f>IFERROR(__xludf.DUMMYFUNCTION("GOOGLETRANSLATE(B94,""en"",""zh"")"),"期间")</f>
        <v>期间</v>
      </c>
      <c r="L94" s="4" t="str">
        <f>IFERROR(__xludf.DUMMYFUNCTION("GOOGLETRANSLATE(B94,""en"",""es"")"),"Duración")</f>
        <v>Duración</v>
      </c>
      <c r="M94" s="4" t="str">
        <f>IFERROR(__xludf.DUMMYFUNCTION("GOOGLETRANSLATE(B94,""en"",""iw"")"),"מֶשֶׁך")</f>
        <v>מֶשֶׁך</v>
      </c>
      <c r="N94" s="4" t="str">
        <f>IFERROR(__xludf.DUMMYFUNCTION("GOOGLETRANSLATE(B94,""en"",""bn"")"),"সময়কাল")</f>
        <v>সময়কাল</v>
      </c>
      <c r="O94" s="4" t="str">
        <f>IFERROR(__xludf.DUMMYFUNCTION("GOOGLETRANSLATE(B94,""en"",""pt"")"),"Duração")</f>
        <v>Duração</v>
      </c>
      <c r="P94" s="6"/>
    </row>
    <row r="95">
      <c r="A95" s="7" t="s">
        <v>279</v>
      </c>
      <c r="B95" s="3" t="s">
        <v>280</v>
      </c>
      <c r="C95" s="4" t="str">
        <f>IFERROR(__xludf.DUMMYFUNCTION("GOOGLETRANSLATE(B95,""en"",""hi"")"),"किराये का गोलमाल")</f>
        <v>किराये का गोलमाल</v>
      </c>
      <c r="D95" s="6" t="s">
        <v>281</v>
      </c>
      <c r="E95" s="4" t="str">
        <f>IFERROR(__xludf.DUMMYFUNCTION("GOOGLETRANSLATE(B95,""en"",""fr"")"),"Répartition des tarifs")</f>
        <v>Répartition des tarifs</v>
      </c>
      <c r="F95" s="4" t="str">
        <f>IFERROR(__xludf.DUMMYFUNCTION("GOOGLETRANSLATE(B95,""en"",""tr"")"),"Ücret Dağılımı")</f>
        <v>Ücret Dağılımı</v>
      </c>
      <c r="G95" s="4" t="str">
        <f>IFERROR(__xludf.DUMMYFUNCTION("GOOGLETRANSLATE(B95,""en"",""ru"")"),"Распределение тарифов")</f>
        <v>Распределение тарифов</v>
      </c>
      <c r="H95" s="4" t="str">
        <f>IFERROR(__xludf.DUMMYFUNCTION("GOOGLETRANSLATE(B95,""en"",""it"")"),"Rottura della tariffa")</f>
        <v>Rottura della tariffa</v>
      </c>
      <c r="I95" s="4" t="str">
        <f>IFERROR(__xludf.DUMMYFUNCTION("GOOGLETRANSLATE(B95,""en"",""de"")"),"Tarifauflösung")</f>
        <v>Tarifauflösung</v>
      </c>
      <c r="J95" s="4" t="str">
        <f>IFERROR(__xludf.DUMMYFUNCTION("GOOGLETRANSLATE(B95,""en"",""ko"")"),"요금 분할")</f>
        <v>요금 분할</v>
      </c>
      <c r="K95" s="4" t="str">
        <f>IFERROR(__xludf.DUMMYFUNCTION("GOOGLETRANSLATE(B95,""en"",""zh"")"),"票价分解")</f>
        <v>票价分解</v>
      </c>
      <c r="L95" s="4" t="str">
        <f>IFERROR(__xludf.DUMMYFUNCTION("GOOGLETRANSLATE(B95,""en"",""es"")"),"Ruptura de tarifas")</f>
        <v>Ruptura de tarifas</v>
      </c>
      <c r="M95" s="4" t="str">
        <f>IFERROR(__xludf.DUMMYFUNCTION("GOOGLETRANSLATE(B95,""en"",""iw"")"),"התפרקות מחיר")</f>
        <v>התפרקות מחיר</v>
      </c>
      <c r="N95" s="4" t="str">
        <f>IFERROR(__xludf.DUMMYFUNCTION("GOOGLETRANSLATE(B95,""en"",""bn"")"),"ফেয়ার ব্রেকআপ")</f>
        <v>ফেয়ার ব্রেকআপ</v>
      </c>
      <c r="O95" s="4" t="str">
        <f>IFERROR(__xludf.DUMMYFUNCTION("GOOGLETRANSLATE(B95,""en"",""pt"")"),"Separação de tarifas")</f>
        <v>Separação de tarifas</v>
      </c>
      <c r="P95" s="6"/>
    </row>
    <row r="96">
      <c r="A96" s="7" t="s">
        <v>282</v>
      </c>
      <c r="B96" s="3" t="s">
        <v>283</v>
      </c>
      <c r="C96" s="4" t="str">
        <f>IFERROR(__xludf.DUMMYFUNCTION("GOOGLETRANSLATE(B96,""en"",""hi"")"),"आधार मूल्य")</f>
        <v>आधार मूल्य</v>
      </c>
      <c r="D96" s="6" t="s">
        <v>284</v>
      </c>
      <c r="E96" s="4" t="str">
        <f>IFERROR(__xludf.DUMMYFUNCTION("GOOGLETRANSLATE(B96,""en"",""fr"")"),"Prix ​​de base")</f>
        <v>Prix ​​de base</v>
      </c>
      <c r="F96" s="4" t="str">
        <f>IFERROR(__xludf.DUMMYFUNCTION("GOOGLETRANSLATE(B96,""en"",""tr"")"),"Taban fiyat")</f>
        <v>Taban fiyat</v>
      </c>
      <c r="G96" s="4" t="str">
        <f>IFERROR(__xludf.DUMMYFUNCTION("GOOGLETRANSLATE(B96,""en"",""ru"")"),"Базисная цена")</f>
        <v>Базисная цена</v>
      </c>
      <c r="H96" s="4" t="str">
        <f>IFERROR(__xludf.DUMMYFUNCTION("GOOGLETRANSLATE(B96,""en"",""it"")"),"Prezzo base")</f>
        <v>Prezzo base</v>
      </c>
      <c r="I96" s="4" t="str">
        <f>IFERROR(__xludf.DUMMYFUNCTION("GOOGLETRANSLATE(B96,""en"",""de"")"),"Grundpreis")</f>
        <v>Grundpreis</v>
      </c>
      <c r="J96" s="4" t="str">
        <f>IFERROR(__xludf.DUMMYFUNCTION("GOOGLETRANSLATE(B96,""en"",""ko"")"),"기본 가격")</f>
        <v>기본 가격</v>
      </c>
      <c r="K96" s="4" t="str">
        <f>IFERROR(__xludf.DUMMYFUNCTION("GOOGLETRANSLATE(B96,""en"",""zh"")"),"基本价格")</f>
        <v>基本价格</v>
      </c>
      <c r="L96" s="4" t="str">
        <f>IFERROR(__xludf.DUMMYFUNCTION("GOOGLETRANSLATE(B96,""en"",""es"")"),"Precio base")</f>
        <v>Precio base</v>
      </c>
      <c r="M96" s="4" t="str">
        <f>IFERROR(__xludf.DUMMYFUNCTION("GOOGLETRANSLATE(B96,""en"",""iw"")"),"מחיר בסיסי")</f>
        <v>מחיר בסיסי</v>
      </c>
      <c r="N96" s="4" t="str">
        <f>IFERROR(__xludf.DUMMYFUNCTION("GOOGLETRANSLATE(B96,""en"",""bn"")"),"মুলদাম")</f>
        <v>মুলদাম</v>
      </c>
      <c r="O96" s="4" t="str">
        <f>IFERROR(__xludf.DUMMYFUNCTION("GOOGLETRANSLATE(B96,""en"",""pt"")"),"Preço base")</f>
        <v>Preço base</v>
      </c>
      <c r="P96" s="6"/>
    </row>
    <row r="97">
      <c r="A97" s="7" t="s">
        <v>285</v>
      </c>
      <c r="B97" s="3" t="s">
        <v>286</v>
      </c>
      <c r="C97" s="4" t="str">
        <f>IFERROR(__xludf.DUMMYFUNCTION("GOOGLETRANSLATE(B97,""en"",""hi"")"),"करों")</f>
        <v>करों</v>
      </c>
      <c r="D97" s="6" t="s">
        <v>287</v>
      </c>
      <c r="E97" s="4" t="str">
        <f>IFERROR(__xludf.DUMMYFUNCTION("GOOGLETRANSLATE(B97,""en"",""fr"")"),"Impôts")</f>
        <v>Impôts</v>
      </c>
      <c r="F97" s="4" t="str">
        <f>IFERROR(__xludf.DUMMYFUNCTION("GOOGLETRANSLATE(B97,""en"",""tr"")"),"Vergiler")</f>
        <v>Vergiler</v>
      </c>
      <c r="G97" s="4" t="str">
        <f>IFERROR(__xludf.DUMMYFUNCTION("GOOGLETRANSLATE(B97,""en"",""ru"")"),"Налоги")</f>
        <v>Налоги</v>
      </c>
      <c r="H97" s="4" t="str">
        <f>IFERROR(__xludf.DUMMYFUNCTION("GOOGLETRANSLATE(B97,""en"",""it"")"),"Le tasse")</f>
        <v>Le tasse</v>
      </c>
      <c r="I97" s="4" t="str">
        <f>IFERROR(__xludf.DUMMYFUNCTION("GOOGLETRANSLATE(B97,""en"",""de"")"),"Steuern")</f>
        <v>Steuern</v>
      </c>
      <c r="J97" s="4" t="str">
        <f>IFERROR(__xludf.DUMMYFUNCTION("GOOGLETRANSLATE(B97,""en"",""ko"")"),"구실")</f>
        <v>구실</v>
      </c>
      <c r="K97" s="4" t="str">
        <f>IFERROR(__xludf.DUMMYFUNCTION("GOOGLETRANSLATE(B97,""en"",""zh"")"),"税收")</f>
        <v>税收</v>
      </c>
      <c r="L97" s="4" t="str">
        <f>IFERROR(__xludf.DUMMYFUNCTION("GOOGLETRANSLATE(B97,""en"",""es"")"),"Impuestos")</f>
        <v>Impuestos</v>
      </c>
      <c r="M97" s="4" t="str">
        <f>IFERROR(__xludf.DUMMYFUNCTION("GOOGLETRANSLATE(B97,""en"",""iw"")"),"מיסים")</f>
        <v>מיסים</v>
      </c>
      <c r="N97" s="4" t="str">
        <f>IFERROR(__xludf.DUMMYFUNCTION("GOOGLETRANSLATE(B97,""en"",""bn"")"),"করের")</f>
        <v>করের</v>
      </c>
      <c r="O97" s="4" t="str">
        <f>IFERROR(__xludf.DUMMYFUNCTION("GOOGLETRANSLATE(B97,""en"",""pt"")"),"Impostos")</f>
        <v>Impostos</v>
      </c>
      <c r="P97" s="6"/>
    </row>
    <row r="98">
      <c r="A98" s="7" t="s">
        <v>288</v>
      </c>
      <c r="B98" s="3" t="s">
        <v>289</v>
      </c>
      <c r="C98" s="4" t="str">
        <f>IFERROR(__xludf.DUMMYFUNCTION("GOOGLETRANSLATE(B98,""en"",""hi"")"),"दूरी कीमत")</f>
        <v>दूरी कीमत</v>
      </c>
      <c r="D98" s="6" t="s">
        <v>290</v>
      </c>
      <c r="E98" s="4" t="str">
        <f>IFERROR(__xludf.DUMMYFUNCTION("GOOGLETRANSLATE(B98,""en"",""fr"")"),"Prix ​​à distance")</f>
        <v>Prix ​​à distance</v>
      </c>
      <c r="F98" s="4" t="str">
        <f>IFERROR(__xludf.DUMMYFUNCTION("GOOGLETRANSLATE(B98,""en"",""tr"")"),"Mesafe Fiyatı")</f>
        <v>Mesafe Fiyatı</v>
      </c>
      <c r="G98" s="4" t="str">
        <f>IFERROR(__xludf.DUMMYFUNCTION("GOOGLETRANSLATE(B98,""en"",""ru"")"),"Расстояние Цена")</f>
        <v>Расстояние Цена</v>
      </c>
      <c r="H98" s="4" t="str">
        <f>IFERROR(__xludf.DUMMYFUNCTION("GOOGLETRANSLATE(B98,""en"",""it"")"),"Prezzo della distanza")</f>
        <v>Prezzo della distanza</v>
      </c>
      <c r="I98" s="4" t="str">
        <f>IFERROR(__xludf.DUMMYFUNCTION("GOOGLETRANSLATE(B98,""en"",""de"")"),"Distanzpreis")</f>
        <v>Distanzpreis</v>
      </c>
      <c r="J98" s="4" t="str">
        <f>IFERROR(__xludf.DUMMYFUNCTION("GOOGLETRANSLATE(B98,""en"",""ko"")"),"거리 가격")</f>
        <v>거리 가격</v>
      </c>
      <c r="K98" s="4" t="str">
        <f>IFERROR(__xludf.DUMMYFUNCTION("GOOGLETRANSLATE(B98,""en"",""zh"")"),"距离价格")</f>
        <v>距离价格</v>
      </c>
      <c r="L98" s="4" t="str">
        <f>IFERROR(__xludf.DUMMYFUNCTION("GOOGLETRANSLATE(B98,""en"",""es"")"),"Precio de distancia")</f>
        <v>Precio de distancia</v>
      </c>
      <c r="M98" s="4" t="str">
        <f>IFERROR(__xludf.DUMMYFUNCTION("GOOGLETRANSLATE(B98,""en"",""iw"")"),"מחיר מרחק")</f>
        <v>מחיר מרחק</v>
      </c>
      <c r="N98" s="4" t="str">
        <f>IFERROR(__xludf.DUMMYFUNCTION("GOOGLETRANSLATE(B98,""en"",""bn"")"),"দূরত্ব মূল্য")</f>
        <v>দূরত্ব মূল্য</v>
      </c>
      <c r="O98" s="4" t="str">
        <f>IFERROR(__xludf.DUMMYFUNCTION("GOOGLETRANSLATE(B98,""en"",""pt"")"),"Preço de distância")</f>
        <v>Preço de distância</v>
      </c>
      <c r="P98" s="6"/>
    </row>
    <row r="99">
      <c r="A99" s="7" t="s">
        <v>291</v>
      </c>
      <c r="B99" s="3" t="s">
        <v>292</v>
      </c>
      <c r="C99" s="4" t="str">
        <f>IFERROR(__xludf.DUMMYFUNCTION("GOOGLETRANSLATE(B99,""en"",""hi"")"),"समय की कीमत")</f>
        <v>समय की कीमत</v>
      </c>
      <c r="D99" s="6" t="s">
        <v>293</v>
      </c>
      <c r="E99" s="4" t="str">
        <f>IFERROR(__xludf.DUMMYFUNCTION("GOOGLETRANSLATE(B99,""en"",""fr"")"),"Temps Prix")</f>
        <v>Temps Prix</v>
      </c>
      <c r="F99" s="4" t="str">
        <f>IFERROR(__xludf.DUMMYFUNCTION("GOOGLETRANSLATE(B99,""en"",""tr"")"),"Zaman Fiyatı")</f>
        <v>Zaman Fiyatı</v>
      </c>
      <c r="G99" s="4" t="str">
        <f>IFERROR(__xludf.DUMMYFUNCTION("GOOGLETRANSLATE(B99,""en"",""ru"")"),"Время Цена")</f>
        <v>Время Цена</v>
      </c>
      <c r="H99" s="4" t="str">
        <f>IFERROR(__xludf.DUMMYFUNCTION("GOOGLETRANSLATE(B99,""en"",""it"")"),"Prezzo temporale")</f>
        <v>Prezzo temporale</v>
      </c>
      <c r="I99" s="4" t="str">
        <f>IFERROR(__xludf.DUMMYFUNCTION("GOOGLETRANSLATE(B99,""en"",""de"")"),"Zeitpreis")</f>
        <v>Zeitpreis</v>
      </c>
      <c r="J99" s="4" t="str">
        <f>IFERROR(__xludf.DUMMYFUNCTION("GOOGLETRANSLATE(B99,""en"",""ko"")"),"시간 가격")</f>
        <v>시간 가격</v>
      </c>
      <c r="K99" s="4" t="str">
        <f>IFERROR(__xludf.DUMMYFUNCTION("GOOGLETRANSLATE(B99,""en"",""zh"")"),"时间价格")</f>
        <v>时间价格</v>
      </c>
      <c r="L99" s="4" t="str">
        <f>IFERROR(__xludf.DUMMYFUNCTION("GOOGLETRANSLATE(B99,""en"",""es"")"),"Tiempo Precio")</f>
        <v>Tiempo Precio</v>
      </c>
      <c r="M99" s="4" t="str">
        <f>IFERROR(__xludf.DUMMYFUNCTION("GOOGLETRANSLATE(B99,""en"",""iw"")"),"מחיר זמן")</f>
        <v>מחיר זמן</v>
      </c>
      <c r="N99" s="4" t="str">
        <f>IFERROR(__xludf.DUMMYFUNCTION("GOOGLETRANSLATE(B99,""en"",""bn"")"),"সময়ের মূল্য")</f>
        <v>সময়ের মূল্য</v>
      </c>
      <c r="O99" s="4" t="str">
        <f>IFERROR(__xludf.DUMMYFUNCTION("GOOGLETRANSLATE(B99,""en"",""pt"")"),"Preço do tempo")</f>
        <v>Preço do tempo</v>
      </c>
      <c r="P99" s="6"/>
    </row>
    <row r="100">
      <c r="A100" s="7" t="s">
        <v>294</v>
      </c>
      <c r="B100" s="3" t="s">
        <v>295</v>
      </c>
      <c r="C100" s="4" t="str">
        <f>IFERROR(__xludf.DUMMYFUNCTION("GOOGLETRANSLATE(B100,""en"",""hi"")"),"रद्दीकरण शुल्क")</f>
        <v>रद्दीकरण शुल्क</v>
      </c>
      <c r="D100" s="6" t="s">
        <v>296</v>
      </c>
      <c r="E100" s="4" t="str">
        <f>IFERROR(__xludf.DUMMYFUNCTION("GOOGLETRANSLATE(B100,""en"",""fr"")"),"Frais d'annulation")</f>
        <v>Frais d'annulation</v>
      </c>
      <c r="F100" s="4" t="str">
        <f>IFERROR(__xludf.DUMMYFUNCTION("GOOGLETRANSLATE(B100,""en"",""tr"")"),"İptal ücreti")</f>
        <v>İptal ücreti</v>
      </c>
      <c r="G100" s="4" t="str">
        <f>IFERROR(__xludf.DUMMYFUNCTION("GOOGLETRANSLATE(B100,""en"",""ru"")"),"Комиссия при отмене")</f>
        <v>Комиссия при отмене</v>
      </c>
      <c r="H100" s="4" t="str">
        <f>IFERROR(__xludf.DUMMYFUNCTION("GOOGLETRANSLATE(B100,""en"",""it"")"),"Tassa di cancellazione")</f>
        <v>Tassa di cancellazione</v>
      </c>
      <c r="I100" s="4" t="str">
        <f>IFERROR(__xludf.DUMMYFUNCTION("GOOGLETRANSLATE(B100,""en"",""de"")"),"Stornogebühr")</f>
        <v>Stornogebühr</v>
      </c>
      <c r="J100" s="4" t="str">
        <f>IFERROR(__xludf.DUMMYFUNCTION("GOOGLETRANSLATE(B100,""en"",""ko"")"),"취소 요금")</f>
        <v>취소 요금</v>
      </c>
      <c r="K100" s="4" t="str">
        <f>IFERROR(__xludf.DUMMYFUNCTION("GOOGLETRANSLATE(B100,""en"",""zh"")"),"取消费用")</f>
        <v>取消费用</v>
      </c>
      <c r="L100" s="4" t="str">
        <f>IFERROR(__xludf.DUMMYFUNCTION("GOOGLETRANSLATE(B100,""en"",""es"")"),"Tarifa de cancelación")</f>
        <v>Tarifa de cancelación</v>
      </c>
      <c r="M100" s="4" t="str">
        <f>IFERROR(__xludf.DUMMYFUNCTION("GOOGLETRANSLATE(B100,""en"",""iw"")"),"דמי ביטול")</f>
        <v>דמי ביטול</v>
      </c>
      <c r="N100" s="4" t="str">
        <f>IFERROR(__xludf.DUMMYFUNCTION("GOOGLETRANSLATE(B100,""en"",""bn"")"),"বাতিল ফি")</f>
        <v>বাতিল ফি</v>
      </c>
      <c r="O100" s="4" t="str">
        <f>IFERROR(__xludf.DUMMYFUNCTION("GOOGLETRANSLATE(B100,""en"",""pt"")"),"Taxa de cancelamento")</f>
        <v>Taxa de cancelamento</v>
      </c>
      <c r="P100" s="6"/>
    </row>
    <row r="101">
      <c r="A101" s="7" t="s">
        <v>297</v>
      </c>
      <c r="B101" s="3" t="s">
        <v>298</v>
      </c>
      <c r="C101" s="4" t="str">
        <f>IFERROR(__xludf.DUMMYFUNCTION("GOOGLETRANSLATE(B101,""en"",""hi"")"),"सुविधा शुल्क")</f>
        <v>सुविधा शुल्क</v>
      </c>
      <c r="D101" s="6" t="s">
        <v>299</v>
      </c>
      <c r="E101" s="4" t="str">
        <f>IFERROR(__xludf.DUMMYFUNCTION("GOOGLETRANSLATE(B101,""en"",""fr"")"),"frais de commodité")</f>
        <v>frais de commodité</v>
      </c>
      <c r="F101" s="4" t="str">
        <f>IFERROR(__xludf.DUMMYFUNCTION("GOOGLETRANSLATE(B101,""en"",""tr"")"),"Kolaylık Ücreti")</f>
        <v>Kolaylık Ücreti</v>
      </c>
      <c r="G101" s="4" t="str">
        <f>IFERROR(__xludf.DUMMYFUNCTION("GOOGLETRANSLATE(B101,""en"",""ru"")"),"Удобство Плата")</f>
        <v>Удобство Плата</v>
      </c>
      <c r="H101" s="4" t="str">
        <f>IFERROR(__xludf.DUMMYFUNCTION("GOOGLETRANSLATE(B101,""en"",""it"")"),"Tariffa di convenienza")</f>
        <v>Tariffa di convenienza</v>
      </c>
      <c r="I101" s="4" t="str">
        <f>IFERROR(__xludf.DUMMYFUNCTION("GOOGLETRANSLATE(B101,""en"",""de"")"),"Komfortgebühr")</f>
        <v>Komfortgebühr</v>
      </c>
      <c r="J101" s="4" t="str">
        <f>IFERROR(__xludf.DUMMYFUNCTION("GOOGLETRANSLATE(B101,""en"",""ko"")"),"편의 수수료")</f>
        <v>편의 수수료</v>
      </c>
      <c r="K101" s="4" t="str">
        <f>IFERROR(__xludf.DUMMYFUNCTION("GOOGLETRANSLATE(B101,""en"",""zh"")"),"便利费")</f>
        <v>便利费</v>
      </c>
      <c r="L101" s="4" t="str">
        <f>IFERROR(__xludf.DUMMYFUNCTION("GOOGLETRANSLATE(B101,""en"",""es"")"),"Costes de Gestión")</f>
        <v>Costes de Gestión</v>
      </c>
      <c r="M101" s="4" t="str">
        <f>IFERROR(__xludf.DUMMYFUNCTION("GOOGLETRANSLATE(B101,""en"",""iw"")"),"דמי נוחות")</f>
        <v>דמי נוחות</v>
      </c>
      <c r="N101" s="4" t="str">
        <f>IFERROR(__xludf.DUMMYFUNCTION("GOOGLETRANSLATE(B101,""en"",""bn"")"),"সুবিধার ফি")</f>
        <v>সুবিধার ফি</v>
      </c>
      <c r="O101" s="4" t="str">
        <f>IFERROR(__xludf.DUMMYFUNCTION("GOOGLETRANSLATE(B101,""en"",""pt"")"),"taxa de conveniência")</f>
        <v>taxa de conveniência</v>
      </c>
      <c r="P101" s="6"/>
    </row>
    <row r="102">
      <c r="A102" s="7" t="s">
        <v>300</v>
      </c>
      <c r="B102" s="3" t="s">
        <v>301</v>
      </c>
      <c r="C102" s="4" t="str">
        <f>IFERROR(__xludf.DUMMYFUNCTION("GOOGLETRANSLATE(B102,""en"",""hi"")"),"कुल किराया")</f>
        <v>कुल किराया</v>
      </c>
      <c r="D102" s="6" t="s">
        <v>302</v>
      </c>
      <c r="E102" s="4" t="str">
        <f>IFERROR(__xludf.DUMMYFUNCTION("GOOGLETRANSLATE(B102,""en"",""fr"")"),"Prix ​​total")</f>
        <v>Prix ​​total</v>
      </c>
      <c r="F102" s="4" t="str">
        <f>IFERROR(__xludf.DUMMYFUNCTION("GOOGLETRANSLATE(B102,""en"",""tr"")"),"Toplam ücret")</f>
        <v>Toplam ücret</v>
      </c>
      <c r="G102" s="4" t="str">
        <f>IFERROR(__xludf.DUMMYFUNCTION("GOOGLETRANSLATE(B102,""en"",""ru"")"),"Общая стоимость проезда")</f>
        <v>Общая стоимость проезда</v>
      </c>
      <c r="H102" s="4" t="str">
        <f>IFERROR(__xludf.DUMMYFUNCTION("GOOGLETRANSLATE(B102,""en"",""it"")"),"Tariffa totale")</f>
        <v>Tariffa totale</v>
      </c>
      <c r="I102" s="4" t="str">
        <f>IFERROR(__xludf.DUMMYFUNCTION("GOOGLETRANSLATE(B102,""en"",""de"")"),"Gesamtfahrpreis")</f>
        <v>Gesamtfahrpreis</v>
      </c>
      <c r="J102" s="4" t="str">
        <f>IFERROR(__xludf.DUMMYFUNCTION("GOOGLETRANSLATE(B102,""en"",""ko"")"),"총운임")</f>
        <v>총운임</v>
      </c>
      <c r="K102" s="4" t="str">
        <f>IFERROR(__xludf.DUMMYFUNCTION("GOOGLETRANSLATE(B102,""en"",""zh"")"),"总票价")</f>
        <v>总票价</v>
      </c>
      <c r="L102" s="4" t="str">
        <f>IFERROR(__xludf.DUMMYFUNCTION("GOOGLETRANSLATE(B102,""en"",""es"")"),"Tarifa total")</f>
        <v>Tarifa total</v>
      </c>
      <c r="M102" s="4" t="str">
        <f>IFERROR(__xludf.DUMMYFUNCTION("GOOGLETRANSLATE(B102,""en"",""iw"")"),"מחיר כולל")</f>
        <v>מחיר כולל</v>
      </c>
      <c r="N102" s="4" t="str">
        <f>IFERROR(__xludf.DUMMYFUNCTION("GOOGLETRANSLATE(B102,""en"",""bn"")"),"মোট ভাড়া")</f>
        <v>মোট ভাড়া</v>
      </c>
      <c r="O102" s="4" t="str">
        <f>IFERROR(__xludf.DUMMYFUNCTION("GOOGLETRANSLATE(B102,""en"",""pt"")"),"Tarifa total")</f>
        <v>Tarifa total</v>
      </c>
      <c r="P102" s="6"/>
    </row>
    <row r="103">
      <c r="A103" s="7" t="s">
        <v>303</v>
      </c>
      <c r="B103" s="3" t="s">
        <v>304</v>
      </c>
      <c r="C103" s="4" t="str">
        <f>IFERROR(__xludf.DUMMYFUNCTION("GOOGLETRANSLATE(B103,""en"",""hi"")"),"नकद")</f>
        <v>नकद</v>
      </c>
      <c r="D103" s="6" t="s">
        <v>305</v>
      </c>
      <c r="E103" s="4" t="str">
        <f>IFERROR(__xludf.DUMMYFUNCTION("GOOGLETRANSLATE(B103,""en"",""fr"")"),"Espèces")</f>
        <v>Espèces</v>
      </c>
      <c r="F103" s="4" t="str">
        <f>IFERROR(__xludf.DUMMYFUNCTION("GOOGLETRANSLATE(B103,""en"",""tr"")"),"Peşin")</f>
        <v>Peşin</v>
      </c>
      <c r="G103" s="4" t="str">
        <f>IFERROR(__xludf.DUMMYFUNCTION("GOOGLETRANSLATE(B103,""en"",""ru"")"),"Наличные")</f>
        <v>Наличные</v>
      </c>
      <c r="H103" s="4" t="str">
        <f>IFERROR(__xludf.DUMMYFUNCTION("GOOGLETRANSLATE(B103,""en"",""it"")"),"Contanti")</f>
        <v>Contanti</v>
      </c>
      <c r="I103" s="4" t="str">
        <f>IFERROR(__xludf.DUMMYFUNCTION("GOOGLETRANSLATE(B103,""en"",""de"")"),"Kasse")</f>
        <v>Kasse</v>
      </c>
      <c r="J103" s="4" t="str">
        <f>IFERROR(__xludf.DUMMYFUNCTION("GOOGLETRANSLATE(B103,""en"",""ko"")"),"현금")</f>
        <v>현금</v>
      </c>
      <c r="K103" s="4" t="str">
        <f>IFERROR(__xludf.DUMMYFUNCTION("GOOGLETRANSLATE(B103,""en"",""zh"")"),"现金")</f>
        <v>现金</v>
      </c>
      <c r="L103" s="4" t="str">
        <f>IFERROR(__xludf.DUMMYFUNCTION("GOOGLETRANSLATE(B103,""en"",""es"")"),"Dinero")</f>
        <v>Dinero</v>
      </c>
      <c r="M103" s="4" t="str">
        <f>IFERROR(__xludf.DUMMYFUNCTION("GOOGLETRANSLATE(B103,""en"",""iw"")"),"כסף מזומן")</f>
        <v>כסף מזומן</v>
      </c>
      <c r="N103" s="4" t="str">
        <f>IFERROR(__xludf.DUMMYFUNCTION("GOOGLETRANSLATE(B103,""en"",""bn"")"),"নগদ")</f>
        <v>নগদ</v>
      </c>
      <c r="O103" s="4" t="str">
        <f>IFERROR(__xludf.DUMMYFUNCTION("GOOGLETRANSLATE(B103,""en"",""pt"")"),"Dinheiro")</f>
        <v>Dinheiro</v>
      </c>
      <c r="P103" s="6"/>
    </row>
    <row r="104">
      <c r="A104" s="7" t="s">
        <v>306</v>
      </c>
      <c r="B104" s="14" t="s">
        <v>307</v>
      </c>
      <c r="C104" s="4" t="str">
        <f>IFERROR(__xludf.DUMMYFUNCTION("GOOGLETRANSLATE(B104,""en"",""hi"")"),"विश्वसनीय संपर्क")</f>
        <v>विश्वसनीय संपर्क</v>
      </c>
      <c r="D104" s="6" t="s">
        <v>308</v>
      </c>
      <c r="E104" s="4" t="str">
        <f>IFERROR(__xludf.DUMMYFUNCTION("GOOGLETRANSLATE(B104,""en"",""fr"")"),"Contact de confiance")</f>
        <v>Contact de confiance</v>
      </c>
      <c r="F104" s="4" t="str">
        <f>IFERROR(__xludf.DUMMYFUNCTION("GOOGLETRANSLATE(B104,""en"",""tr"")"),"Güvenilir Kişi")</f>
        <v>Güvenilir Kişi</v>
      </c>
      <c r="G104" s="4" t="str">
        <f>IFERROR(__xludf.DUMMYFUNCTION("GOOGLETRANSLATE(B104,""en"",""ru"")"),"Доверенный контакт")</f>
        <v>Доверенный контакт</v>
      </c>
      <c r="H104" s="4" t="str">
        <f>IFERROR(__xludf.DUMMYFUNCTION("GOOGLETRANSLATE(B104,""en"",""it"")"),"Contatto fidato")</f>
        <v>Contatto fidato</v>
      </c>
      <c r="I104" s="4" t="str">
        <f>IFERROR(__xludf.DUMMYFUNCTION("GOOGLETRANSLATE(B104,""en"",""de"")"),"Vertrauenswürdiger Kontakt")</f>
        <v>Vertrauenswürdiger Kontakt</v>
      </c>
      <c r="J104" s="4" t="str">
        <f>IFERROR(__xludf.DUMMYFUNCTION("GOOGLETRANSLATE(B104,""en"",""ko"")"),"신뢰할 수 있는 연락처")</f>
        <v>신뢰할 수 있는 연락처</v>
      </c>
      <c r="K104" s="4" t="str">
        <f>IFERROR(__xludf.DUMMYFUNCTION("GOOGLETRANSLATE(B104,""en"",""zh"")"),"值得信赖的联系人")</f>
        <v>值得信赖的联系人</v>
      </c>
      <c r="L104" s="4" t="str">
        <f>IFERROR(__xludf.DUMMYFUNCTION("GOOGLETRANSLATE(B104,""en"",""es"")"),"Contacto de confianza")</f>
        <v>Contacto de confianza</v>
      </c>
      <c r="M104" s="4" t="str">
        <f>IFERROR(__xludf.DUMMYFUNCTION("GOOGLETRANSLATE(B104,""en"",""iw"")"),"איש קשר מהימן")</f>
        <v>איש קשר מהימן</v>
      </c>
      <c r="N104" s="4" t="str">
        <f>IFERROR(__xludf.DUMMYFUNCTION("GOOGLETRANSLATE(B104,""en"",""bn"")"),"বিশ্বস্ত যোগাযোগ")</f>
        <v>বিশ্বস্ত যোগাযোগ</v>
      </c>
      <c r="O104" s="4" t="str">
        <f>IFERROR(__xludf.DUMMYFUNCTION("GOOGLETRANSLATE(B104,""en"",""pt"")"),"Contato confiável")</f>
        <v>Contato confiável</v>
      </c>
      <c r="P104" s="6"/>
    </row>
    <row r="105">
      <c r="A105" s="7" t="s">
        <v>309</v>
      </c>
      <c r="B105" s="12" t="s">
        <v>310</v>
      </c>
      <c r="C105" s="4" t="str">
        <f>IFERROR(__xludf.DUMMYFUNCTION("GOOGLETRANSLATE(B105,""en"",""hi"")"),"अपनी यात्रा की स्थिति साझा करें")</f>
        <v>अपनी यात्रा की स्थिति साझा करें</v>
      </c>
      <c r="D105" s="6" t="s">
        <v>311</v>
      </c>
      <c r="E105" s="4" t="str">
        <f>IFERROR(__xludf.DUMMYFUNCTION("GOOGLETRANSLATE(B105,""en"",""fr"")"),"Partagez le statut de votre voyage")</f>
        <v>Partagez le statut de votre voyage</v>
      </c>
      <c r="F105" s="4" t="str">
        <f>IFERROR(__xludf.DUMMYFUNCTION("GOOGLETRANSLATE(B105,""en"",""tr"")"),"Seyahat durumunuzu paylaşın")</f>
        <v>Seyahat durumunuzu paylaşın</v>
      </c>
      <c r="G105" s="4" t="str">
        <f>IFERROR(__xludf.DUMMYFUNCTION("GOOGLETRANSLATE(B105,""en"",""ru"")"),"Поделитесь статусом поездки")</f>
        <v>Поделитесь статусом поездки</v>
      </c>
      <c r="H105" s="4" t="str">
        <f>IFERROR(__xludf.DUMMYFUNCTION("GOOGLETRANSLATE(B105,""en"",""it"")"),"Condividi lo stato del tuo viaggio")</f>
        <v>Condividi lo stato del tuo viaggio</v>
      </c>
      <c r="I105" s="4" t="str">
        <f>IFERROR(__xludf.DUMMYFUNCTION("GOOGLETRANSLATE(B105,""en"",""de"")"),"Teilen Sie Ihren Reisestatus")</f>
        <v>Teilen Sie Ihren Reisestatus</v>
      </c>
      <c r="J105" s="4" t="str">
        <f>IFERROR(__xludf.DUMMYFUNCTION("GOOGLETRANSLATE(B105,""en"",""ko"")"),"여행 상태를 공유하세요")</f>
        <v>여행 상태를 공유하세요</v>
      </c>
      <c r="K105" s="4" t="str">
        <f>IFERROR(__xludf.DUMMYFUNCTION("GOOGLETRANSLATE(B105,""en"",""zh"")"),"分享您的旅行状态")</f>
        <v>分享您的旅行状态</v>
      </c>
      <c r="L105" s="4" t="str">
        <f>IFERROR(__xludf.DUMMYFUNCTION("GOOGLETRANSLATE(B105,""en"",""es"")"),"Comparte el estado de tu viaje")</f>
        <v>Comparte el estado de tu viaje</v>
      </c>
      <c r="M105" s="4" t="str">
        <f>IFERROR(__xludf.DUMMYFUNCTION("GOOGLETRANSLATE(B105,""en"",""iw"")"),"שתף את סטטוס הטיול שלך")</f>
        <v>שתף את סטטוס הטיול שלך</v>
      </c>
      <c r="N105" s="4" t="str">
        <f>IFERROR(__xludf.DUMMYFUNCTION("GOOGLETRANSLATE(B105,""en"",""bn"")"),"আপনার ট্রিপ স্ট্যাটাস শেয়ার করুন")</f>
        <v>আপনার ট্রিপ স্ট্যাটাস শেয়ার করুন</v>
      </c>
      <c r="O105" s="4" t="str">
        <f>IFERROR(__xludf.DUMMYFUNCTION("GOOGLETRANSLATE(B105,""en"",""pt"")"),"Compartilhe o status da sua viagem")</f>
        <v>Compartilhe o status da sua viagem</v>
      </c>
      <c r="P105" s="6"/>
    </row>
    <row r="106">
      <c r="A106" s="15" t="s">
        <v>312</v>
      </c>
      <c r="B106" s="12" t="s">
        <v>313</v>
      </c>
      <c r="C106" s="4" t="str">
        <f>IFERROR(__xludf.DUMMYFUNCTION("GOOGLETRANSLATE(B106,""en"",""hi"")"),"आप किसी भी यात्रा के दौरान एक या अधिक संपर्कों के साथ अपना लाइव स्थान साझा करने में सक्षम होंगे")</f>
        <v>आप किसी भी यात्रा के दौरान एक या अधिक संपर्कों के साथ अपना लाइव स्थान साझा करने में सक्षम होंगे</v>
      </c>
      <c r="D106" s="6" t="s">
        <v>314</v>
      </c>
      <c r="E106" s="4" t="str">
        <f>IFERROR(__xludf.DUMMYFUNCTION("GOOGLETRANSLATE(B106,""en"",""fr"")"),"Vous pourrez partager votre position en direct avec un ou plusieurs contacts lors de n'importe quel voyage")</f>
        <v>Vous pourrez partager votre position en direct avec un ou plusieurs contacts lors de n'importe quel voyage</v>
      </c>
      <c r="F106" s="4" t="str">
        <f>IFERROR(__xludf.DUMMYFUNCTION("GOOGLETRANSLATE(B106,""en"",""tr"")"),"Herhangi bir yolculuk sırasında canlı konumunuzu bir veya daha fazla kişiyle paylaşabileceksiniz")</f>
        <v>Herhangi bir yolculuk sırasında canlı konumunuzu bir veya daha fazla kişiyle paylaşabileceksiniz</v>
      </c>
      <c r="G106" s="4" t="str">
        <f>IFERROR(__xludf.DUMMYFUNCTION("GOOGLETRANSLATE(B106,""en"",""ru"")"),"Вы сможете поделиться своим текущим местоположением с одним или несколькими контактами во время любой поездки.")</f>
        <v>Вы сможете поделиться своим текущим местоположением с одним или несколькими контактами во время любой поездки.</v>
      </c>
      <c r="H106" s="4" t="str">
        <f>IFERROR(__xludf.DUMMYFUNCTION("GOOGLETRANSLATE(B106,""en"",""it"")"),"Potrai condividere la tua posizione in tempo reale con uno o più contatti durante qualsiasi viaggio")</f>
        <v>Potrai condividere la tua posizione in tempo reale con uno o più contatti durante qualsiasi viaggio</v>
      </c>
      <c r="I106" s="4" t="str">
        <f>IFERROR(__xludf.DUMMYFUNCTION("GOOGLETRANSLATE(B106,""en"",""de"")"),"Sie können Ihren Live-Standort während jeder Reise mit einem oder mehreren Kontakten teilen")</f>
        <v>Sie können Ihren Live-Standort während jeder Reise mit einem oder mehreren Kontakten teilen</v>
      </c>
      <c r="J106" s="4" t="str">
        <f>IFERROR(__xludf.DUMMYFUNCTION("GOOGLETRANSLATE(B106,""en"",""ko"")"),"여행 중에 한 명 이상의 연락처와 실시간 위치를 공유할 수 있습니다.")</f>
        <v>여행 중에 한 명 이상의 연락처와 실시간 위치를 공유할 수 있습니다.</v>
      </c>
      <c r="K106" s="4" t="str">
        <f>IFERROR(__xludf.DUMMYFUNCTION("GOOGLETRANSLATE(B106,""en"",""zh"")"),"在任何一次旅行中，您都可以与一位或多位联系人分享您的实时位置")</f>
        <v>在任何一次旅行中，您都可以与一位或多位联系人分享您的实时位置</v>
      </c>
      <c r="L106" s="4" t="str">
        <f>IFERROR(__xludf.DUMMYFUNCTION("GOOGLETRANSLATE(B106,""en"",""es"")"),"Podrás compartir tu ubicación en vivo con uno o más contactos durante cualquier viaje")</f>
        <v>Podrás compartir tu ubicación en vivo con uno o más contactos durante cualquier viaje</v>
      </c>
      <c r="M106" s="4" t="str">
        <f>IFERROR(__xludf.DUMMYFUNCTION("GOOGLETRANSLATE(B106,""en"",""iw"")"),"תוכל לשתף את המיקום החי שלך עם איש קשר אחד או יותר במהלך כל טיול")</f>
        <v>תוכל לשתף את המיקום החי שלך עם איש קשר אחד או יותר במהלך כל טיול</v>
      </c>
      <c r="N106" s="4" t="str">
        <f>IFERROR(__xludf.DUMMYFUNCTION("GOOGLETRANSLATE(B106,""en"",""bn"")"),"আপনি যেকোনো ট্রিপের সময় এক বা একাধিক পরিচিতির সাথে আপনার লাইভ লোকেশন শেয়ার করতে পারবেন")</f>
        <v>আপনি যেকোনো ট্রিপের সময় এক বা একাধিক পরিচিতির সাথে আপনার লাইভ লোকেশন শেয়ার করতে পারবেন</v>
      </c>
      <c r="O106" s="4" t="str">
        <f>IFERROR(__xludf.DUMMYFUNCTION("GOOGLETRANSLATE(B106,""en"",""pt"")"),"Você poderá compartilhar sua localização ao vivo com um ou mais contatos durante qualquer viagem")</f>
        <v>Você poderá compartilhar sua localização ao vivo com um ou mais contatos durante qualquer viagem</v>
      </c>
      <c r="P106" s="6"/>
    </row>
    <row r="107">
      <c r="A107" s="15" t="s">
        <v>315</v>
      </c>
      <c r="B107" s="12" t="s">
        <v>316</v>
      </c>
      <c r="C107" s="4" t="str">
        <f>IFERROR(__xludf.DUMMYFUNCTION("GOOGLETRANSLATE(B107,""en"",""hi"")"),"अपने आपातकालीन संपर्क सेट करें")</f>
        <v>अपने आपातकालीन संपर्क सेट करें</v>
      </c>
      <c r="D107" s="4" t="str">
        <f>IFERROR(__xludf.DUMMYFUNCTION("GOOGLETRANSLATE(B107,""en"",""ar"")"),"ضبط جهات الاتصال الخاصة بك في حالات الطوارئ")</f>
        <v>ضبط جهات الاتصال الخاصة بك في حالات الطوارئ</v>
      </c>
      <c r="E107" s="4" t="str">
        <f>IFERROR(__xludf.DUMMYFUNCTION("GOOGLETRANSLATE(B107,""en"",""fr"")"),"Définissez vos contacts d'urgence")</f>
        <v>Définissez vos contacts d'urgence</v>
      </c>
      <c r="F107" s="4" t="str">
        <f>IFERROR(__xludf.DUMMYFUNCTION("GOOGLETRANSLATE(B107,""en"",""tr"")"),"Acil durumda iletişime geçilecek kişileri ayarlayın")</f>
        <v>Acil durumda iletişime geçilecek kişileri ayarlayın</v>
      </c>
      <c r="G107" s="4" t="str">
        <f>IFERROR(__xludf.DUMMYFUNCTION("GOOGLETRANSLATE(B107,""en"",""ru"")"),"Установите контакты для экстренных случаев")</f>
        <v>Установите контакты для экстренных случаев</v>
      </c>
      <c r="H107" s="4" t="str">
        <f>IFERROR(__xludf.DUMMYFUNCTION("GOOGLETRANSLATE(B107,""en"",""it"")"),"Imposta i tuoi contatti di emergenza")</f>
        <v>Imposta i tuoi contatti di emergenza</v>
      </c>
      <c r="I107" s="4" t="str">
        <f>IFERROR(__xludf.DUMMYFUNCTION("GOOGLETRANSLATE(B107,""en"",""de"")"),"Legen Sie Ihre Notfallkontakte fest")</f>
        <v>Legen Sie Ihre Notfallkontakte fest</v>
      </c>
      <c r="J107" s="4" t="str">
        <f>IFERROR(__xludf.DUMMYFUNCTION("GOOGLETRANSLATE(B107,""en"",""ko"")"),"비상 연락처 설정")</f>
        <v>비상 연락처 설정</v>
      </c>
      <c r="K107" s="4" t="str">
        <f>IFERROR(__xludf.DUMMYFUNCTION("GOOGLETRANSLATE(B107,""en"",""zh"")"),"设置您的紧急联系人")</f>
        <v>设置您的紧急联系人</v>
      </c>
      <c r="L107" s="4" t="str">
        <f>IFERROR(__xludf.DUMMYFUNCTION("GOOGLETRANSLATE(B107,""en"",""es"")"),"Configura tus contactos de emergencia")</f>
        <v>Configura tus contactos de emergencia</v>
      </c>
      <c r="M107" s="4" t="str">
        <f>IFERROR(__xludf.DUMMYFUNCTION("GOOGLETRANSLATE(B107,""en"",""iw"")"),"הגדר את אנשי הקשר שלך לשעת חירום")</f>
        <v>הגדר את אנשי הקשר שלך לשעת חירום</v>
      </c>
      <c r="N107" s="4" t="str">
        <f>IFERROR(__xludf.DUMMYFUNCTION("GOOGLETRANSLATE(B107,""en"",""bn"")"),"আপনার জরুরি পরিচিতি সেট করুন")</f>
        <v>আপনার জরুরি পরিচিতি সেট করুন</v>
      </c>
      <c r="O107" s="4" t="str">
        <f>IFERROR(__xludf.DUMMYFUNCTION("GOOGLETRANSLATE(B107,""en"",""pt"")"),"Defina seus contatos de emergência")</f>
        <v>Defina seus contatos de emergência</v>
      </c>
      <c r="P107" s="6"/>
    </row>
    <row r="108">
      <c r="A108" s="15" t="s">
        <v>317</v>
      </c>
      <c r="B108" s="12" t="s">
        <v>318</v>
      </c>
      <c r="C108" s="4" t="str">
        <f>IFERROR(__xludf.DUMMYFUNCTION("GOOGLETRANSLATE(B108,""en"",""hi"")"),"हम इसके लिए उत्तरदायी संपर्कों का चयन करने का सुझाव देते हैं 
आपातकालीन स्थिति, जैसे कोई स्थानीय अभिभावक या आस-पास का कोई मित्र।")</f>
        <v>हम इसके लिए उत्तरदायी संपर्कों का चयन करने का सुझाव देते हैं 
आपातकालीन स्थिति, जैसे कोई स्थानीय अभिभावक या आस-पास का कोई मित्र।</v>
      </c>
      <c r="D108" s="4" t="str">
        <f>IFERROR(__xludf.DUMMYFUNCTION("GOOGLETRANSLATE(B108,""en"",""ar"")"),"نقترح اختيار جهات اتصال سريعة الاستجابة لـ 
حالات الطوارئ، مثل وصي محلي أو صديق قريب.")</f>
        <v>نقترح اختيار جهات اتصال سريعة الاستجابة لـ 
حالات الطوارئ، مثل وصي محلي أو صديق قريب.</v>
      </c>
      <c r="E108" s="4" t="str">
        <f>IFERROR(__xludf.DUMMYFUNCTION("GOOGLETRANSLATE(B108,""en"",""fr"")"),"Nous vous suggérons de sélectionner des contacts réactifs pour 
en cas d'urgence, comme un tuteur local ou un ami à proximité.")</f>
        <v>Nous vous suggérons de sélectionner des contacts réactifs pour 
en cas d'urgence, comme un tuteur local ou un ami à proximité.</v>
      </c>
      <c r="F108" s="4" t="str">
        <f>IFERROR(__xludf.DUMMYFUNCTION("GOOGLETRANSLATE(B108,""en"",""tr"")"),"için duyarlı kişileri seçmenizi öneririz. 
yerel bir vasi veya yakındaki bir arkadaş gibi acil durumlar.")</f>
        <v>için duyarlı kişileri seçmenizi öneririz. 
yerel bir vasi veya yakındaki bir arkadaş gibi acil durumlar.</v>
      </c>
      <c r="G108" s="4" t="str">
        <f>IFERROR(__xludf.DUMMYFUNCTION("GOOGLETRANSLATE(B108,""en"",""ru"")"),"Мы предлагаем подобрать отзывчивые контакты для 
чрезвычайные ситуации, например, местный опекун или друг поблизости.")</f>
        <v>Мы предлагаем подобрать отзывчивые контакты для 
чрезвычайные ситуации, например, местный опекун или друг поблизости.</v>
      </c>
      <c r="H108" s="4" t="str">
        <f>IFERROR(__xludf.DUMMYFUNCTION("GOOGLETRANSLATE(B108,""en"",""it"")"),"Ti consigliamo di selezionare contatti reattivi per 
emergenze, come un tutore locale o un amico nelle vicinanze.")</f>
        <v>Ti consigliamo di selezionare contatti reattivi per 
emergenze, come un tutore locale o un amico nelle vicinanze.</v>
      </c>
      <c r="I108" s="4" t="str">
        <f>IFERROR(__xludf.DUMMYFUNCTION("GOOGLETRANSLATE(B108,""en"",""de"")"),"Wir empfehlen die Auswahl reaktionsfähiger Kontakte für 
Notfälle, wie ein örtlicher Vormund oder ein Freund in der Nähe.")</f>
        <v>Wir empfehlen die Auswahl reaktionsfähiger Kontakte für 
Notfälle, wie ein örtlicher Vormund oder ein Freund in der Nähe.</v>
      </c>
      <c r="J108" s="4" t="str">
        <f>IFERROR(__xludf.DUMMYFUNCTION("GOOGLETRANSLATE(B108,""en"",""ko"")"),"다음에 대해 반응형 연락처를 선택하는 것이 좋습니다. 
지역 보호자나 근처의 친구와 같은 긴급 상황.")</f>
        <v>다음에 대해 반응형 연락처를 선택하는 것이 좋습니다. 
지역 보호자나 근처의 친구와 같은 긴급 상황.</v>
      </c>
      <c r="K108" s="4" t="str">
        <f>IFERROR(__xludf.DUMMYFUNCTION("GOOGLETRANSLATE(B108,""en"",""zh"")"),"我们建议选择响应式联系人 
紧急情况，例如当地监护人或附近的朋友。")</f>
        <v>我们建议选择响应式联系人 
紧急情况，例如当地监护人或附近的朋友。</v>
      </c>
      <c r="L108" s="4" t="str">
        <f>IFERROR(__xludf.DUMMYFUNCTION("GOOGLETRANSLATE(B108,""en"",""es"")"),"Sugerimos seleccionar contactos responsivos para 
emergencias, como un tutor local o un amigo cercano.")</f>
        <v>Sugerimos seleccionar contactos responsivos para 
emergencias, como un tutor local o un amigo cercano.</v>
      </c>
      <c r="M108" s="4" t="str">
        <f>IFERROR(__xludf.DUMMYFUNCTION("GOOGLETRANSLATE(B108,""en"",""iw"")"),"אנו מציעים לבחור אנשי קשר מגיבים עבור 
מצבי חירום, כמו אפוטרופוס מקומי או חבר בקרבת מקום.")</f>
        <v>אנו מציעים לבחור אנשי קשר מגיבים עבור 
מצבי חירום, כמו אפוטרופוס מקומי או חבר בקרבת מקום.</v>
      </c>
      <c r="N108" s="4" t="str">
        <f>IFERROR(__xludf.DUMMYFUNCTION("GOOGLETRANSLATE(B108,""en"",""bn"")"),"আমরা এর জন্য প্রতিক্রিয়াশীল পরিচিতি নির্বাচন করার পরামর্শ দিই 
জরুরী অবস্থা, যেমন স্থানীয় অভিভাবক বা কাছাকাছি বন্ধু।")</f>
        <v>আমরা এর জন্য প্রতিক্রিয়াশীল পরিচিতি নির্বাচন করার পরামর্শ দিই 
জরুরী অবস্থা, যেমন স্থানীয় অভিভাবক বা কাছাকাছি বন্ধু।</v>
      </c>
      <c r="O108" s="4" t="str">
        <f>IFERROR(__xludf.DUMMYFUNCTION("GOOGLETRANSLATE(B108,""en"",""pt"")"),"Sugerimos selecionar contatos responsivos para 
emergências, como um guardião local ou um amigo próximo.")</f>
        <v>Sugerimos selecionar contatos responsivos para 
emergências, como um guardião local ou um amigo próximo.</v>
      </c>
      <c r="P108" s="6"/>
    </row>
    <row r="109">
      <c r="A109" s="7" t="s">
        <v>319</v>
      </c>
      <c r="B109" s="12" t="s">
        <v>320</v>
      </c>
      <c r="C109" s="4" t="str">
        <f>IFERROR(__xludf.DUMMYFUNCTION("GOOGLETRANSLATE(B109,""en"",""hi"")"),"जानकारी साझा करें और स्वचालित कॉल प्रारंभ करें
आपातकालीन संपर्कों के साथ.")</f>
        <v>जानकारी साझा करें और स्वचालित कॉल प्रारंभ करें
आपातकालीन संपर्कों के साथ.</v>
      </c>
      <c r="D109" s="4" t="str">
        <f>IFERROR(__xludf.DUMMYFUNCTION("GOOGLETRANSLATE(B109,""en"",""ar"")"),"مشاركة المعلومات وبدء المكالمات التلقائية
مع اتصالات الطوارئ.")</f>
        <v>مشاركة المعلومات وبدء المكالمات التلقائية
مع اتصالات الطوارئ.</v>
      </c>
      <c r="E109" s="4" t="str">
        <f>IFERROR(__xludf.DUMMYFUNCTION("GOOGLETRANSLATE(B109,""en"",""fr"")"),"Partagez des informations et lancez des appels automatiques
avec les contacts d'urgence.")</f>
        <v>Partagez des informations et lancez des appels automatiques
avec les contacts d'urgence.</v>
      </c>
      <c r="F109" s="4" t="str">
        <f>IFERROR(__xludf.DUMMYFUNCTION("GOOGLETRANSLATE(B109,""en"",""tr"")"),"Bilgileri paylaşın ve otomatik aramaları başlatın
acil durum kişileri ile.")</f>
        <v>Bilgileri paylaşın ve otomatik aramaları başlatın
acil durum kişileri ile.</v>
      </c>
      <c r="G109" s="4" t="str">
        <f>IFERROR(__xludf.DUMMYFUNCTION("GOOGLETRANSLATE(B109,""en"",""ru"")"),"Делитесь информацией и инициируйте автоматические звонки
с аварийными контактами.")</f>
        <v>Делитесь информацией и инициируйте автоматические звонки
с аварийными контактами.</v>
      </c>
      <c r="H109" s="4" t="str">
        <f>IFERROR(__xludf.DUMMYFUNCTION("GOOGLETRANSLATE(B109,""en"",""it"")"),"Condividi informazioni e avvia chiamate automatiche
con contatti di emergenza.")</f>
        <v>Condividi informazioni e avvia chiamate automatiche
con contatti di emergenza.</v>
      </c>
      <c r="I109" s="4" t="str">
        <f>IFERROR(__xludf.DUMMYFUNCTION("GOOGLETRANSLATE(B109,""en"",""de"")"),"Teilen Sie Informationen und initiieren Sie automatische Anrufe
mit Notfallkontakten.")</f>
        <v>Teilen Sie Informationen und initiieren Sie automatische Anrufe
mit Notfallkontakten.</v>
      </c>
      <c r="J109" s="4" t="str">
        <f>IFERROR(__xludf.DUMMYFUNCTION("GOOGLETRANSLATE(B109,""en"",""ko"")"),"정보 공유 및 자동 통화 시작
비상 연락처와 함께.")</f>
        <v>정보 공유 및 자동 통화 시작
비상 연락처와 함께.</v>
      </c>
      <c r="K109" s="4" t="str">
        <f>IFERROR(__xludf.DUMMYFUNCTION("GOOGLETRANSLATE(B109,""en"",""zh"")"),"共享信息并发起自动呼叫
与紧急联系人。")</f>
        <v>共享信息并发起自动呼叫
与紧急联系人。</v>
      </c>
      <c r="L109" s="4" t="str">
        <f>IFERROR(__xludf.DUMMYFUNCTION("GOOGLETRANSLATE(B109,""en"",""es"")"),"Comparte información e inicia llamadas automáticas.
con contactos de emergencia.")</f>
        <v>Comparte información e inicia llamadas automáticas.
con contactos de emergencia.</v>
      </c>
      <c r="M109" s="4" t="str">
        <f>IFERROR(__xludf.DUMMYFUNCTION("GOOGLETRANSLATE(B109,""en"",""iw"")"),"שתף מידע והתחל שיחות אוטומטיות
עם אנשי קשר לשעת חירום.")</f>
        <v>שתף מידע והתחל שיחות אוטומטיות
עם אנשי קשר לשעת חירום.</v>
      </c>
      <c r="N109" s="4" t="str">
        <f>IFERROR(__xludf.DUMMYFUNCTION("GOOGLETRANSLATE(B109,""en"",""bn"")"),"তথ্য শেয়ার করুন এবং স্বয়ংক্রিয় কল শুরু করুন
জরুরী যোগাযোগের সাথে।")</f>
        <v>তথ্য শেয়ার করুন এবং স্বয়ংক্রিয় কল শুরু করুন
জরুরী যোগাযোগের সাথে।</v>
      </c>
      <c r="O109" s="4" t="str">
        <f>IFERROR(__xludf.DUMMYFUNCTION("GOOGLETRANSLATE(B109,""en"",""pt"")"),"Compartilhe informações e inicie chamadas automáticas
com contatos de emergência.")</f>
        <v>Compartilhe informações e inicie chamadas automáticas
com contatos de emergência.</v>
      </c>
      <c r="P109" s="4"/>
    </row>
    <row r="110">
      <c r="A110" s="7" t="s">
        <v>321</v>
      </c>
      <c r="B110" s="3" t="s">
        <v>322</v>
      </c>
      <c r="C110" s="4" t="str">
        <f>IFERROR(__xludf.DUMMYFUNCTION("GOOGLETRANSLATE(B110,""en"",""hi"")"),"जमा करना")</f>
        <v>जमा करना</v>
      </c>
      <c r="D110" s="6" t="s">
        <v>323</v>
      </c>
      <c r="E110" s="4" t="str">
        <f>IFERROR(__xludf.DUMMYFUNCTION("GOOGLETRANSLATE(B110,""en"",""fr"")"),"Soumettre")</f>
        <v>Soumettre</v>
      </c>
      <c r="F110" s="4" t="str">
        <f>IFERROR(__xludf.DUMMYFUNCTION("GOOGLETRANSLATE(B110,""en"",""tr"")"),"Göndermek")</f>
        <v>Göndermek</v>
      </c>
      <c r="G110" s="4" t="str">
        <f>IFERROR(__xludf.DUMMYFUNCTION("GOOGLETRANSLATE(B110,""en"",""ru"")"),"Представлять на рассмотрение")</f>
        <v>Представлять на рассмотрение</v>
      </c>
      <c r="H110" s="4" t="str">
        <f>IFERROR(__xludf.DUMMYFUNCTION("GOOGLETRANSLATE(B110,""en"",""it"")"),"Invia")</f>
        <v>Invia</v>
      </c>
      <c r="I110" s="4" t="str">
        <f>IFERROR(__xludf.DUMMYFUNCTION("GOOGLETRANSLATE(B110,""en"",""de"")"),"Einreichen")</f>
        <v>Einreichen</v>
      </c>
      <c r="J110" s="4" t="str">
        <f>IFERROR(__xludf.DUMMYFUNCTION("GOOGLETRANSLATE(B110,""en"",""ko"")"),"제출하다")</f>
        <v>제출하다</v>
      </c>
      <c r="K110" s="4" t="str">
        <f>IFERROR(__xludf.DUMMYFUNCTION("GOOGLETRANSLATE(B110,""en"",""zh"")"),"提交")</f>
        <v>提交</v>
      </c>
      <c r="L110" s="4" t="str">
        <f>IFERROR(__xludf.DUMMYFUNCTION("GOOGLETRANSLATE(B110,""en"",""es"")"),"Entregar")</f>
        <v>Entregar</v>
      </c>
      <c r="M110" s="4" t="str">
        <f>IFERROR(__xludf.DUMMYFUNCTION("GOOGLETRANSLATE(B110,""en"",""iw"")"),"שלח")</f>
        <v>שלח</v>
      </c>
      <c r="N110" s="4" t="str">
        <f>IFERROR(__xludf.DUMMYFUNCTION("GOOGLETRANSLATE(B110,""en"",""bn"")"),"জমা দিন")</f>
        <v>জমা দিন</v>
      </c>
      <c r="O110" s="4" t="str">
        <f>IFERROR(__xludf.DUMMYFUNCTION("GOOGLETRANSLATE(B110,""en"",""pt"")"),"Enviar")</f>
        <v>Enviar</v>
      </c>
      <c r="P110" s="4"/>
    </row>
    <row r="111">
      <c r="A111" s="7" t="s">
        <v>324</v>
      </c>
      <c r="B111" s="9" t="s">
        <v>325</v>
      </c>
      <c r="C111" s="4" t="str">
        <f>IFERROR(__xludf.DUMMYFUNCTION("GOOGLETRANSLATE(B111,""en"",""hi"")"),"अपनी प्रतिक्रिया दें")</f>
        <v>अपनी प्रतिक्रिया दें</v>
      </c>
      <c r="D111" s="6" t="s">
        <v>326</v>
      </c>
      <c r="E111" s="4" t="str">
        <f>IFERROR(__xludf.DUMMYFUNCTION("GOOGLETRANSLATE(B111,""en"",""fr"")"),"Donnez votre avis")</f>
        <v>Donnez votre avis</v>
      </c>
      <c r="F111" s="4" t="str">
        <f>IFERROR(__xludf.DUMMYFUNCTION("GOOGLETRANSLATE(B111,""en"",""tr"")"),"Geri Bildiriminizi Verin")</f>
        <v>Geri Bildiriminizi Verin</v>
      </c>
      <c r="G111" s="4" t="str">
        <f>IFERROR(__xludf.DUMMYFUNCTION("GOOGLETRANSLATE(B111,""en"",""ru"")"),"Оставьте свой отзыв")</f>
        <v>Оставьте свой отзыв</v>
      </c>
      <c r="H111" s="4" t="str">
        <f>IFERROR(__xludf.DUMMYFUNCTION("GOOGLETRANSLATE(B111,""en"",""it"")"),"Dai il tuo feedback")</f>
        <v>Dai il tuo feedback</v>
      </c>
      <c r="I111" s="4" t="str">
        <f>IFERROR(__xludf.DUMMYFUNCTION("GOOGLETRANSLATE(B111,""en"",""de"")"),"Geben Sie Ihr Feedback")</f>
        <v>Geben Sie Ihr Feedback</v>
      </c>
      <c r="J111" s="4" t="str">
        <f>IFERROR(__xludf.DUMMYFUNCTION("GOOGLETRANSLATE(B111,""en"",""ko"")"),"피드백을 주세요")</f>
        <v>피드백을 주세요</v>
      </c>
      <c r="K111" s="4" t="str">
        <f>IFERROR(__xludf.DUMMYFUNCTION("GOOGLETRANSLATE(B111,""en"",""zh"")"),"提供您的反馈")</f>
        <v>提供您的反馈</v>
      </c>
      <c r="L111" s="4" t="str">
        <f>IFERROR(__xludf.DUMMYFUNCTION("GOOGLETRANSLATE(B111,""en"",""es"")"),"Da tu opinión")</f>
        <v>Da tu opinión</v>
      </c>
      <c r="M111" s="4" t="str">
        <f>IFERROR(__xludf.DUMMYFUNCTION("GOOGLETRANSLATE(B111,""en"",""iw"")"),"תן את המשוב שלך")</f>
        <v>תן את המשוב שלך</v>
      </c>
      <c r="N111" s="4" t="str">
        <f>IFERROR(__xludf.DUMMYFUNCTION("GOOGLETRANSLATE(B111,""en"",""bn"")"),"আপনার মতামত দিন")</f>
        <v>আপনার মতামত দিন</v>
      </c>
      <c r="O111" s="4" t="str">
        <f>IFERROR(__xludf.DUMMYFUNCTION("GOOGLETRANSLATE(B111,""en"",""pt"")"),"Dê seu feedback")</f>
        <v>Dê seu feedback</v>
      </c>
      <c r="P111" s="4"/>
    </row>
    <row r="112">
      <c r="A112" s="7" t="s">
        <v>327</v>
      </c>
      <c r="B112" s="3" t="s">
        <v>328</v>
      </c>
      <c r="C112" s="4" t="str">
        <f>IFERROR(__xludf.DUMMYFUNCTION("GOOGLETRANSLATE(B112,""en"",""hi"")"),"परिक्षण")</f>
        <v>परिक्षण</v>
      </c>
      <c r="D112" s="6" t="s">
        <v>329</v>
      </c>
      <c r="E112" s="4" t="str">
        <f>IFERROR(__xludf.DUMMYFUNCTION("GOOGLETRANSLATE(B112,""en"",""fr"")"),"Essai")</f>
        <v>Essai</v>
      </c>
      <c r="F112" s="4" t="str">
        <f>IFERROR(__xludf.DUMMYFUNCTION("GOOGLETRANSLATE(B112,""en"",""tr"")"),"Test yapmak")</f>
        <v>Test yapmak</v>
      </c>
      <c r="G112" s="4" t="str">
        <f>IFERROR(__xludf.DUMMYFUNCTION("GOOGLETRANSLATE(B112,""en"",""ru"")"),"Тестирование")</f>
        <v>Тестирование</v>
      </c>
      <c r="H112" s="4" t="str">
        <f>IFERROR(__xludf.DUMMYFUNCTION("GOOGLETRANSLATE(B112,""en"",""it"")"),"Test")</f>
        <v>Test</v>
      </c>
      <c r="I112" s="4" t="str">
        <f>IFERROR(__xludf.DUMMYFUNCTION("GOOGLETRANSLATE(B112,""en"",""de"")"),"Testen")</f>
        <v>Testen</v>
      </c>
      <c r="J112" s="4" t="str">
        <f>IFERROR(__xludf.DUMMYFUNCTION("GOOGLETRANSLATE(B112,""en"",""ko"")"),"테스트")</f>
        <v>테스트</v>
      </c>
      <c r="K112" s="4" t="str">
        <f>IFERROR(__xludf.DUMMYFUNCTION("GOOGLETRANSLATE(B112,""en"",""zh"")"),"测试")</f>
        <v>测试</v>
      </c>
      <c r="L112" s="4" t="str">
        <f>IFERROR(__xludf.DUMMYFUNCTION("GOOGLETRANSLATE(B112,""en"",""es"")"),"Pruebas")</f>
        <v>Pruebas</v>
      </c>
      <c r="M112" s="4" t="str">
        <f>IFERROR(__xludf.DUMMYFUNCTION("GOOGLETRANSLATE(B112,""en"",""iw"")"),"בדיקה")</f>
        <v>בדיקה</v>
      </c>
      <c r="N112" s="4" t="str">
        <f>IFERROR(__xludf.DUMMYFUNCTION("GOOGLETRANSLATE(B112,""en"",""bn"")"),"পরীক্ষামূলক")</f>
        <v>পরীক্ষামূলক</v>
      </c>
      <c r="O112" s="4" t="str">
        <f>IFERROR(__xludf.DUMMYFUNCTION("GOOGLETRANSLATE(B112,""en"",""pt"")"),"Teste")</f>
        <v>Teste</v>
      </c>
      <c r="P112" s="6"/>
    </row>
    <row r="113">
      <c r="A113" s="7" t="s">
        <v>330</v>
      </c>
      <c r="B113" s="3" t="s">
        <v>331</v>
      </c>
      <c r="C113" s="4" t="str">
        <f>IFERROR(__xludf.DUMMYFUNCTION("GOOGLETRANSLATE(B113,""en"",""hi"")"),"कारण रद्द करें")</f>
        <v>कारण रद्द करें</v>
      </c>
      <c r="D113" s="6" t="s">
        <v>332</v>
      </c>
      <c r="E113" s="4" t="str">
        <f>IFERROR(__xludf.DUMMYFUNCTION("GOOGLETRANSLATE(B113,""en"",""fr"")"),"Raison de l'annulation")</f>
        <v>Raison de l'annulation</v>
      </c>
      <c r="F113" s="4" t="str">
        <f>IFERROR(__xludf.DUMMYFUNCTION("GOOGLETRANSLATE(B113,""en"",""tr"")"),"İptal Nedeni")</f>
        <v>İptal Nedeni</v>
      </c>
      <c r="G113" s="4" t="str">
        <f>IFERROR(__xludf.DUMMYFUNCTION("GOOGLETRANSLATE(B113,""en"",""ru"")"),"Причина отмены")</f>
        <v>Причина отмены</v>
      </c>
      <c r="H113" s="4" t="str">
        <f>IFERROR(__xludf.DUMMYFUNCTION("GOOGLETRANSLATE(B113,""en"",""it"")"),"Annulla motivo")</f>
        <v>Annulla motivo</v>
      </c>
      <c r="I113" s="4" t="str">
        <f>IFERROR(__xludf.DUMMYFUNCTION("GOOGLETRANSLATE(B113,""en"",""de"")"),"Abbruchgrund")</f>
        <v>Abbruchgrund</v>
      </c>
      <c r="J113" s="4" t="str">
        <f>IFERROR(__xludf.DUMMYFUNCTION("GOOGLETRANSLATE(B113,""en"",""ko"")"),"취소 사유")</f>
        <v>취소 사유</v>
      </c>
      <c r="K113" s="4" t="str">
        <f>IFERROR(__xludf.DUMMYFUNCTION("GOOGLETRANSLATE(B113,""en"",""zh"")"),"取消原因")</f>
        <v>取消原因</v>
      </c>
      <c r="L113" s="4" t="str">
        <f>IFERROR(__xludf.DUMMYFUNCTION("GOOGLETRANSLATE(B113,""en"",""es"")"),"Cancelar motivo")</f>
        <v>Cancelar motivo</v>
      </c>
      <c r="M113" s="4" t="str">
        <f>IFERROR(__xludf.DUMMYFUNCTION("GOOGLETRANSLATE(B113,""en"",""iw"")"),"בטל סיבה")</f>
        <v>בטל סיבה</v>
      </c>
      <c r="N113" s="4" t="str">
        <f>IFERROR(__xludf.DUMMYFUNCTION("GOOGLETRANSLATE(B113,""en"",""bn"")"),"কারণ বাতিল করুন")</f>
        <v>কারণ বাতিল করুন</v>
      </c>
      <c r="O113" s="4" t="str">
        <f>IFERROR(__xludf.DUMMYFUNCTION("GOOGLETRANSLATE(B113,""en"",""pt"")"),"Motivo do cancelamento")</f>
        <v>Motivo do cancelamento</v>
      </c>
      <c r="P113" s="6"/>
    </row>
    <row r="114">
      <c r="A114" s="7" t="s">
        <v>333</v>
      </c>
      <c r="B114" s="3" t="s">
        <v>334</v>
      </c>
      <c r="C114" s="4" t="str">
        <f>IFERROR(__xludf.DUMMYFUNCTION("GOOGLETRANSLATE(B114,""en"",""hi"")"),"अनुरोध को रद्द करें")</f>
        <v>अनुरोध को रद्द करें</v>
      </c>
      <c r="D114" s="6" t="s">
        <v>335</v>
      </c>
      <c r="E114" s="4" t="str">
        <f>IFERROR(__xludf.DUMMYFUNCTION("GOOGLETRANSLATE(B114,""en"",""fr"")"),"Demande d'annulation")</f>
        <v>Demande d'annulation</v>
      </c>
      <c r="F114" s="4" t="str">
        <f>IFERROR(__xludf.DUMMYFUNCTION("GOOGLETRANSLATE(B114,""en"",""tr"")"),"İsteği iptal et")</f>
        <v>İsteği iptal et</v>
      </c>
      <c r="G114" s="4" t="str">
        <f>IFERROR(__xludf.DUMMYFUNCTION("GOOGLETRANSLATE(B114,""en"",""ru"")"),"Отменить запрос")</f>
        <v>Отменить запрос</v>
      </c>
      <c r="H114" s="4" t="str">
        <f>IFERROR(__xludf.DUMMYFUNCTION("GOOGLETRANSLATE(B114,""en"",""it"")"),"Richiesta cancellata")</f>
        <v>Richiesta cancellata</v>
      </c>
      <c r="I114" s="4" t="str">
        <f>IFERROR(__xludf.DUMMYFUNCTION("GOOGLETRANSLATE(B114,""en"",""de"")"),"Anfrage abbrechen")</f>
        <v>Anfrage abbrechen</v>
      </c>
      <c r="J114" s="4" t="str">
        <f>IFERROR(__xludf.DUMMYFUNCTION("GOOGLETRANSLATE(B114,""en"",""ko"")"),"요청 취소")</f>
        <v>요청 취소</v>
      </c>
      <c r="K114" s="4" t="str">
        <f>IFERROR(__xludf.DUMMYFUNCTION("GOOGLETRANSLATE(B114,""en"",""zh"")"),"取消请求")</f>
        <v>取消请求</v>
      </c>
      <c r="L114" s="4" t="str">
        <f>IFERROR(__xludf.DUMMYFUNCTION("GOOGLETRANSLATE(B114,""en"",""es"")"),"Cancelar petición")</f>
        <v>Cancelar petición</v>
      </c>
      <c r="M114" s="4" t="str">
        <f>IFERROR(__xludf.DUMMYFUNCTION("GOOGLETRANSLATE(B114,""en"",""iw"")"),"בטל בקשה")</f>
        <v>בטל בקשה</v>
      </c>
      <c r="N114" s="4" t="str">
        <f>IFERROR(__xludf.DUMMYFUNCTION("GOOGLETRANSLATE(B114,""en"",""bn"")"),"অনুরোধ বাতিল")</f>
        <v>অনুরোধ বাতিল</v>
      </c>
      <c r="O114" s="4" t="str">
        <f>IFERROR(__xludf.DUMMYFUNCTION("GOOGLETRANSLATE(B114,""en"",""pt"")"),"Cancelar pedido")</f>
        <v>Cancelar pedido</v>
      </c>
      <c r="P114" s="6"/>
    </row>
    <row r="115">
      <c r="A115" s="7" t="s">
        <v>336</v>
      </c>
      <c r="B115" s="3" t="s">
        <v>337</v>
      </c>
      <c r="C115" s="4" t="str">
        <f>IFERROR(__xludf.DUMMYFUNCTION("GOOGLETRANSLATE(B115,""en"",""hi"")"),"रद्द करने का कारण दर्ज करें")</f>
        <v>रद्द करने का कारण दर्ज करें</v>
      </c>
      <c r="D115" s="6" t="s">
        <v>338</v>
      </c>
      <c r="E115" s="4" t="str">
        <f>IFERROR(__xludf.DUMMYFUNCTION("GOOGLETRANSLATE(B115,""en"",""fr"")"),"Entrez le motif de l'annulation")</f>
        <v>Entrez le motif de l'annulation</v>
      </c>
      <c r="F115" s="4" t="str">
        <f>IFERROR(__xludf.DUMMYFUNCTION("GOOGLETRANSLATE(B115,""en"",""tr"")"),"İptal Nedenini Girin")</f>
        <v>İptal Nedenini Girin</v>
      </c>
      <c r="G115" s="4" t="str">
        <f>IFERROR(__xludf.DUMMYFUNCTION("GOOGLETRANSLATE(B115,""en"",""ru"")"),"Введите причину отмены")</f>
        <v>Введите причину отмены</v>
      </c>
      <c r="H115" s="4" t="str">
        <f>IFERROR(__xludf.DUMMYFUNCTION("GOOGLETRANSLATE(B115,""en"",""it"")"),"Inserisci il motivo dell'annullamento")</f>
        <v>Inserisci il motivo dell'annullamento</v>
      </c>
      <c r="I115" s="4" t="str">
        <f>IFERROR(__xludf.DUMMYFUNCTION("GOOGLETRANSLATE(B115,""en"",""de"")"),"Geben Sie den Grund für die Stornierung ein")</f>
        <v>Geben Sie den Grund für die Stornierung ein</v>
      </c>
      <c r="J115" s="4" t="str">
        <f>IFERROR(__xludf.DUMMYFUNCTION("GOOGLETRANSLATE(B115,""en"",""ko"")"),"취소 사유 입력")</f>
        <v>취소 사유 입력</v>
      </c>
      <c r="K115" s="4" t="str">
        <f>IFERROR(__xludf.DUMMYFUNCTION("GOOGLETRANSLATE(B115,""en"",""zh"")"),"输入取消原因")</f>
        <v>输入取消原因</v>
      </c>
      <c r="L115" s="4" t="str">
        <f>IFERROR(__xludf.DUMMYFUNCTION("GOOGLETRANSLATE(B115,""en"",""es"")"),"Ingrese el motivo de la cancelación")</f>
        <v>Ingrese el motivo de la cancelación</v>
      </c>
      <c r="M115" s="4" t="str">
        <f>IFERROR(__xludf.DUMMYFUNCTION("GOOGLETRANSLATE(B115,""en"",""iw"")"),"הזן סיבת ביטול")</f>
        <v>הזן סיבת ביטול</v>
      </c>
      <c r="N115" s="4" t="str">
        <f>IFERROR(__xludf.DUMMYFUNCTION("GOOGLETRANSLATE(B115,""en"",""bn"")"),"বাতিলের কারণ লিখুন")</f>
        <v>বাতিলের কারণ লিখুন</v>
      </c>
      <c r="O115" s="4" t="str">
        <f>IFERROR(__xludf.DUMMYFUNCTION("GOOGLETRANSLATE(B115,""en"",""pt"")"),"Insira o motivo do cancelamento")</f>
        <v>Insira o motivo do cancelamento</v>
      </c>
      <c r="P115" s="6"/>
    </row>
    <row r="116">
      <c r="A116" s="7" t="s">
        <v>339</v>
      </c>
      <c r="B116" s="8" t="s">
        <v>340</v>
      </c>
      <c r="C116" s="4" t="str">
        <f>IFERROR(__xludf.DUMMYFUNCTION("GOOGLETRANSLATE(B116,""en"",""hi"")"),"ड्रॉप स्थान चुनें")</f>
        <v>ड्रॉप स्थान चुनें</v>
      </c>
      <c r="D116" s="6" t="s">
        <v>341</v>
      </c>
      <c r="E116" s="4" t="str">
        <f>IFERROR(__xludf.DUMMYFUNCTION("GOOGLETRANSLATE(B116,""en"",""fr"")"),"Choisissez l'emplacement de dépôt")</f>
        <v>Choisissez l'emplacement de dépôt</v>
      </c>
      <c r="F116" s="4" t="str">
        <f>IFERROR(__xludf.DUMMYFUNCTION("GOOGLETRANSLATE(B116,""en"",""tr"")"),"Bırakma Konumunu Seçin")</f>
        <v>Bırakma Konumunu Seçin</v>
      </c>
      <c r="G116" s="4" t="str">
        <f>IFERROR(__xludf.DUMMYFUNCTION("GOOGLETRANSLATE(B116,""en"",""ru"")"),"Выберите место сброса")</f>
        <v>Выберите место сброса</v>
      </c>
      <c r="H116" s="4" t="str">
        <f>IFERROR(__xludf.DUMMYFUNCTION("GOOGLETRANSLATE(B116,""en"",""it"")"),"Scegli la posizione di rilascio")</f>
        <v>Scegli la posizione di rilascio</v>
      </c>
      <c r="I116" s="4" t="str">
        <f>IFERROR(__xludf.DUMMYFUNCTION("GOOGLETRANSLATE(B116,""en"",""de"")"),"Wählen Sie Ablageort")</f>
        <v>Wählen Sie Ablageort</v>
      </c>
      <c r="J116" s="4" t="str">
        <f>IFERROR(__xludf.DUMMYFUNCTION("GOOGLETRANSLATE(B116,""en"",""ko"")"),"드롭 위치 선택")</f>
        <v>드롭 위치 선택</v>
      </c>
      <c r="K116" s="4" t="str">
        <f>IFERROR(__xludf.DUMMYFUNCTION("GOOGLETRANSLATE(B116,""en"",""zh"")"),"选择投放地点")</f>
        <v>选择投放地点</v>
      </c>
      <c r="L116" s="4" t="str">
        <f>IFERROR(__xludf.DUMMYFUNCTION("GOOGLETRANSLATE(B116,""en"",""es"")"),"Elija la ubicación de entrega")</f>
        <v>Elija la ubicación de entrega</v>
      </c>
      <c r="M116" s="4" t="str">
        <f>IFERROR(__xludf.DUMMYFUNCTION("GOOGLETRANSLATE(B116,""en"",""iw"")"),"בחר מיקום שחרור")</f>
        <v>בחר מיקום שחרור</v>
      </c>
      <c r="N116" s="4" t="str">
        <f>IFERROR(__xludf.DUMMYFUNCTION("GOOGLETRANSLATE(B116,""en"",""bn"")"),"ড্রপ অবস্থান নির্বাচন করুন")</f>
        <v>ড্রপ অবস্থান নির্বাচন করুন</v>
      </c>
      <c r="O116" s="4" t="str">
        <f>IFERROR(__xludf.DUMMYFUNCTION("GOOGLETRANSLATE(B116,""en"",""pt"")"),"Escolha o local de entrega")</f>
        <v>Escolha o local de entrega</v>
      </c>
      <c r="P116" s="6"/>
    </row>
    <row r="117">
      <c r="A117" s="7" t="s">
        <v>342</v>
      </c>
      <c r="B117" s="3" t="s">
        <v>343</v>
      </c>
      <c r="C117" s="4" t="str">
        <f>IFERROR(__xludf.DUMMYFUNCTION("GOOGLETRANSLATE(B117,""en"",""hi"")"),"स्थान चुनें चुनें")</f>
        <v>स्थान चुनें चुनें</v>
      </c>
      <c r="D117" s="6" t="s">
        <v>344</v>
      </c>
      <c r="E117" s="4" t="str">
        <f>IFERROR(__xludf.DUMMYFUNCTION("GOOGLETRANSLATE(B117,""en"",""fr"")"),"Choisissez un emplacement de choix")</f>
        <v>Choisissez un emplacement de choix</v>
      </c>
      <c r="F117" s="4" t="str">
        <f>IFERROR(__xludf.DUMMYFUNCTION("GOOGLETRANSLATE(B117,""en"",""tr"")"),"Konum Seçin")</f>
        <v>Konum Seçin</v>
      </c>
      <c r="G117" s="4" t="str">
        <f>IFERROR(__xludf.DUMMYFUNCTION("GOOGLETRANSLATE(B117,""en"",""ru"")"),"Выберите место выбора")</f>
        <v>Выберите место выбора</v>
      </c>
      <c r="H117" s="4" t="str">
        <f>IFERROR(__xludf.DUMMYFUNCTION("GOOGLETRANSLATE(B117,""en"",""it"")"),"Scegli Scegli posizione")</f>
        <v>Scegli Scegli posizione</v>
      </c>
      <c r="I117" s="4" t="str">
        <f>IFERROR(__xludf.DUMMYFUNCTION("GOOGLETRANSLATE(B117,""en"",""de"")"),"Wählen Sie Standort auswählen")</f>
        <v>Wählen Sie Standort auswählen</v>
      </c>
      <c r="J117" s="4" t="str">
        <f>IFERROR(__xludf.DUMMYFUNCTION("GOOGLETRANSLATE(B117,""en"",""ko"")"),"선택 위치를 선택하세요")</f>
        <v>선택 위치를 선택하세요</v>
      </c>
      <c r="K117" s="4" t="str">
        <f>IFERROR(__xludf.DUMMYFUNCTION("GOOGLETRANSLATE(B117,""en"",""zh"")"),"选择挑选地点")</f>
        <v>选择挑选地点</v>
      </c>
      <c r="L117" s="4" t="str">
        <f>IFERROR(__xludf.DUMMYFUNCTION("GOOGLETRANSLATE(B117,""en"",""es"")"),"Elija elegir ubicación")</f>
        <v>Elija elegir ubicación</v>
      </c>
      <c r="M117" s="4" t="str">
        <f>IFERROR(__xludf.DUMMYFUNCTION("GOOGLETRANSLATE(B117,""en"",""iw"")"),"בחר בחר מיקום")</f>
        <v>בחר בחר מיקום</v>
      </c>
      <c r="N117" s="4" t="str">
        <f>IFERROR(__xludf.DUMMYFUNCTION("GOOGLETRANSLATE(B117,""en"",""bn"")"),"অবস্থান চয়ন করুন")</f>
        <v>অবস্থান চয়ন করুন</v>
      </c>
      <c r="O117" s="4" t="str">
        <f>IFERROR(__xludf.DUMMYFUNCTION("GOOGLETRANSLATE(B117,""en"",""pt"")"),"Escolha Escolher Local")</f>
        <v>Escolha Escolher Local</v>
      </c>
      <c r="P117" s="6"/>
    </row>
    <row r="118">
      <c r="A118" s="7" t="s">
        <v>345</v>
      </c>
      <c r="B118" s="3" t="s">
        <v>346</v>
      </c>
      <c r="C118" s="4" t="str">
        <f>IFERROR(__xludf.DUMMYFUNCTION("GOOGLETRANSLATE(B118,""en"",""hi"")"),"पसंदीदा पता")</f>
        <v>पसंदीदा पता</v>
      </c>
      <c r="D118" s="6" t="s">
        <v>347</v>
      </c>
      <c r="E118" s="4" t="str">
        <f>IFERROR(__xludf.DUMMYFUNCTION("GOOGLETRANSLATE(B118,""en"",""fr"")"),"Adresse préférée")</f>
        <v>Adresse préférée</v>
      </c>
      <c r="F118" s="4" t="str">
        <f>IFERROR(__xludf.DUMMYFUNCTION("GOOGLETRANSLATE(B118,""en"",""tr"")"),"Favori Adres")</f>
        <v>Favori Adres</v>
      </c>
      <c r="G118" s="4" t="str">
        <f>IFERROR(__xludf.DUMMYFUNCTION("GOOGLETRANSLATE(B118,""en"",""ru"")"),"Любимый адрес")</f>
        <v>Любимый адрес</v>
      </c>
      <c r="H118" s="4" t="str">
        <f>IFERROR(__xludf.DUMMYFUNCTION("GOOGLETRANSLATE(B118,""en"",""it"")"),"Indirizzo preferito")</f>
        <v>Indirizzo preferito</v>
      </c>
      <c r="I118" s="4" t="str">
        <f>IFERROR(__xludf.DUMMYFUNCTION("GOOGLETRANSLATE(B118,""en"",""de"")"),"Lieblingsadresse")</f>
        <v>Lieblingsadresse</v>
      </c>
      <c r="J118" s="4" t="str">
        <f>IFERROR(__xludf.DUMMYFUNCTION("GOOGLETRANSLATE(B118,""en"",""ko"")"),"즐겨찾는 주소")</f>
        <v>즐겨찾는 주소</v>
      </c>
      <c r="K118" s="4" t="str">
        <f>IFERROR(__xludf.DUMMYFUNCTION("GOOGLETRANSLATE(B118,""en"",""zh"")"),"最喜欢的地址")</f>
        <v>最喜欢的地址</v>
      </c>
      <c r="L118" s="4" t="str">
        <f>IFERROR(__xludf.DUMMYFUNCTION("GOOGLETRANSLATE(B118,""en"",""es"")"),"Dirección favorita")</f>
        <v>Dirección favorita</v>
      </c>
      <c r="M118" s="4" t="str">
        <f>IFERROR(__xludf.DUMMYFUNCTION("GOOGLETRANSLATE(B118,""en"",""iw"")"),"כתובת מועדפת")</f>
        <v>כתובת מועדפת</v>
      </c>
      <c r="N118" s="4" t="str">
        <f>IFERROR(__xludf.DUMMYFUNCTION("GOOGLETRANSLATE(B118,""en"",""bn"")"),"প্রিয় ঠিকানা")</f>
        <v>প্রিয় ঠিকানা</v>
      </c>
      <c r="O118" s="4" t="str">
        <f>IFERROR(__xludf.DUMMYFUNCTION("GOOGLETRANSLATE(B118,""en"",""pt"")"),"Endereço favorito")</f>
        <v>Endereço favorito</v>
      </c>
      <c r="P118" s="6"/>
    </row>
    <row r="119">
      <c r="A119" s="7" t="s">
        <v>348</v>
      </c>
      <c r="B119" s="3" t="s">
        <v>349</v>
      </c>
      <c r="C119" s="4" t="str">
        <f>IFERROR(__xludf.DUMMYFUNCTION("GOOGLETRANSLATE(B119,""en"",""hi"")"),"पिकअप सुझाव")</f>
        <v>पिकअप सुझाव</v>
      </c>
      <c r="D119" s="6" t="s">
        <v>350</v>
      </c>
      <c r="E119" s="4" t="str">
        <f>IFERROR(__xludf.DUMMYFUNCTION("GOOGLETRANSLATE(B119,""en"",""fr"")"),"Suggestion de ramassage")</f>
        <v>Suggestion de ramassage</v>
      </c>
      <c r="F119" s="4" t="str">
        <f>IFERROR(__xludf.DUMMYFUNCTION("GOOGLETRANSLATE(B119,""en"",""tr"")"),"Teslim Alma Önerisi")</f>
        <v>Teslim Alma Önerisi</v>
      </c>
      <c r="G119" s="4" t="str">
        <f>IFERROR(__xludf.DUMMYFUNCTION("GOOGLETRANSLATE(B119,""en"",""ru"")"),"Предложение о самовывозе")</f>
        <v>Предложение о самовывозе</v>
      </c>
      <c r="H119" s="4" t="str">
        <f>IFERROR(__xludf.DUMMYFUNCTION("GOOGLETRANSLATE(B119,""en"",""it"")"),"Suggerimento per il ritiro")</f>
        <v>Suggerimento per il ritiro</v>
      </c>
      <c r="I119" s="4" t="str">
        <f>IFERROR(__xludf.DUMMYFUNCTION("GOOGLETRANSLATE(B119,""en"",""de"")"),"Abholvorschlag")</f>
        <v>Abholvorschlag</v>
      </c>
      <c r="J119" s="4" t="str">
        <f>IFERROR(__xludf.DUMMYFUNCTION("GOOGLETRANSLATE(B119,""en"",""ko"")"),"픽업 제안")</f>
        <v>픽업 제안</v>
      </c>
      <c r="K119" s="4" t="str">
        <f>IFERROR(__xludf.DUMMYFUNCTION("GOOGLETRANSLATE(B119,""en"",""zh"")"),"取货建议")</f>
        <v>取货建议</v>
      </c>
      <c r="L119" s="4" t="str">
        <f>IFERROR(__xludf.DUMMYFUNCTION("GOOGLETRANSLATE(B119,""en"",""es"")"),"Sugerencia de recogida")</f>
        <v>Sugerencia de recogida</v>
      </c>
      <c r="M119" s="4" t="str">
        <f>IFERROR(__xludf.DUMMYFUNCTION("GOOGLETRANSLATE(B119,""en"",""iw"")"),"הצעת איסוף")</f>
        <v>הצעת איסוף</v>
      </c>
      <c r="N119" s="4" t="str">
        <f>IFERROR(__xludf.DUMMYFUNCTION("GOOGLETRANSLATE(B119,""en"",""bn"")"),"পিকআপ সাজেশন")</f>
        <v>পিকআপ সাজেশন</v>
      </c>
      <c r="O119" s="4" t="str">
        <f>IFERROR(__xludf.DUMMYFUNCTION("GOOGLETRANSLATE(B119,""en"",""pt"")"),"Sugestão de retirada")</f>
        <v>Sugestão de retirada</v>
      </c>
      <c r="P119" s="6"/>
    </row>
    <row r="120">
      <c r="A120" s="7" t="s">
        <v>351</v>
      </c>
      <c r="B120" s="3" t="s">
        <v>352</v>
      </c>
      <c r="C120" s="4" t="str">
        <f>IFERROR(__xludf.DUMMYFUNCTION("GOOGLETRANSLATE(B120,""en"",""hi"")"),"सुझाव छोड़ें")</f>
        <v>सुझाव छोड़ें</v>
      </c>
      <c r="D120" s="6" t="s">
        <v>353</v>
      </c>
      <c r="E120" s="4" t="str">
        <f>IFERROR(__xludf.DUMMYFUNCTION("GOOGLETRANSLATE(B120,""en"",""fr"")"),"Suggestion de dépôt")</f>
        <v>Suggestion de dépôt</v>
      </c>
      <c r="F120" s="4" t="str">
        <f>IFERROR(__xludf.DUMMYFUNCTION("GOOGLETRANSLATE(B120,""en"",""tr"")"),"Öneriyi Bırak")</f>
        <v>Öneriyi Bırak</v>
      </c>
      <c r="G120" s="4" t="str">
        <f>IFERROR(__xludf.DUMMYFUNCTION("GOOGLETRANSLATE(B120,""en"",""ru"")"),"Отбросить предложение")</f>
        <v>Отбросить предложение</v>
      </c>
      <c r="H120" s="4" t="str">
        <f>IFERROR(__xludf.DUMMYFUNCTION("GOOGLETRANSLATE(B120,""en"",""it"")"),"Rilascia il suggerimento")</f>
        <v>Rilascia il suggerimento</v>
      </c>
      <c r="I120" s="4" t="str">
        <f>IFERROR(__xludf.DUMMYFUNCTION("GOOGLETRANSLATE(B120,""en"",""de"")"),"Drop-Vorschlag")</f>
        <v>Drop-Vorschlag</v>
      </c>
      <c r="J120" s="4" t="str">
        <f>IFERROR(__xludf.DUMMYFUNCTION("GOOGLETRANSLATE(B120,""en"",""ko"")"),"삭제 제안")</f>
        <v>삭제 제안</v>
      </c>
      <c r="K120" s="4" t="str">
        <f>IFERROR(__xludf.DUMMYFUNCTION("GOOGLETRANSLATE(B120,""en"",""zh"")"),"删除建议")</f>
        <v>删除建议</v>
      </c>
      <c r="L120" s="4" t="str">
        <f>IFERROR(__xludf.DUMMYFUNCTION("GOOGLETRANSLATE(B120,""en"",""es"")"),"Sugerencia de caída")</f>
        <v>Sugerencia de caída</v>
      </c>
      <c r="M120" s="4" t="str">
        <f>IFERROR(__xludf.DUMMYFUNCTION("GOOGLETRANSLATE(B120,""en"",""iw"")"),"שחרר את ההצעה")</f>
        <v>שחרר את ההצעה</v>
      </c>
      <c r="N120" s="4" t="str">
        <f>IFERROR(__xludf.DUMMYFUNCTION("GOOGLETRANSLATE(B120,""en"",""bn"")"),"ড্রপ সাজেশন")</f>
        <v>ড্রপ সাজেশন</v>
      </c>
      <c r="O120" s="4" t="str">
        <f>IFERROR(__xludf.DUMMYFUNCTION("GOOGLETRANSLATE(B120,""en"",""pt"")"),"Sugestão de descarte")</f>
        <v>Sugestão de descarte</v>
      </c>
      <c r="P120" s="6"/>
    </row>
    <row r="121">
      <c r="A121" s="7" t="s">
        <v>354</v>
      </c>
      <c r="B121" s="3" t="s">
        <v>355</v>
      </c>
      <c r="C121" s="4" t="str">
        <f>IFERROR(__xludf.DUMMYFUNCTION("GOOGLETRANSLATE(B121,""en"",""hi"")"),"मानचित्र पर पता लगाएँ")</f>
        <v>मानचित्र पर पता लगाएँ</v>
      </c>
      <c r="D121" s="6" t="s">
        <v>356</v>
      </c>
      <c r="E121" s="4" t="str">
        <f>IFERROR(__xludf.DUMMYFUNCTION("GOOGLETRANSLATE(B121,""en"",""fr"")"),"Localiser sur la carte")</f>
        <v>Localiser sur la carte</v>
      </c>
      <c r="F121" s="4" t="str">
        <f>IFERROR(__xludf.DUMMYFUNCTION("GOOGLETRANSLATE(B121,""en"",""tr"")"),"Haritada Bulun")</f>
        <v>Haritada Bulun</v>
      </c>
      <c r="G121" s="4" t="str">
        <f>IFERROR(__xludf.DUMMYFUNCTION("GOOGLETRANSLATE(B121,""en"",""ru"")"),"Найти на карте")</f>
        <v>Найти на карте</v>
      </c>
      <c r="H121" s="4" t="str">
        <f>IFERROR(__xludf.DUMMYFUNCTION("GOOGLETRANSLATE(B121,""en"",""it"")"),"Localizza sulla mappa")</f>
        <v>Localizza sulla mappa</v>
      </c>
      <c r="I121" s="4" t="str">
        <f>IFERROR(__xludf.DUMMYFUNCTION("GOOGLETRANSLATE(B121,""en"",""de"")"),"Auf der Karte lokalisieren")</f>
        <v>Auf der Karte lokalisieren</v>
      </c>
      <c r="J121" s="4" t="str">
        <f>IFERROR(__xludf.DUMMYFUNCTION("GOOGLETRANSLATE(B121,""en"",""ko"")"),"지도에서 찾기")</f>
        <v>지도에서 찾기</v>
      </c>
      <c r="K121" s="4" t="str">
        <f>IFERROR(__xludf.DUMMYFUNCTION("GOOGLETRANSLATE(B121,""en"",""zh"")"),"在地图上找到")</f>
        <v>在地图上找到</v>
      </c>
      <c r="L121" s="4" t="str">
        <f>IFERROR(__xludf.DUMMYFUNCTION("GOOGLETRANSLATE(B121,""en"",""es"")"),"Ubicar en el mapa")</f>
        <v>Ubicar en el mapa</v>
      </c>
      <c r="M121" s="4" t="str">
        <f>IFERROR(__xludf.DUMMYFUNCTION("GOOGLETRANSLATE(B121,""en"",""iw"")"),"אתר על המפה")</f>
        <v>אתר על המפה</v>
      </c>
      <c r="N121" s="4" t="str">
        <f>IFERROR(__xludf.DUMMYFUNCTION("GOOGLETRANSLATE(B121,""en"",""bn"")"),"মানচিত্রে অবস্থান করুন")</f>
        <v>মানচিত্রে অবস্থান করুন</v>
      </c>
      <c r="O121" s="4" t="str">
        <f>IFERROR(__xludf.DUMMYFUNCTION("GOOGLETRANSLATE(B121,""en"",""pt"")"),"Localizar no mapa")</f>
        <v>Localizar no mapa</v>
      </c>
      <c r="P121" s="6"/>
    </row>
    <row r="122">
      <c r="A122" s="7" t="s">
        <v>357</v>
      </c>
      <c r="B122" s="3" t="s">
        <v>358</v>
      </c>
      <c r="C122" s="4" t="str">
        <f>IFERROR(__xludf.DUMMYFUNCTION("GOOGLETRANSLATE(B122,""en"",""hi"")"),"खोज गंतव्य")</f>
        <v>खोज गंतव्य</v>
      </c>
      <c r="D122" s="6" t="s">
        <v>359</v>
      </c>
      <c r="E122" s="4" t="str">
        <f>IFERROR(__xludf.DUMMYFUNCTION("GOOGLETRANSLATE(B122,""en"",""fr"")"),"destination de recherche")</f>
        <v>destination de recherche</v>
      </c>
      <c r="F122" s="4" t="str">
        <f>IFERROR(__xludf.DUMMYFUNCTION("GOOGLETRANSLATE(B122,""en"",""tr"")"),"arama hedefi")</f>
        <v>arama hedefi</v>
      </c>
      <c r="G122" s="4" t="str">
        <f>IFERROR(__xludf.DUMMYFUNCTION("GOOGLETRANSLATE(B122,""en"",""ru"")"),"пункт назначения поиска")</f>
        <v>пункт назначения поиска</v>
      </c>
      <c r="H122" s="4" t="str">
        <f>IFERROR(__xludf.DUMMYFUNCTION("GOOGLETRANSLATE(B122,""en"",""it"")"),"destinazione della ricerca")</f>
        <v>destinazione della ricerca</v>
      </c>
      <c r="I122" s="4" t="str">
        <f>IFERROR(__xludf.DUMMYFUNCTION("GOOGLETRANSLATE(B122,""en"",""de"")"),"Suchziel")</f>
        <v>Suchziel</v>
      </c>
      <c r="J122" s="4" t="str">
        <f>IFERROR(__xludf.DUMMYFUNCTION("GOOGLETRANSLATE(B122,""en"",""ko"")"),"검색 대상")</f>
        <v>검색 대상</v>
      </c>
      <c r="K122" s="4" t="str">
        <f>IFERROR(__xludf.DUMMYFUNCTION("GOOGLETRANSLATE(B122,""en"",""zh"")"),"搜索目的地")</f>
        <v>搜索目的地</v>
      </c>
      <c r="L122" s="4" t="str">
        <f>IFERROR(__xludf.DUMMYFUNCTION("GOOGLETRANSLATE(B122,""en"",""es"")"),"destino de búsqueda")</f>
        <v>destino de búsqueda</v>
      </c>
      <c r="M122" s="4" t="str">
        <f>IFERROR(__xludf.DUMMYFUNCTION("GOOGLETRANSLATE(B122,""en"",""iw"")"),"יעד חיפוש")</f>
        <v>יעד חיפוש</v>
      </c>
      <c r="N122" s="4" t="str">
        <f>IFERROR(__xludf.DUMMYFUNCTION("GOOGLETRANSLATE(B122,""en"",""bn"")"),"গন্তব্য অনুসন্ধান করুন")</f>
        <v>গন্তব্য অনুসন্ধান করুন</v>
      </c>
      <c r="O122" s="4" t="str">
        <f>IFERROR(__xludf.DUMMYFUNCTION("GOOGLETRANSLATE(B122,""en"",""pt"")"),"destino de pesquisa")</f>
        <v>destino de pesquisa</v>
      </c>
      <c r="P122" s="6"/>
    </row>
    <row r="123">
      <c r="A123" s="7" t="s">
        <v>360</v>
      </c>
      <c r="B123" s="3" t="s">
        <v>361</v>
      </c>
      <c r="C123" s="4" t="str">
        <f>IFERROR(__xludf.DUMMYFUNCTION("GOOGLETRANSLATE(B123,""en"",""hi"")"),"सुझाई गई सवारी")</f>
        <v>सुझाई गई सवारी</v>
      </c>
      <c r="D123" s="6" t="s">
        <v>362</v>
      </c>
      <c r="E123" s="4" t="str">
        <f>IFERROR(__xludf.DUMMYFUNCTION("GOOGLETRANSLATE(B123,""en"",""fr"")"),"Promenades suggérées")</f>
        <v>Promenades suggérées</v>
      </c>
      <c r="F123" s="4" t="str">
        <f>IFERROR(__xludf.DUMMYFUNCTION("GOOGLETRANSLATE(B123,""en"",""tr"")"),"Önerilen Sürüşler")</f>
        <v>Önerilen Sürüşler</v>
      </c>
      <c r="G123" s="4" t="str">
        <f>IFERROR(__xludf.DUMMYFUNCTION("GOOGLETRANSLATE(B123,""en"",""ru"")"),"Рекомендуемые поездки")</f>
        <v>Рекомендуемые поездки</v>
      </c>
      <c r="H123" s="4" t="str">
        <f>IFERROR(__xludf.DUMMYFUNCTION("GOOGLETRANSLATE(B123,""en"",""it"")"),"Gite suggerite")</f>
        <v>Gite suggerite</v>
      </c>
      <c r="I123" s="4" t="str">
        <f>IFERROR(__xludf.DUMMYFUNCTION("GOOGLETRANSLATE(B123,""en"",""de"")"),"Empfohlene Fahrten")</f>
        <v>Empfohlene Fahrten</v>
      </c>
      <c r="J123" s="4" t="str">
        <f>IFERROR(__xludf.DUMMYFUNCTION("GOOGLETRANSLATE(B123,""en"",""ko"")"),"추천 놀이기구")</f>
        <v>추천 놀이기구</v>
      </c>
      <c r="K123" s="4" t="str">
        <f>IFERROR(__xludf.DUMMYFUNCTION("GOOGLETRANSLATE(B123,""en"",""zh"")"),"推荐游乐设施")</f>
        <v>推荐游乐设施</v>
      </c>
      <c r="L123" s="4" t="str">
        <f>IFERROR(__xludf.DUMMYFUNCTION("GOOGLETRANSLATE(B123,""en"",""es"")"),"Paseos sugeridos")</f>
        <v>Paseos sugeridos</v>
      </c>
      <c r="M123" s="4" t="str">
        <f>IFERROR(__xludf.DUMMYFUNCTION("GOOGLETRANSLATE(B123,""en"",""iw"")"),"טיולים מוצעים")</f>
        <v>טיולים מוצעים</v>
      </c>
      <c r="N123" s="4" t="str">
        <f>IFERROR(__xludf.DUMMYFUNCTION("GOOGLETRANSLATE(B123,""en"",""bn"")"),"সাজেস্টেড রাইড")</f>
        <v>সাজেস্টেড রাইড</v>
      </c>
      <c r="O123" s="4" t="str">
        <f>IFERROR(__xludf.DUMMYFUNCTION("GOOGLETRANSLATE(B123,""en"",""pt"")"),"Passeios sugeridos")</f>
        <v>Passeios sugeridos</v>
      </c>
      <c r="P123" s="6"/>
    </row>
    <row r="124">
      <c r="A124" s="7" t="s">
        <v>363</v>
      </c>
      <c r="B124" s="9" t="s">
        <v>364</v>
      </c>
      <c r="C124" s="4" t="str">
        <f>IFERROR(__xludf.DUMMYFUNCTION("GOOGLETRANSLATE(B124,""en"",""hi"")"),"भुगतान विधि")</f>
        <v>भुगतान विधि</v>
      </c>
      <c r="D124" s="6" t="s">
        <v>365</v>
      </c>
      <c r="E124" s="4" t="str">
        <f>IFERROR(__xludf.DUMMYFUNCTION("GOOGLETRANSLATE(B124,""en"",""fr"")"),"Mode de paiement")</f>
        <v>Mode de paiement</v>
      </c>
      <c r="F124" s="4" t="str">
        <f>IFERROR(__xludf.DUMMYFUNCTION("GOOGLETRANSLATE(B124,""en"",""tr"")"),"Ödeme yöntemi")</f>
        <v>Ödeme yöntemi</v>
      </c>
      <c r="G124" s="4" t="str">
        <f>IFERROR(__xludf.DUMMYFUNCTION("GOOGLETRANSLATE(B124,""en"",""ru"")"),"Способ оплаты")</f>
        <v>Способ оплаты</v>
      </c>
      <c r="H124" s="4" t="str">
        <f>IFERROR(__xludf.DUMMYFUNCTION("GOOGLETRANSLATE(B124,""en"",""it"")"),"Metodo di pagamento")</f>
        <v>Metodo di pagamento</v>
      </c>
      <c r="I124" s="4" t="str">
        <f>IFERROR(__xludf.DUMMYFUNCTION("GOOGLETRANSLATE(B124,""en"",""de"")"),"Bezahlverfahren")</f>
        <v>Bezahlverfahren</v>
      </c>
      <c r="J124" s="4" t="str">
        <f>IFERROR(__xludf.DUMMYFUNCTION("GOOGLETRANSLATE(B124,""en"",""ko"")"),"결제수단")</f>
        <v>결제수단</v>
      </c>
      <c r="K124" s="4" t="str">
        <f>IFERROR(__xludf.DUMMYFUNCTION("GOOGLETRANSLATE(B124,""en"",""zh"")"),"付款方式")</f>
        <v>付款方式</v>
      </c>
      <c r="L124" s="4" t="str">
        <f>IFERROR(__xludf.DUMMYFUNCTION("GOOGLETRANSLATE(B124,""en"",""es"")"),"Método de pago")</f>
        <v>Método de pago</v>
      </c>
      <c r="M124" s="4" t="str">
        <f>IFERROR(__xludf.DUMMYFUNCTION("GOOGLETRANSLATE(B124,""en"",""iw"")"),"אמצעי תשלום")</f>
        <v>אמצעי תשלום</v>
      </c>
      <c r="N124" s="4" t="str">
        <f>IFERROR(__xludf.DUMMYFUNCTION("GOOGLETRANSLATE(B124,""en"",""bn"")"),"মূল্যপরিশোধ পদ্ধতি")</f>
        <v>মূল্যপরিশোধ পদ্ধতি</v>
      </c>
      <c r="O124" s="4" t="str">
        <f>IFERROR(__xludf.DUMMYFUNCTION("GOOGLETRANSLATE(B124,""en"",""pt"")"),"Forma de pagamento")</f>
        <v>Forma de pagamento</v>
      </c>
      <c r="P124" s="6"/>
    </row>
    <row r="125">
      <c r="A125" s="7" t="s">
        <v>366</v>
      </c>
      <c r="B125" s="3" t="s">
        <v>367</v>
      </c>
      <c r="C125" s="4" t="str">
        <f>IFERROR(__xludf.DUMMYFUNCTION("GOOGLETRANSLATE(B125,""en"",""hi"")"),"अपना भुगतान अभी या बाद में चुनें")</f>
        <v>अपना भुगतान अभी या बाद में चुनें</v>
      </c>
      <c r="D125" s="6" t="s">
        <v>368</v>
      </c>
      <c r="E125" s="4" t="str">
        <f>IFERROR(__xludf.DUMMYFUNCTION("GOOGLETRANSLATE(B125,""en"",""fr"")"),"Choisissez votre paiement maintenant ou plus tard")</f>
        <v>Choisissez votre paiement maintenant ou plus tard</v>
      </c>
      <c r="F125" s="4" t="str">
        <f>IFERROR(__xludf.DUMMYFUNCTION("GOOGLETRANSLATE(B125,""en"",""tr"")"),"Ödemenizi şimdi veya sonra seçin")</f>
        <v>Ödemenizi şimdi veya sonra seçin</v>
      </c>
      <c r="G125" s="4" t="str">
        <f>IFERROR(__xludf.DUMMYFUNCTION("GOOGLETRANSLATE(B125,""en"",""ru"")"),"Выберите способ оплаты сейчас или позже")</f>
        <v>Выберите способ оплаты сейчас или позже</v>
      </c>
      <c r="H125" s="4" t="str">
        <f>IFERROR(__xludf.DUMMYFUNCTION("GOOGLETRANSLATE(B125,""en"",""it"")"),"Scegli il pagamento adesso o più tardi")</f>
        <v>Scegli il pagamento adesso o più tardi</v>
      </c>
      <c r="I125" s="4" t="str">
        <f>IFERROR(__xludf.DUMMYFUNCTION("GOOGLETRANSLATE(B125,""en"",""de"")"),"Wählen Sie Ihre Zahlung jetzt oder später")</f>
        <v>Wählen Sie Ihre Zahlung jetzt oder später</v>
      </c>
      <c r="J125" s="4" t="str">
        <f>IFERROR(__xludf.DUMMYFUNCTION("GOOGLETRANSLATE(B125,""en"",""ko"")"),"지금 결제할지 나중에 결제할지 선택하세요")</f>
        <v>지금 결제할지 나중에 결제할지 선택하세요</v>
      </c>
      <c r="K125" s="4" t="str">
        <f>IFERROR(__xludf.DUMMYFUNCTION("GOOGLETRANSLATE(B125,""en"",""zh"")"),"选择立即付款或稍后付款")</f>
        <v>选择立即付款或稍后付款</v>
      </c>
      <c r="L125" s="4" t="str">
        <f>IFERROR(__xludf.DUMMYFUNCTION("GOOGLETRANSLATE(B125,""en"",""es"")"),"Elige tu pago ahora o más tarde")</f>
        <v>Elige tu pago ahora o más tarde</v>
      </c>
      <c r="M125" s="4" t="str">
        <f>IFERROR(__xludf.DUMMYFUNCTION("GOOGLETRANSLATE(B125,""en"",""iw"")"),"בחר את התשלום שלך עכשיו או מאוחר יותר")</f>
        <v>בחר את התשלום שלך עכשיו או מאוחר יותר</v>
      </c>
      <c r="N125" s="4" t="str">
        <f>IFERROR(__xludf.DUMMYFUNCTION("GOOGLETRANSLATE(B125,""en"",""bn"")"),"এখন বা পরে আপনার পেমেন্ট চয়ন করুন")</f>
        <v>এখন বা পরে আপনার পেমেন্ট চয়ন করুন</v>
      </c>
      <c r="O125" s="4" t="str">
        <f>IFERROR(__xludf.DUMMYFUNCTION("GOOGLETRANSLATE(B125,""en"",""pt"")"),"Escolha seu pagamento agora ou mais tarde")</f>
        <v>Escolha seu pagamento agora ou mais tarde</v>
      </c>
      <c r="P125" s="6"/>
    </row>
    <row r="126">
      <c r="A126" s="7" t="s">
        <v>369</v>
      </c>
      <c r="B126" s="3" t="s">
        <v>370</v>
      </c>
      <c r="C126" s="4" t="str">
        <f>IFERROR(__xludf.DUMMYFUNCTION("GOOGLETRANSLATE(B126,""en"",""hi"")"),"यात्रा समाप्त होने पर भुगतान करें")</f>
        <v>यात्रा समाप्त होने पर भुगतान करें</v>
      </c>
      <c r="D126" s="6" t="s">
        <v>371</v>
      </c>
      <c r="E126" s="4" t="str">
        <f>IFERROR(__xludf.DUMMYFUNCTION("GOOGLETRANSLATE(B126,""en"",""fr"")"),"Payer à la fin du voyage")</f>
        <v>Payer à la fin du voyage</v>
      </c>
      <c r="F126" s="4" t="str">
        <f>IFERROR(__xludf.DUMMYFUNCTION("GOOGLETRANSLATE(B126,""en"",""tr"")"),"Yolculuk bittiğinde öde")</f>
        <v>Yolculuk bittiğinde öde</v>
      </c>
      <c r="G126" s="4" t="str">
        <f>IFERROR(__xludf.DUMMYFUNCTION("GOOGLETRANSLATE(B126,""en"",""ru"")"),"Оплата по окончании поездки")</f>
        <v>Оплата по окончании поездки</v>
      </c>
      <c r="H126" s="4" t="str">
        <f>IFERROR(__xludf.DUMMYFUNCTION("GOOGLETRANSLATE(B126,""en"",""it"")"),"Paga alla fine del viaggio")</f>
        <v>Paga alla fine del viaggio</v>
      </c>
      <c r="I126" s="4" t="str">
        <f>IFERROR(__xludf.DUMMYFUNCTION("GOOGLETRANSLATE(B126,""en"",""de"")"),"Bezahlen Sie, wenn die Reise endet")</f>
        <v>Bezahlen Sie, wenn die Reise endet</v>
      </c>
      <c r="J126" s="4" t="str">
        <f>IFERROR(__xludf.DUMMYFUNCTION("GOOGLETRANSLATE(B126,""en"",""ko"")"),"여행 종료 시 결제")</f>
        <v>여행 종료 시 결제</v>
      </c>
      <c r="K126" s="4" t="str">
        <f>IFERROR(__xludf.DUMMYFUNCTION("GOOGLETRANSLATE(B126,""en"",""zh"")"),"旅行结束时付款")</f>
        <v>旅行结束时付款</v>
      </c>
      <c r="L126" s="4" t="str">
        <f>IFERROR(__xludf.DUMMYFUNCTION("GOOGLETRANSLATE(B126,""en"",""es"")"),"Paga cuando termine el viaje")</f>
        <v>Paga cuando termine el viaje</v>
      </c>
      <c r="M126" s="4" t="str">
        <f>IFERROR(__xludf.DUMMYFUNCTION("GOOGLETRANSLATE(B126,""en"",""iw"")"),"שלם כאשר הטיול מסתיים")</f>
        <v>שלם כאשר הטיול מסתיים</v>
      </c>
      <c r="N126" s="4" t="str">
        <f>IFERROR(__xludf.DUMMYFUNCTION("GOOGLETRANSLATE(B126,""en"",""bn"")"),"ট্রিপ শেষ হলে অর্থ প্রদান করুন")</f>
        <v>ট্রিপ শেষ হলে অর্থ প্রদান করুন</v>
      </c>
      <c r="O126" s="4" t="str">
        <f>IFERROR(__xludf.DUMMYFUNCTION("GOOGLETRANSLATE(B126,""en"",""pt"")"),"Pague quando a viagem terminar")</f>
        <v>Pague quando a viagem terminar</v>
      </c>
      <c r="P126" s="6"/>
    </row>
    <row r="127">
      <c r="A127" s="7" t="s">
        <v>372</v>
      </c>
      <c r="B127" s="3" t="s">
        <v>373</v>
      </c>
      <c r="C127" s="4" t="str">
        <f>IFERROR(__xludf.DUMMYFUNCTION("GOOGLETRANSLATE(B127,""en"",""hi"")"),"निर्बाध और संपर्क रहित भुगतान के लिए")</f>
        <v>निर्बाध और संपर्क रहित भुगतान के लिए</v>
      </c>
      <c r="D127" s="6" t="s">
        <v>374</v>
      </c>
      <c r="E127" s="4" t="str">
        <f>IFERROR(__xludf.DUMMYFUNCTION("GOOGLETRANSLATE(B127,""en"",""fr"")"),"Pour un paiement transparent et sans contact")</f>
        <v>Pour un paiement transparent et sans contact</v>
      </c>
      <c r="F127" s="4" t="str">
        <f>IFERROR(__xludf.DUMMYFUNCTION("GOOGLETRANSLATE(B127,""en"",""tr"")"),"Sorunsuz ve temassız ödeme için")</f>
        <v>Sorunsuz ve temassız ödeme için</v>
      </c>
      <c r="G127" s="4" t="str">
        <f>IFERROR(__xludf.DUMMYFUNCTION("GOOGLETRANSLATE(B127,""en"",""ru"")"),"Для беспрепятственной и бесконтактной оплаты")</f>
        <v>Для беспрепятственной и бесконтактной оплаты</v>
      </c>
      <c r="H127" s="4" t="str">
        <f>IFERROR(__xludf.DUMMYFUNCTION("GOOGLETRANSLATE(B127,""en"",""it"")"),"Per pagamenti senza interruzioni e senza contatti")</f>
        <v>Per pagamenti senza interruzioni e senza contatti</v>
      </c>
      <c r="I127" s="4" t="str">
        <f>IFERROR(__xludf.DUMMYFUNCTION("GOOGLETRANSLATE(B127,""en"",""de"")"),"Für eine nahtlose und kontaktlose Zahlung")</f>
        <v>Für eine nahtlose und kontaktlose Zahlung</v>
      </c>
      <c r="J127" s="4" t="str">
        <f>IFERROR(__xludf.DUMMYFUNCTION("GOOGLETRANSLATE(B127,""en"",""ko"")"),"원활한 비접촉 결제를 위해")</f>
        <v>원활한 비접촉 결제를 위해</v>
      </c>
      <c r="K127" s="4" t="str">
        <f>IFERROR(__xludf.DUMMYFUNCTION("GOOGLETRANSLATE(B127,""en"",""zh"")"),"实现无缝、非接触式支付")</f>
        <v>实现无缝、非接触式支付</v>
      </c>
      <c r="L127" s="4" t="str">
        <f>IFERROR(__xludf.DUMMYFUNCTION("GOOGLETRANSLATE(B127,""en"",""es"")"),"Para pagos fluidos y sin contacto")</f>
        <v>Para pagos fluidos y sin contacto</v>
      </c>
      <c r="M127" s="4" t="str">
        <f>IFERROR(__xludf.DUMMYFUNCTION("GOOGLETRANSLATE(B127,""en"",""iw"")"),"לקבלת חלק ויצירת קשר פחות תשלום")</f>
        <v>לקבלת חלק ויצירת קשר פחות תשלום</v>
      </c>
      <c r="N127" s="4" t="str">
        <f>IFERROR(__xludf.DUMMYFUNCTION("GOOGLETRANSLATE(B127,""en"",""bn"")"),"নির্বিঘ্ন এবং কম অর্থপ্রদানের জন্য যোগাযোগ করুন")</f>
        <v>নির্বিঘ্ন এবং কম অর্থপ্রদানের জন্য যোগাযোগ করুন</v>
      </c>
      <c r="O127" s="4" t="str">
        <f>IFERROR(__xludf.DUMMYFUNCTION("GOOGLETRANSLATE(B127,""en"",""pt"")"),"Para pagamento contínuo e sem contato")</f>
        <v>Para pagamento contínuo e sem contato</v>
      </c>
      <c r="P127" s="6"/>
    </row>
    <row r="128">
      <c r="A128" s="7" t="s">
        <v>375</v>
      </c>
      <c r="B128" s="3" t="s">
        <v>376</v>
      </c>
      <c r="C128" s="4" t="str">
        <f>IFERROR(__xludf.DUMMYFUNCTION("GOOGLETRANSLATE(B128,""en"",""hi"")"),"तेजी से भुगतान के लिए")</f>
        <v>तेजी से भुगतान के लिए</v>
      </c>
      <c r="D128" s="6" t="s">
        <v>377</v>
      </c>
      <c r="E128" s="4" t="str">
        <f>IFERROR(__xludf.DUMMYFUNCTION("GOOGLETRANSLATE(B128,""en"",""fr"")"),"Pour un paiement plus rapide")</f>
        <v>Pour un paiement plus rapide</v>
      </c>
      <c r="F128" s="4" t="str">
        <f>IFERROR(__xludf.DUMMYFUNCTION("GOOGLETRANSLATE(B128,""en"",""tr"")"),"Daha hızlı ödeme için")</f>
        <v>Daha hızlı ödeme için</v>
      </c>
      <c r="G128" s="4" t="str">
        <f>IFERROR(__xludf.DUMMYFUNCTION("GOOGLETRANSLATE(B128,""en"",""ru"")"),"Для более быстрой оплаты")</f>
        <v>Для более быстрой оплаты</v>
      </c>
      <c r="H128" s="4" t="str">
        <f>IFERROR(__xludf.DUMMYFUNCTION("GOOGLETRANSLATE(B128,""en"",""it"")"),"Per pagamenti più rapidi")</f>
        <v>Per pagamenti più rapidi</v>
      </c>
      <c r="I128" s="4" t="str">
        <f>IFERROR(__xludf.DUMMYFUNCTION("GOOGLETRANSLATE(B128,""en"",""de"")"),"Für eine schnellere Zahlung")</f>
        <v>Für eine schnellere Zahlung</v>
      </c>
      <c r="J128" s="4" t="str">
        <f>IFERROR(__xludf.DUMMYFUNCTION("GOOGLETRANSLATE(B128,""en"",""ko"")"),"더 빠른 결제를 위해")</f>
        <v>더 빠른 결제를 위해</v>
      </c>
      <c r="K128" s="4" t="str">
        <f>IFERROR(__xludf.DUMMYFUNCTION("GOOGLETRANSLATE(B128,""en"",""zh"")"),"为了更快的付款")</f>
        <v>为了更快的付款</v>
      </c>
      <c r="L128" s="4" t="str">
        <f>IFERROR(__xludf.DUMMYFUNCTION("GOOGLETRANSLATE(B128,""en"",""es"")"),"Para un pago más rápido")</f>
        <v>Para un pago más rápido</v>
      </c>
      <c r="M128" s="4" t="str">
        <f>IFERROR(__xludf.DUMMYFUNCTION("GOOGLETRANSLATE(B128,""en"",""iw"")"),"לתשלום מהיר יותר")</f>
        <v>לתשלום מהיר יותר</v>
      </c>
      <c r="N128" s="4" t="str">
        <f>IFERROR(__xludf.DUMMYFUNCTION("GOOGLETRANSLATE(B128,""en"",""bn"")"),"দ্রুত পেমেন্টের জন্য")</f>
        <v>দ্রুত পেমেন্টের জন্য</v>
      </c>
      <c r="O128" s="4" t="str">
        <f>IFERROR(__xludf.DUMMYFUNCTION("GOOGLETRANSLATE(B128,""en"",""pt"")"),"Para pagamento mais rápido")</f>
        <v>Para pagamento mais rápido</v>
      </c>
      <c r="P128" s="6"/>
    </row>
    <row r="129">
      <c r="A129" s="7" t="s">
        <v>378</v>
      </c>
      <c r="B129" s="3" t="s">
        <v>379</v>
      </c>
      <c r="C129" s="4" t="str">
        <f>IFERROR(__xludf.DUMMYFUNCTION("GOOGLETRANSLATE(B129,""en"",""hi"")"),"तुरंत भुगतान के लिए")</f>
        <v>तुरंत भुगतान के लिए</v>
      </c>
      <c r="D129" s="6" t="s">
        <v>380</v>
      </c>
      <c r="E129" s="4" t="str">
        <f>IFERROR(__xludf.DUMMYFUNCTION("GOOGLETRANSLATE(B129,""en"",""fr"")"),"Pour un paiement instantané")</f>
        <v>Pour un paiement instantané</v>
      </c>
      <c r="F129" s="4" t="str">
        <f>IFERROR(__xludf.DUMMYFUNCTION("GOOGLETRANSLATE(B129,""en"",""tr"")"),"Anında ödeme için")</f>
        <v>Anında ödeme için</v>
      </c>
      <c r="G129" s="4" t="str">
        <f>IFERROR(__xludf.DUMMYFUNCTION("GOOGLETRANSLATE(B129,""en"",""ru"")"),"Для мгновенной оплаты")</f>
        <v>Для мгновенной оплаты</v>
      </c>
      <c r="H129" s="4" t="str">
        <f>IFERROR(__xludf.DUMMYFUNCTION("GOOGLETRANSLATE(B129,""en"",""it"")"),"Per il pagamento immediato")</f>
        <v>Per il pagamento immediato</v>
      </c>
      <c r="I129" s="4" t="str">
        <f>IFERROR(__xludf.DUMMYFUNCTION("GOOGLETRANSLATE(B129,""en"",""de"")"),"Zur sofortigen Zahlung")</f>
        <v>Zur sofortigen Zahlung</v>
      </c>
      <c r="J129" s="4" t="str">
        <f>IFERROR(__xludf.DUMMYFUNCTION("GOOGLETRANSLATE(B129,""en"",""ko"")"),"즉시결제의 경우")</f>
        <v>즉시결제의 경우</v>
      </c>
      <c r="K129" s="4" t="str">
        <f>IFERROR(__xludf.DUMMYFUNCTION("GOOGLETRANSLATE(B129,""en"",""zh"")"),"即时付款")</f>
        <v>即时付款</v>
      </c>
      <c r="L129" s="4" t="str">
        <f>IFERROR(__xludf.DUMMYFUNCTION("GOOGLETRANSLATE(B129,""en"",""es"")"),"Para pago instantáneo")</f>
        <v>Para pago instantáneo</v>
      </c>
      <c r="M129" s="4" t="str">
        <f>IFERROR(__xludf.DUMMYFUNCTION("GOOGLETRANSLATE(B129,""en"",""iw"")"),"לתשלום מיידי")</f>
        <v>לתשלום מיידי</v>
      </c>
      <c r="N129" s="4" t="str">
        <f>IFERROR(__xludf.DUMMYFUNCTION("GOOGLETRANSLATE(B129,""en"",""bn"")"),"তাত্ক্ষণিক অর্থ প্রদানের জন্য")</f>
        <v>তাত্ক্ষণিক অর্থ প্রদানের জন্য</v>
      </c>
      <c r="O129" s="4" t="str">
        <f>IFERROR(__xludf.DUMMYFUNCTION("GOOGLETRANSLATE(B129,""en"",""pt"")"),"Para pagamento instantâneo")</f>
        <v>Para pagamento instantâneo</v>
      </c>
      <c r="P129" s="6"/>
    </row>
    <row r="130">
      <c r="A130" s="7" t="s">
        <v>381</v>
      </c>
      <c r="B130" s="3" t="s">
        <v>382</v>
      </c>
      <c r="C130" s="4" t="str">
        <f>IFERROR(__xludf.DUMMYFUNCTION("GOOGLETRANSLATE(B130,""en"",""hi"")"),"के माध्यम से भुगतान करना")</f>
        <v>के माध्यम से भुगतान करना</v>
      </c>
      <c r="D130" s="6" t="s">
        <v>383</v>
      </c>
      <c r="E130" s="4" t="str">
        <f>IFERROR(__xludf.DUMMYFUNCTION("GOOGLETRANSLATE(B130,""en"",""fr"")"),"Payer via")</f>
        <v>Payer via</v>
      </c>
      <c r="F130" s="4" t="str">
        <f>IFERROR(__xludf.DUMMYFUNCTION("GOOGLETRANSLATE(B130,""en"",""tr"")"),"Ödeme yöntemi")</f>
        <v>Ödeme yöntemi</v>
      </c>
      <c r="G130" s="4" t="str">
        <f>IFERROR(__xludf.DUMMYFUNCTION("GOOGLETRANSLATE(B130,""en"",""ru"")"),"Оплата через")</f>
        <v>Оплата через</v>
      </c>
      <c r="H130" s="4" t="str">
        <f>IFERROR(__xludf.DUMMYFUNCTION("GOOGLETRANSLATE(B130,""en"",""it"")"),"Pagamento tramite")</f>
        <v>Pagamento tramite</v>
      </c>
      <c r="I130" s="4" t="str">
        <f>IFERROR(__xludf.DUMMYFUNCTION("GOOGLETRANSLATE(B130,""en"",""de"")"),"Bezahlen per")</f>
        <v>Bezahlen per</v>
      </c>
      <c r="J130" s="4" t="str">
        <f>IFERROR(__xludf.DUMMYFUNCTION("GOOGLETRANSLATE(B130,""en"",""ko"")"),"다음을 통해 결제")</f>
        <v>다음을 통해 결제</v>
      </c>
      <c r="K130" s="4" t="str">
        <f>IFERROR(__xludf.DUMMYFUNCTION("GOOGLETRANSLATE(B130,""en"",""zh"")"),"支付方式")</f>
        <v>支付方式</v>
      </c>
      <c r="L130" s="4" t="str">
        <f>IFERROR(__xludf.DUMMYFUNCTION("GOOGLETRANSLATE(B130,""en"",""es"")"),"Pagando vía")</f>
        <v>Pagando vía</v>
      </c>
      <c r="M130" s="4" t="str">
        <f>IFERROR(__xludf.DUMMYFUNCTION("GOOGLETRANSLATE(B130,""en"",""iw"")"),"משלמים באמצעות")</f>
        <v>משלמים באמצעות</v>
      </c>
      <c r="N130" s="4" t="str">
        <f>IFERROR(__xludf.DUMMYFUNCTION("GOOGLETRANSLATE(B130,""en"",""bn"")"),"এর মাধ্যমে অর্থ প্রদান")</f>
        <v>এর মাধ্যমে অর্থ প্রদান</v>
      </c>
      <c r="O130" s="4" t="str">
        <f>IFERROR(__xludf.DUMMYFUNCTION("GOOGLETRANSLATE(B130,""en"",""pt"")"),"Pagando via")</f>
        <v>Pagando via</v>
      </c>
      <c r="P130" s="6"/>
    </row>
    <row r="131">
      <c r="A131" s="7" t="s">
        <v>384</v>
      </c>
      <c r="B131" s="3" t="s">
        <v>385</v>
      </c>
      <c r="C131" s="4" t="str">
        <f>IFERROR(__xludf.DUMMYFUNCTION("GOOGLETRANSLATE(B131,""en"",""hi"")"),"प्रचार कि नियमावली दर्ज करो")</f>
        <v>प्रचार कि नियमावली दर्ज करो</v>
      </c>
      <c r="D131" s="6" t="s">
        <v>386</v>
      </c>
      <c r="E131" s="4" t="str">
        <f>IFERROR(__xludf.DUMMYFUNCTION("GOOGLETRANSLATE(B131,""en"",""fr"")"),"Saisir le code promotionnel")</f>
        <v>Saisir le code promotionnel</v>
      </c>
      <c r="F131" s="4" t="str">
        <f>IFERROR(__xludf.DUMMYFUNCTION("GOOGLETRANSLATE(B131,""en"",""tr"")"),"Promosyon kodunu girin")</f>
        <v>Promosyon kodunu girin</v>
      </c>
      <c r="G131" s="4" t="str">
        <f>IFERROR(__xludf.DUMMYFUNCTION("GOOGLETRANSLATE(B131,""en"",""ru"")"),"Введите промо-код")</f>
        <v>Введите промо-код</v>
      </c>
      <c r="H131" s="4" t="str">
        <f>IFERROR(__xludf.DUMMYFUNCTION("GOOGLETRANSLATE(B131,""en"",""it"")"),"Inserisci il codice promozionale")</f>
        <v>Inserisci il codice promozionale</v>
      </c>
      <c r="I131" s="4" t="str">
        <f>IFERROR(__xludf.DUMMYFUNCTION("GOOGLETRANSLATE(B131,""en"",""de"")"),"Geben Sie den Promo-Code ein")</f>
        <v>Geben Sie den Promo-Code ein</v>
      </c>
      <c r="J131" s="4" t="str">
        <f>IFERROR(__xludf.DUMMYFUNCTION("GOOGLETRANSLATE(B131,""en"",""ko"")"),"프로모션 코드 입력하기")</f>
        <v>프로모션 코드 입력하기</v>
      </c>
      <c r="K131" s="4" t="str">
        <f>IFERROR(__xludf.DUMMYFUNCTION("GOOGLETRANSLATE(B131,""en"",""zh"")"),"输入促销代码")</f>
        <v>输入促销代码</v>
      </c>
      <c r="L131" s="4" t="str">
        <f>IFERROR(__xludf.DUMMYFUNCTION("GOOGLETRANSLATE(B131,""en"",""es"")"),"Introduce el código de promoción")</f>
        <v>Introduce el código de promoción</v>
      </c>
      <c r="M131" s="4" t="str">
        <f>IFERROR(__xludf.DUMMYFUNCTION("GOOGLETRANSLATE(B131,""en"",""iw"")"),"הכנס את קוד הזיכוי")</f>
        <v>הכנס את קוד הזיכוי</v>
      </c>
      <c r="N131" s="4" t="str">
        <f>IFERROR(__xludf.DUMMYFUNCTION("GOOGLETRANSLATE(B131,""en"",""bn"")"),"প্রচার কোড লিখুন")</f>
        <v>প্রচার কোড লিখুন</v>
      </c>
      <c r="O131" s="4" t="str">
        <f>IFERROR(__xludf.DUMMYFUNCTION("GOOGLETRANSLATE(B131,""en"",""pt"")"),"Insira o código promocional")</f>
        <v>Insira o código promocional</v>
      </c>
      <c r="P131" s="6"/>
    </row>
    <row r="132">
      <c r="A132" s="7" t="s">
        <v>387</v>
      </c>
      <c r="B132" s="3" t="s">
        <v>388</v>
      </c>
      <c r="C132" s="4" t="str">
        <f>IFERROR(__xludf.DUMMYFUNCTION("GOOGLETRANSLATE(B132,""en"",""hi"")"),"निकालना")</f>
        <v>निकालना</v>
      </c>
      <c r="D132" s="6" t="s">
        <v>389</v>
      </c>
      <c r="E132" s="4" t="str">
        <f>IFERROR(__xludf.DUMMYFUNCTION("GOOGLETRANSLATE(B132,""en"",""fr"")"),"Retirer")</f>
        <v>Retirer</v>
      </c>
      <c r="F132" s="4" t="str">
        <f>IFERROR(__xludf.DUMMYFUNCTION("GOOGLETRANSLATE(B132,""en"",""tr"")"),"Kaldırmak")</f>
        <v>Kaldırmak</v>
      </c>
      <c r="G132" s="4" t="str">
        <f>IFERROR(__xludf.DUMMYFUNCTION("GOOGLETRANSLATE(B132,""en"",""ru"")"),"Удалять")</f>
        <v>Удалять</v>
      </c>
      <c r="H132" s="4" t="str">
        <f>IFERROR(__xludf.DUMMYFUNCTION("GOOGLETRANSLATE(B132,""en"",""it"")"),"Rimuovere")</f>
        <v>Rimuovere</v>
      </c>
      <c r="I132" s="4" t="str">
        <f>IFERROR(__xludf.DUMMYFUNCTION("GOOGLETRANSLATE(B132,""en"",""de"")"),"Entfernen")</f>
        <v>Entfernen</v>
      </c>
      <c r="J132" s="4" t="str">
        <f>IFERROR(__xludf.DUMMYFUNCTION("GOOGLETRANSLATE(B132,""en"",""ko"")"),"제거하다")</f>
        <v>제거하다</v>
      </c>
      <c r="K132" s="4" t="str">
        <f>IFERROR(__xludf.DUMMYFUNCTION("GOOGLETRANSLATE(B132,""en"",""zh"")"),"消除")</f>
        <v>消除</v>
      </c>
      <c r="L132" s="4" t="str">
        <f>IFERROR(__xludf.DUMMYFUNCTION("GOOGLETRANSLATE(B132,""en"",""es"")"),"Eliminar")</f>
        <v>Eliminar</v>
      </c>
      <c r="M132" s="4" t="str">
        <f>IFERROR(__xludf.DUMMYFUNCTION("GOOGLETRANSLATE(B132,""en"",""iw"")"),"לְהַסִיר")</f>
        <v>לְהַסִיר</v>
      </c>
      <c r="N132" s="4" t="str">
        <f>IFERROR(__xludf.DUMMYFUNCTION("GOOGLETRANSLATE(B132,""en"",""bn"")"),"অপসারণ")</f>
        <v>অপসারণ</v>
      </c>
      <c r="O132" s="4" t="str">
        <f>IFERROR(__xludf.DUMMYFUNCTION("GOOGLETRANSLATE(B132,""en"",""pt"")"),"Remover")</f>
        <v>Remover</v>
      </c>
      <c r="P132" s="6"/>
    </row>
    <row r="133">
      <c r="A133" s="7" t="s">
        <v>390</v>
      </c>
      <c r="B133" s="3" t="s">
        <v>391</v>
      </c>
      <c r="C133" s="4" t="str">
        <f>IFERROR(__xludf.DUMMYFUNCTION("GOOGLETRANSLATE(B133,""en"",""hi"")"),"संपादन करना")</f>
        <v>संपादन करना</v>
      </c>
      <c r="D133" s="6" t="s">
        <v>392</v>
      </c>
      <c r="E133" s="4" t="str">
        <f>IFERROR(__xludf.DUMMYFUNCTION("GOOGLETRANSLATE(B133,""en"",""fr"")"),"Modifier")</f>
        <v>Modifier</v>
      </c>
      <c r="F133" s="4" t="str">
        <f>IFERROR(__xludf.DUMMYFUNCTION("GOOGLETRANSLATE(B133,""en"",""tr"")"),"Düzenlemek")</f>
        <v>Düzenlemek</v>
      </c>
      <c r="G133" s="4" t="str">
        <f>IFERROR(__xludf.DUMMYFUNCTION("GOOGLETRANSLATE(B133,""en"",""ru"")"),"Редактировать")</f>
        <v>Редактировать</v>
      </c>
      <c r="H133" s="4" t="str">
        <f>IFERROR(__xludf.DUMMYFUNCTION("GOOGLETRANSLATE(B133,""en"",""it"")"),"Modificare")</f>
        <v>Modificare</v>
      </c>
      <c r="I133" s="4" t="str">
        <f>IFERROR(__xludf.DUMMYFUNCTION("GOOGLETRANSLATE(B133,""en"",""de"")"),"Bearbeiten")</f>
        <v>Bearbeiten</v>
      </c>
      <c r="J133" s="4" t="str">
        <f>IFERROR(__xludf.DUMMYFUNCTION("GOOGLETRANSLATE(B133,""en"",""ko"")"),"편집하다")</f>
        <v>편집하다</v>
      </c>
      <c r="K133" s="4" t="str">
        <f>IFERROR(__xludf.DUMMYFUNCTION("GOOGLETRANSLATE(B133,""en"",""zh"")"),"编辑")</f>
        <v>编辑</v>
      </c>
      <c r="L133" s="4" t="str">
        <f>IFERROR(__xludf.DUMMYFUNCTION("GOOGLETRANSLATE(B133,""en"",""es"")"),"Editar")</f>
        <v>Editar</v>
      </c>
      <c r="M133" s="4" t="str">
        <f>IFERROR(__xludf.DUMMYFUNCTION("GOOGLETRANSLATE(B133,""en"",""iw"")"),"לַעֲרוֹך")</f>
        <v>לַעֲרוֹך</v>
      </c>
      <c r="N133" s="4" t="str">
        <f>IFERROR(__xludf.DUMMYFUNCTION("GOOGLETRANSLATE(B133,""en"",""bn"")"),"সম্পাদনা করুন")</f>
        <v>সম্পাদনা করুন</v>
      </c>
      <c r="O133" s="4" t="str">
        <f>IFERROR(__xludf.DUMMYFUNCTION("GOOGLETRANSLATE(B133,""en"",""pt"")"),"Editar")</f>
        <v>Editar</v>
      </c>
      <c r="P133" s="6"/>
    </row>
    <row r="134">
      <c r="A134" s="7" t="s">
        <v>393</v>
      </c>
      <c r="B134" s="3" t="s">
        <v>394</v>
      </c>
      <c r="C134" s="4" t="str">
        <f>IFERROR(__xludf.DUMMYFUNCTION("GOOGLETRANSLATE(B134,""en"",""hi"")")," कूपन लागू")</f>
        <v> कूपन लागू</v>
      </c>
      <c r="D134" s="6" t="s">
        <v>395</v>
      </c>
      <c r="E134" s="4" t="str">
        <f>IFERROR(__xludf.DUMMYFUNCTION("GOOGLETRANSLATE(B134,""en"",""fr"")")," Coupon appliqué")</f>
        <v> Coupon appliqué</v>
      </c>
      <c r="F134" s="4" t="str">
        <f>IFERROR(__xludf.DUMMYFUNCTION("GOOGLETRANSLATE(B134,""en"",""tr"")")," Kupon Uygulandı")</f>
        <v> Kupon Uygulandı</v>
      </c>
      <c r="G134" s="4" t="str">
        <f>IFERROR(__xludf.DUMMYFUNCTION("GOOGLETRANSLATE(B134,""en"",""ru"")")," Купон применен")</f>
        <v> Купон применен</v>
      </c>
      <c r="H134" s="4" t="str">
        <f>IFERROR(__xludf.DUMMYFUNCTION("GOOGLETRANSLATE(B134,""en"",""it"")")," Coupon applicato")</f>
        <v> Coupon applicato</v>
      </c>
      <c r="I134" s="4" t="str">
        <f>IFERROR(__xludf.DUMMYFUNCTION("GOOGLETRANSLATE(B134,""en"",""de"")")," Gutschein angewendet")</f>
        <v> Gutschein angewendet</v>
      </c>
      <c r="J134" s="4" t="str">
        <f>IFERROR(__xludf.DUMMYFUNCTION("GOOGLETRANSLATE(B134,""en"",""ko"")")," 쿠폰이 적용되었습니다")</f>
        <v> 쿠폰이 적용되었습니다</v>
      </c>
      <c r="K134" s="4" t="str">
        <f>IFERROR(__xludf.DUMMYFUNCTION("GOOGLETRANSLATE(B134,""en"",""zh"")")," 优惠券已应用")</f>
        <v> 优惠券已应用</v>
      </c>
      <c r="L134" s="4" t="str">
        <f>IFERROR(__xludf.DUMMYFUNCTION("GOOGLETRANSLATE(B134,""en"",""es"")")," Cupón aplicado")</f>
        <v> Cupón aplicado</v>
      </c>
      <c r="M134" s="4" t="str">
        <f>IFERROR(__xludf.DUMMYFUNCTION("GOOGLETRANSLATE(B134,""en"",""iw"")")," הוחל קופון")</f>
        <v> הוחל קופון</v>
      </c>
      <c r="N134" s="4" t="str">
        <f>IFERROR(__xludf.DUMMYFUNCTION("GOOGLETRANSLATE(B134,""en"",""bn"")")," কুপন প্রয়োগ করা হয়েছে")</f>
        <v> কুপন প্রয়োগ করা হয়েছে</v>
      </c>
      <c r="O134" s="4" t="str">
        <f>IFERROR(__xludf.DUMMYFUNCTION("GOOGLETRANSLATE(B134,""en"",""pt"")")," Cupom aplicado")</f>
        <v> Cupom aplicado</v>
      </c>
      <c r="P134" s="6"/>
    </row>
    <row r="135">
      <c r="A135" s="7" t="s">
        <v>396</v>
      </c>
      <c r="B135" s="3" t="s">
        <v>397</v>
      </c>
      <c r="C135" s="4" t="str">
        <f>IFERROR(__xludf.DUMMYFUNCTION("GOOGLETRANSLATE(B135,""en"",""hi"")"),"अमान्य कूपन कोड")</f>
        <v>अमान्य कूपन कोड</v>
      </c>
      <c r="D135" s="6" t="s">
        <v>398</v>
      </c>
      <c r="E135" s="4" t="str">
        <f>IFERROR(__xludf.DUMMYFUNCTION("GOOGLETRANSLATE(B135,""en"",""fr"")"),"Code de Coupon Invalide")</f>
        <v>Code de Coupon Invalide</v>
      </c>
      <c r="F135" s="4" t="str">
        <f>IFERROR(__xludf.DUMMYFUNCTION("GOOGLETRANSLATE(B135,""en"",""tr"")"),"Geçersiz Kupon Kodu")</f>
        <v>Geçersiz Kupon Kodu</v>
      </c>
      <c r="G135" s="4" t="str">
        <f>IFERROR(__xludf.DUMMYFUNCTION("GOOGLETRANSLATE(B135,""en"",""ru"")"),"Неверный код купона")</f>
        <v>Неверный код купона</v>
      </c>
      <c r="H135" s="4" t="str">
        <f>IFERROR(__xludf.DUMMYFUNCTION("GOOGLETRANSLATE(B135,""en"",""it"")"),"Codice del coupon non valido")</f>
        <v>Codice del coupon non valido</v>
      </c>
      <c r="I135" s="4" t="str">
        <f>IFERROR(__xludf.DUMMYFUNCTION("GOOGLETRANSLATE(B135,""en"",""de"")"),"Ungültiger Gutscheincode")</f>
        <v>Ungültiger Gutscheincode</v>
      </c>
      <c r="J135" s="4" t="str">
        <f>IFERROR(__xludf.DUMMYFUNCTION("GOOGLETRANSLATE(B135,""en"",""ko"")"),"잘못된 쿠폰 코드")</f>
        <v>잘못된 쿠폰 코드</v>
      </c>
      <c r="K135" s="4" t="str">
        <f>IFERROR(__xludf.DUMMYFUNCTION("GOOGLETRANSLATE(B135,""en"",""zh"")"),"优惠券代码无效")</f>
        <v>优惠券代码无效</v>
      </c>
      <c r="L135" s="4" t="str">
        <f>IFERROR(__xludf.DUMMYFUNCTION("GOOGLETRANSLATE(B135,""en"",""es"")"),"Código de cupón inválido")</f>
        <v>Código de cupón inválido</v>
      </c>
      <c r="M135" s="4" t="str">
        <f>IFERROR(__xludf.DUMMYFUNCTION("GOOGLETRANSLATE(B135,""en"",""iw"")"),"קוד קופון לא חוקי")</f>
        <v>קוד קופון לא חוקי</v>
      </c>
      <c r="N135" s="4" t="str">
        <f>IFERROR(__xludf.DUMMYFUNCTION("GOOGLETRANSLATE(B135,""en"",""bn"")"),"অকার্যকর কুপন কোড")</f>
        <v>অকার্যকর কুপন কোড</v>
      </c>
      <c r="O135" s="4" t="str">
        <f>IFERROR(__xludf.DUMMYFUNCTION("GOOGLETRANSLATE(B135,""en"",""pt"")"),"Código de cupom inválido")</f>
        <v>Código de cupom inválido</v>
      </c>
      <c r="P135" s="6"/>
    </row>
    <row r="136">
      <c r="A136" s="7" t="s">
        <v>399</v>
      </c>
      <c r="B136" s="3" t="s">
        <v>400</v>
      </c>
      <c r="C136" s="4" t="str">
        <f>IFERROR(__xludf.DUMMYFUNCTION("GOOGLETRANSLATE(B136,""en"",""hi"")"),"आसपास के ड्राइवरों की तलाश की जा रही है")</f>
        <v>आसपास के ड्राइवरों की तलाश की जा रही है</v>
      </c>
      <c r="D136" s="6" t="s">
        <v>401</v>
      </c>
      <c r="E136" s="4" t="str">
        <f>IFERROR(__xludf.DUMMYFUNCTION("GOOGLETRANSLATE(B136,""en"",""fr"")"),"Recherche de chauffeurs à proximité")</f>
        <v>Recherche de chauffeurs à proximité</v>
      </c>
      <c r="F136" s="4" t="str">
        <f>IFERROR(__xludf.DUMMYFUNCTION("GOOGLETRANSLATE(B136,""en"",""tr"")"),"Yakındaki sürücüleri arıyorum")</f>
        <v>Yakındaki sürücüleri arıyorum</v>
      </c>
      <c r="G136" s="4" t="str">
        <f>IFERROR(__xludf.DUMMYFUNCTION("GOOGLETRANSLATE(B136,""en"",""ru"")"),"Ищем водителей поблизости")</f>
        <v>Ищем водителей поблизости</v>
      </c>
      <c r="H136" s="4" t="str">
        <f>IFERROR(__xludf.DUMMYFUNCTION("GOOGLETRANSLATE(B136,""en"",""it"")"),"Cerco autisti nelle vicinanze")</f>
        <v>Cerco autisti nelle vicinanze</v>
      </c>
      <c r="I136" s="4" t="str">
        <f>IFERROR(__xludf.DUMMYFUNCTION("GOOGLETRANSLATE(B136,""en"",""de"")"),"Suche nach Fahrern in der Nähe")</f>
        <v>Suche nach Fahrern in der Nähe</v>
      </c>
      <c r="J136" s="4" t="str">
        <f>IFERROR(__xludf.DUMMYFUNCTION("GOOGLETRANSLATE(B136,""en"",""ko"")"),"근처 드라이버를 찾고 있어요")</f>
        <v>근처 드라이버를 찾고 있어요</v>
      </c>
      <c r="K136" s="4" t="str">
        <f>IFERROR(__xludf.DUMMYFUNCTION("GOOGLETRANSLATE(B136,""en"",""zh"")"),"寻找附近的司机")</f>
        <v>寻找附近的司机</v>
      </c>
      <c r="L136" s="4" t="str">
        <f>IFERROR(__xludf.DUMMYFUNCTION("GOOGLETRANSLATE(B136,""en"",""es"")"),"Buscando conductores cercanos")</f>
        <v>Buscando conductores cercanos</v>
      </c>
      <c r="M136" s="4" t="str">
        <f>IFERROR(__xludf.DUMMYFUNCTION("GOOGLETRANSLATE(B136,""en"",""iw"")"),"מחפש נהגים קרובים")</f>
        <v>מחפש נהגים קרובים</v>
      </c>
      <c r="N136" s="4" t="str">
        <f>IFERROR(__xludf.DUMMYFUNCTION("GOOGLETRANSLATE(B136,""en"",""bn"")"),"কাছাকাছি ড্রাইভার খুঁজছেন")</f>
        <v>কাছাকাছি ড্রাইভার খুঁজছেন</v>
      </c>
      <c r="O136" s="4" t="str">
        <f>IFERROR(__xludf.DUMMYFUNCTION("GOOGLETRANSLATE(B136,""en"",""pt"")"),"Procurando motoristas próximos")</f>
        <v>Procurando motoristas próximos</v>
      </c>
      <c r="P136" s="6"/>
    </row>
    <row r="137">
      <c r="A137" s="7" t="s">
        <v>402</v>
      </c>
      <c r="B137" s="3" t="s">
        <v>403</v>
      </c>
      <c r="C137" s="4" t="str">
        <f>IFERROR(__xludf.DUMMYFUNCTION("GOOGLETRANSLATE(B137,""en"",""hi"")"),"हम आपकी सवारी स्वीकार करने के लिए नजदीकी ड्राइवर की तलाश कर रहे हैं। एक बार स्वीकृत होने पर आप हमारे साथ यात्रा कर सकते हैं! हम आपके धैर्य की सराहना करते हैं!")</f>
        <v>हम आपकी सवारी स्वीकार करने के लिए नजदीकी ड्राइवर की तलाश कर रहे हैं। एक बार स्वीकृत होने पर आप हमारे साथ यात्रा कर सकते हैं! हम आपके धैर्य की सराहना करते हैं!</v>
      </c>
      <c r="D137" s="4" t="str">
        <f>IFERROR(__xludf.DUMMYFUNCTION("GOOGLETRANSLATE(B137,""en"",""ar"")"),"نحن نبحث عن سائق قريب لقبول رحلتك. بمجرد قبولك، يمكنك الركوب معنا! نحن نقدر صبرك!")</f>
        <v>نحن نبحث عن سائق قريب لقبول رحلتك. بمجرد قبولك، يمكنك الركوب معنا! نحن نقدر صبرك!</v>
      </c>
      <c r="E137" s="4" t="str">
        <f>IFERROR(__xludf.DUMMYFUNCTION("GOOGLETRANSLATE(B137,""en"",""fr"")"),"Nous recherchons un chauffeur à proximité pour accepter votre trajet. Une fois accepté, vous pouvez rouler avec nous ! Nous apprécions votre patience!")</f>
        <v>Nous recherchons un chauffeur à proximité pour accepter votre trajet. Une fois accepté, vous pouvez rouler avec nous ! Nous apprécions votre patience!</v>
      </c>
      <c r="F137" s="4" t="str">
        <f>IFERROR(__xludf.DUMMYFUNCTION("GOOGLETRANSLATE(B137,""en"",""tr"")"),"Sürüşünüzü Kabul Edecek Yakınınızdaki Sürücüyü Arıyoruz. Kabul Edildikten Sonra Bizimle Seyahat Edebilirsiniz! Sabrınızı Takdir Ediyoruz!")</f>
        <v>Sürüşünüzü Kabul Edecek Yakınınızdaki Sürücüyü Arıyoruz. Kabul Edildikten Sonra Bizimle Seyahat Edebilirsiniz! Sabrınızı Takdir Ediyoruz!</v>
      </c>
      <c r="G137" s="4" t="str">
        <f>IFERROR(__xludf.DUMMYFUNCTION("GOOGLETRANSLATE(B137,""en"",""ru"")"),"Мы ищем поблизости водителя, который примет вашу поездку. После принятия вы можете поехать с нами! Мы ценим Ваше терпение!")</f>
        <v>Мы ищем поблизости водителя, который примет вашу поездку. После принятия вы можете поехать с нами! Мы ценим Ваше терпение!</v>
      </c>
      <c r="H137" s="4" t="str">
        <f>IFERROR(__xludf.DUMMYFUNCTION("GOOGLETRANSLATE(B137,""en"",""it"")"),"Stiamo cercando un autista nelle vicinanze per accettare la tua corsa. Una volta accettato potrai viaggiare con noi! Apprezziamo la tua pazienza!")</f>
        <v>Stiamo cercando un autista nelle vicinanze per accettare la tua corsa. Una volta accettato potrai viaggiare con noi! Apprezziamo la tua pazienza!</v>
      </c>
      <c r="I137" s="4" t="str">
        <f>IFERROR(__xludf.DUMMYFUNCTION("GOOGLETRANSLATE(B137,""en"",""de"")"),"Wir suchen einen Fahrer in der Nähe, der Ihre Fahrt annimmt. Nach der Annahme können Sie mit uns fahren! Wir wissen Ihre Geduld zu schätzen!")</f>
        <v>Wir suchen einen Fahrer in der Nähe, der Ihre Fahrt annimmt. Nach der Annahme können Sie mit uns fahren! Wir wissen Ihre Geduld zu schätzen!</v>
      </c>
      <c r="J137" s="4" t="str">
        <f>IFERROR(__xludf.DUMMYFUNCTION("GOOGLETRANSLATE(B137,""en"",""ko"")"),"귀하의 차량 서비스를 받아줄 인근 운전기사를 찾고 있습니다. 수락하시면 저희와 함께 탑승하실 수 있습니다! 여러분의 인내심에 감사드립니다!")</f>
        <v>귀하의 차량 서비스를 받아줄 인근 운전기사를 찾고 있습니다. 수락하시면 저희와 함께 탑승하실 수 있습니다! 여러분의 인내심에 감사드립니다!</v>
      </c>
      <c r="K137" s="4" t="str">
        <f>IFERROR(__xludf.DUMMYFUNCTION("GOOGLETRANSLATE(B137,""en"",""zh"")"),"我们正在寻找附近的司机来接您的行程。一旦接受，您就可以与我们一起骑行！我们感谢您的耐心！")</f>
        <v>我们正在寻找附近的司机来接您的行程。一旦接受，您就可以与我们一起骑行！我们感谢您的耐心！</v>
      </c>
      <c r="L137" s="4" t="str">
        <f>IFERROR(__xludf.DUMMYFUNCTION("GOOGLETRANSLATE(B137,""en"",""es"")"),"Estamos buscando un conductor cercano que acepte su viaje. Una vez aceptado, ¡puedes viajar con nosotros! ¡Nosotros apreciamos su paciencia!")</f>
        <v>Estamos buscando un conductor cercano que acepte su viaje. Una vez aceptado, ¡puedes viajar con nosotros! ¡Nosotros apreciamos su paciencia!</v>
      </c>
      <c r="M137" s="4" t="str">
        <f>IFERROR(__xludf.DUMMYFUNCTION("GOOGLETRANSLATE(B137,""en"",""iw"")"),"אנו מחפשים נהג קרוב שיסכים לנסיעה שלך. לאחר שהתקבלה אתה יכול לרכוב איתנו! אנחנו מעריכים את הסבלנות שלך!")</f>
        <v>אנו מחפשים נהג קרוב שיסכים לנסיעה שלך. לאחר שהתקבלה אתה יכול לרכוב איתנו! אנחנו מעריכים את הסבלנות שלך!</v>
      </c>
      <c r="N137" s="4" t="str">
        <f>IFERROR(__xludf.DUMMYFUNCTION("GOOGLETRANSLATE(B137,""en"",""bn"")"),"আমরা আপনার রাইড গ্রহণ করার জন্য কাছাকাছি ড্রাইভার খুঁজছি। একবার গৃহীত হলে আপনি আমাদের সাথে রাইড করতে পারেন! আপনার ধৈর্যের প্রশংসা করি আমরা!")</f>
        <v>আমরা আপনার রাইড গ্রহণ করার জন্য কাছাকাছি ড্রাইভার খুঁজছি। একবার গৃহীত হলে আপনি আমাদের সাথে রাইড করতে পারেন! আপনার ধৈর্যের প্রশংসা করি আমরা!</v>
      </c>
      <c r="O137" s="4" t="str">
        <f>IFERROR(__xludf.DUMMYFUNCTION("GOOGLETRANSLATE(B137,""en"",""pt"")"),"Estamos procurando um motorista próximo para aceitar sua viagem. Uma vez aceito, você pode viajar conosco! Nós apreciamos sua paciência!")</f>
        <v>Estamos procurando um motorista próximo para aceitar sua viagem. Uma vez aceito, você pode viajar conosco! Nós apreciamos sua paciência!</v>
      </c>
      <c r="P137" s="6"/>
    </row>
    <row r="138">
      <c r="A138" s="7" t="s">
        <v>404</v>
      </c>
      <c r="B138" s="3" t="s">
        <v>405</v>
      </c>
      <c r="C138" s="4" t="str">
        <f>IFERROR(__xludf.DUMMYFUNCTION("GOOGLETRANSLATE(B138,""en"",""hi"")"),"उठाने के लिए कोई निर्देश")</f>
        <v>उठाने के लिए कोई निर्देश</v>
      </c>
      <c r="D138" s="6" t="s">
        <v>406</v>
      </c>
      <c r="E138" s="4" t="str">
        <f>IFERROR(__xludf.DUMMYFUNCTION("GOOGLETRANSLATE(B138,""en"",""fr"")"),"Toutes les instructions pour le ramassage")</f>
        <v>Toutes les instructions pour le ramassage</v>
      </c>
      <c r="F138" s="4" t="str">
        <f>IFERROR(__xludf.DUMMYFUNCTION("GOOGLETRANSLATE(B138,""en"",""tr"")"),"Teslim alma için herhangi bir talimat")</f>
        <v>Teslim alma için herhangi bir talimat</v>
      </c>
      <c r="G138" s="4" t="str">
        <f>IFERROR(__xludf.DUMMYFUNCTION("GOOGLETRANSLATE(B138,""en"",""ru"")"),"Любые инструкции по самовывозу")</f>
        <v>Любые инструкции по самовывозу</v>
      </c>
      <c r="H138" s="4" t="str">
        <f>IFERROR(__xludf.DUMMYFUNCTION("GOOGLETRANSLATE(B138,""en"",""it"")"),"Eventuali istruzioni per il ritiro")</f>
        <v>Eventuali istruzioni per il ritiro</v>
      </c>
      <c r="I138" s="4" t="str">
        <f>IFERROR(__xludf.DUMMYFUNCTION("GOOGLETRANSLATE(B138,""en"",""de"")"),"Alle Anweisungen zur Abholung")</f>
        <v>Alle Anweisungen zur Abholung</v>
      </c>
      <c r="J138" s="4" t="str">
        <f>IFERROR(__xludf.DUMMYFUNCTION("GOOGLETRANSLATE(B138,""en"",""ko"")"),"픽업에 대한 모든 지침")</f>
        <v>픽업에 대한 모든 지침</v>
      </c>
      <c r="K138" s="4" t="str">
        <f>IFERROR(__xludf.DUMMYFUNCTION("GOOGLETRANSLATE(B138,""en"",""zh"")"),"任何取货说明")</f>
        <v>任何取货说明</v>
      </c>
      <c r="L138" s="4" t="str">
        <f>IFERROR(__xludf.DUMMYFUNCTION("GOOGLETRANSLATE(B138,""en"",""es"")"),"Cualquier instrucción para recoger")</f>
        <v>Cualquier instrucción para recoger</v>
      </c>
      <c r="M138" s="4" t="str">
        <f>IFERROR(__xludf.DUMMYFUNCTION("GOOGLETRANSLATE(B138,""en"",""iw"")"),"כל הוראות לאיסוף")</f>
        <v>כל הוראות לאיסוף</v>
      </c>
      <c r="N138" s="4" t="str">
        <f>IFERROR(__xludf.DUMMYFUNCTION("GOOGLETRANSLATE(B138,""en"",""bn"")"),"পিক আপ জন্য কোন নির্দেশাবলী")</f>
        <v>পিক আপ জন্য কোন নির্দেশাবলী</v>
      </c>
      <c r="O138" s="4" t="str">
        <f>IFERROR(__xludf.DUMMYFUNCTION("GOOGLETRANSLATE(B138,""en"",""pt"")"),"Quaisquer instruções para retirada")</f>
        <v>Quaisquer instruções para retirada</v>
      </c>
      <c r="P138" s="6"/>
    </row>
    <row r="139">
      <c r="A139" s="7" t="s">
        <v>407</v>
      </c>
      <c r="B139" s="3" t="s">
        <v>408</v>
      </c>
      <c r="C139" s="4" t="str">
        <f>IFERROR(__xludf.DUMMYFUNCTION("GOOGLETRANSLATE(B139,""en"",""hi"")"),"सवारी साझा करें")</f>
        <v>सवारी साझा करें</v>
      </c>
      <c r="D139" s="6" t="s">
        <v>409</v>
      </c>
      <c r="E139" s="4" t="str">
        <f>IFERROR(__xludf.DUMMYFUNCTION("GOOGLETRANSLATE(B139,""en"",""fr"")"),"Partager le trajet")</f>
        <v>Partager le trajet</v>
      </c>
      <c r="F139" s="4" t="str">
        <f>IFERROR(__xludf.DUMMYFUNCTION("GOOGLETRANSLATE(B139,""en"",""tr"")"),"Sürüşü Paylaş")</f>
        <v>Sürüşü Paylaş</v>
      </c>
      <c r="G139" s="4" t="str">
        <f>IFERROR(__xludf.DUMMYFUNCTION("GOOGLETRANSLATE(B139,""en"",""ru"")"),"Поделиться поездкой")</f>
        <v>Поделиться поездкой</v>
      </c>
      <c r="H139" s="4" t="str">
        <f>IFERROR(__xludf.DUMMYFUNCTION("GOOGLETRANSLATE(B139,""en"",""it"")"),"Condividi giro")</f>
        <v>Condividi giro</v>
      </c>
      <c r="I139" s="4" t="str">
        <f>IFERROR(__xludf.DUMMYFUNCTION("GOOGLETRANSLATE(B139,""en"",""de"")"),"Fahrt teilen")</f>
        <v>Fahrt teilen</v>
      </c>
      <c r="J139" s="4" t="str">
        <f>IFERROR(__xludf.DUMMYFUNCTION("GOOGLETRANSLATE(B139,""en"",""ko"")"),"공유 라이드")</f>
        <v>공유 라이드</v>
      </c>
      <c r="K139" s="4" t="str">
        <f>IFERROR(__xludf.DUMMYFUNCTION("GOOGLETRANSLATE(B139,""en"",""zh"")"),"共乘")</f>
        <v>共乘</v>
      </c>
      <c r="L139" s="4" t="str">
        <f>IFERROR(__xludf.DUMMYFUNCTION("GOOGLETRANSLATE(B139,""en"",""es"")"),"Compartir viaje")</f>
        <v>Compartir viaje</v>
      </c>
      <c r="M139" s="4" t="str">
        <f>IFERROR(__xludf.DUMMYFUNCTION("GOOGLETRANSLATE(B139,""en"",""iw"")"),"שתף נסיעה")</f>
        <v>שתף נסיעה</v>
      </c>
      <c r="N139" s="4" t="str">
        <f>IFERROR(__xludf.DUMMYFUNCTION("GOOGLETRANSLATE(B139,""en"",""bn"")"),"শেয়ার রাইড")</f>
        <v>শেয়ার রাইড</v>
      </c>
      <c r="O139" s="4" t="str">
        <f>IFERROR(__xludf.DUMMYFUNCTION("GOOGLETRANSLATE(B139,""en"",""pt"")"),"Compartilhar passeio")</f>
        <v>Compartilhar passeio</v>
      </c>
      <c r="P139" s="4"/>
    </row>
    <row r="140">
      <c r="A140" s="7" t="s">
        <v>410</v>
      </c>
      <c r="B140" s="3" t="s">
        <v>411</v>
      </c>
      <c r="C140" s="4" t="str">
        <f>IFERROR(__xludf.DUMMYFUNCTION("GOOGLETRANSLATE(B140,""en"",""hi"")"),"क्या आप निश्चित रूप से यात्रा रद्द कर रहे हैं?")</f>
        <v>क्या आप निश्चित रूप से यात्रा रद्द कर रहे हैं?</v>
      </c>
      <c r="D140" s="6" t="s">
        <v>412</v>
      </c>
      <c r="E140" s="4" t="str">
        <f>IFERROR(__xludf.DUMMYFUNCTION("GOOGLETRANSLATE(B140,""en"",""fr"")"),"Êtes-vous sûr d'annuler le trajet ?")</f>
        <v>Êtes-vous sûr d'annuler le trajet ?</v>
      </c>
      <c r="F140" s="4" t="str">
        <f>IFERROR(__xludf.DUMMYFUNCTION("GOOGLETRANSLATE(B140,""en"",""tr"")"),"Yolculuğu iptal edeceğinizden emin misiniz?")</f>
        <v>Yolculuğu iptal edeceğinizden emin misiniz?</v>
      </c>
      <c r="G140" s="4" t="str">
        <f>IFERROR(__xludf.DUMMYFUNCTION("GOOGLETRANSLATE(B140,""en"",""ru"")"),"Вы уверены, что отмените поездку?")</f>
        <v>Вы уверены, что отмените поездку?</v>
      </c>
      <c r="H140" s="4" t="str">
        <f>IFERROR(__xludf.DUMMYFUNCTION("GOOGLETRANSLATE(B140,""en"",""it"")"),"Sei sicuro di annullare la corsa?")</f>
        <v>Sei sicuro di annullare la corsa?</v>
      </c>
      <c r="I140" s="4" t="str">
        <f>IFERROR(__xludf.DUMMYFUNCTION("GOOGLETRANSLATE(B140,""en"",""de"")"),"Möchten Sie die Fahrt wirklich stornieren?")</f>
        <v>Möchten Sie die Fahrt wirklich stornieren?</v>
      </c>
      <c r="J140" s="4" t="str">
        <f>IFERROR(__xludf.DUMMYFUNCTION("GOOGLETRANSLATE(B140,""en"",""ko"")"),"탑승을 취소하시겠습니까?")</f>
        <v>탑승을 취소하시겠습니까?</v>
      </c>
      <c r="K140" s="4" t="str">
        <f>IFERROR(__xludf.DUMMYFUNCTION("GOOGLETRANSLATE(B140,""en"",""zh"")"),"您确定要取消行程吗")</f>
        <v>您确定要取消行程吗</v>
      </c>
      <c r="L140" s="4" t="str">
        <f>IFERROR(__xludf.DUMMYFUNCTION("GOOGLETRANSLATE(B140,""en"",""es"")"),"¿Estás seguro de cancelar el viaje?")</f>
        <v>¿Estás seguro de cancelar el viaje?</v>
      </c>
      <c r="M140" s="4" t="str">
        <f>IFERROR(__xludf.DUMMYFUNCTION("GOOGLETRANSLATE(B140,""en"",""iw"")"),"האם אתה בטוח שתבטל את הנסיעה")</f>
        <v>האם אתה בטוח שתבטל את הנסיעה</v>
      </c>
      <c r="N140" s="4" t="str">
        <f>IFERROR(__xludf.DUMMYFUNCTION("GOOGLETRANSLATE(B140,""en"",""bn"")"),"আপনি কি রাইড বাতিল করার বিষয়ে নিশ্চিত")</f>
        <v>আপনি কি রাইড বাতিল করার বিষয়ে নিশ্চিত</v>
      </c>
      <c r="O140" s="4" t="str">
        <f>IFERROR(__xludf.DUMMYFUNCTION("GOOGLETRANSLATE(B140,""en"",""pt"")"),"Tem certeza de que deseja cancelar a viagem?")</f>
        <v>Tem certeza de que deseja cancelar a viagem?</v>
      </c>
      <c r="P140" s="6"/>
    </row>
    <row r="141">
      <c r="A141" s="7" t="s">
        <v>413</v>
      </c>
      <c r="B141" s="3" t="s">
        <v>414</v>
      </c>
      <c r="C141" s="4" t="str">
        <f>IFERROR(__xludf.DUMMYFUNCTION("GOOGLETRANSLATE(B141,""en"",""hi"")"),"आपकी सवारी रद्द कर दी जाएगी और मुख्य मेनू पर वापस आ जाएगी। इससे रद्दीकरण शुल्क लगेगा")</f>
        <v>आपकी सवारी रद्द कर दी जाएगी और मुख्य मेनू पर वापस आ जाएगी। इससे रद्दीकरण शुल्क लगेगा</v>
      </c>
      <c r="D141" s="6" t="s">
        <v>415</v>
      </c>
      <c r="E141" s="4" t="str">
        <f>IFERROR(__xludf.DUMMYFUNCTION("GOOGLETRANSLATE(B141,""en"",""fr"")"),"Votre trajet sera annulé et renvoyé au menu principal. Cela entraînera des frais d'annulation")</f>
        <v>Votre trajet sera annulé et renvoyé au menu principal. Cela entraînera des frais d'annulation</v>
      </c>
      <c r="F141" s="4" t="str">
        <f>IFERROR(__xludf.DUMMYFUNCTION("GOOGLETRANSLATE(B141,""en"",""tr"")"),"Sürüşünüz iptal edilecek ve ana menüye dönülecektir. Bu, iptal ücretine yol açacaktır")</f>
        <v>Sürüşünüz iptal edilecek ve ana menüye dönülecektir. Bu, iptal ücretine yol açacaktır</v>
      </c>
      <c r="G141" s="4" t="str">
        <f>IFERROR(__xludf.DUMMYFUNCTION("GOOGLETRANSLATE(B141,""en"",""ru"")"),"Ваша поездка будет отменена и возвращена в главное меню. Это приведет к взиманию платы за отмену")</f>
        <v>Ваша поездка будет отменена и возвращена в главное меню. Это приведет к взиманию платы за отмену</v>
      </c>
      <c r="H141" s="4" t="str">
        <f>IFERROR(__xludf.DUMMYFUNCTION("GOOGLETRANSLATE(B141,""en"",""it"")"),"La tua corsa verrà annullata e tornerà al menu principale. Ciò comporterà una penale di cancellazione")</f>
        <v>La tua corsa verrà annullata e tornerà al menu principale. Ciò comporterà una penale di cancellazione</v>
      </c>
      <c r="I141" s="4" t="str">
        <f>IFERROR(__xludf.DUMMYFUNCTION("GOOGLETRANSLATE(B141,""en"",""de"")"),"Ihre Fahrt wird storniert und zum Hauptmenü zurückgeführt. Dies führt zu einer Stornogebühr")</f>
        <v>Ihre Fahrt wird storniert und zum Hauptmenü zurückgeführt. Dies führt zu einer Stornogebühr</v>
      </c>
      <c r="J141" s="4" t="str">
        <f>IFERROR(__xludf.DUMMYFUNCTION("GOOGLETRANSLATE(B141,""en"",""ko"")"),"탑승이 취소되고 메인 메뉴로 돌아갑니다. 이로 인해 취소 수수료가 부과됩니다.")</f>
        <v>탑승이 취소되고 메인 메뉴로 돌아갑니다. 이로 인해 취소 수수료가 부과됩니다.</v>
      </c>
      <c r="K141" s="4" t="str">
        <f>IFERROR(__xludf.DUMMYFUNCTION("GOOGLETRANSLATE(B141,""en"",""zh"")"),"您的行程将被取消并返回主菜单。这将导致取消费用")</f>
        <v>您的行程将被取消并返回主菜单。这将导致取消费用</v>
      </c>
      <c r="L141" s="4" t="str">
        <f>IFERROR(__xludf.DUMMYFUNCTION("GOOGLETRANSLATE(B141,""en"",""es"")"),"Su viaje será cancelado y regresado al menú principal. Esto dará lugar a una tarifa de cancelación.")</f>
        <v>Su viaje será cancelado y regresado al menú principal. Esto dará lugar a una tarifa de cancelación.</v>
      </c>
      <c r="M141" s="4" t="str">
        <f>IFERROR(__xludf.DUMMYFUNCTION("GOOGLETRANSLATE(B141,""en"",""iw"")"),"הנסיעה שלך תבוטל ותחזור לתפריט הראשי. זה יוביל לדמי ביטול")</f>
        <v>הנסיעה שלך תבוטל ותחזור לתפריט הראשי. זה יוביל לדמי ביטול</v>
      </c>
      <c r="N141" s="4" t="str">
        <f>IFERROR(__xludf.DUMMYFUNCTION("GOOGLETRANSLATE(B141,""en"",""bn"")"),"আপনার রাইড বাতিল করা হবে এবং মূল মেনুতে ফিরে আসবে। এটি বাতিল ফি বাড়ে")</f>
        <v>আপনার রাইড বাতিল করা হবে এবং মূল মেনুতে ফিরে আসবে। এটি বাতিল ফি বাড়ে</v>
      </c>
      <c r="O141" s="4" t="str">
        <f>IFERROR(__xludf.DUMMYFUNCTION("GOOGLETRANSLATE(B141,""en"",""pt"")"),"Seu passeio será cancelado e retornará ao menu principal. Isso resultará em taxa de cancelamento")</f>
        <v>Seu passeio será cancelado e retornará ao menu principal. Isso resultará em taxa de cancelamento</v>
      </c>
      <c r="P141" s="6"/>
    </row>
    <row r="142">
      <c r="A142" s="7" t="s">
        <v>416</v>
      </c>
      <c r="B142" s="3" t="s">
        <v>417</v>
      </c>
      <c r="C142" s="4" t="str">
        <f>IFERROR(__xludf.DUMMYFUNCTION("GOOGLETRANSLATE(B142,""en"",""hi"")"),"रद्द न करें")</f>
        <v>रद्द न करें</v>
      </c>
      <c r="D142" s="6" t="s">
        <v>418</v>
      </c>
      <c r="E142" s="4" t="str">
        <f>IFERROR(__xludf.DUMMYFUNCTION("GOOGLETRANSLATE(B142,""en"",""fr"")"),"N'annulez pas")</f>
        <v>N'annulez pas</v>
      </c>
      <c r="F142" s="4" t="str">
        <f>IFERROR(__xludf.DUMMYFUNCTION("GOOGLETRANSLATE(B142,""en"",""tr"")"),"İptal Etme")</f>
        <v>İptal Etme</v>
      </c>
      <c r="G142" s="4" t="str">
        <f>IFERROR(__xludf.DUMMYFUNCTION("GOOGLETRANSLATE(B142,""en"",""ru"")"),"Не отменять")</f>
        <v>Не отменять</v>
      </c>
      <c r="H142" s="4" t="str">
        <f>IFERROR(__xludf.DUMMYFUNCTION("GOOGLETRANSLATE(B142,""en"",""it"")"),"Non annullare")</f>
        <v>Non annullare</v>
      </c>
      <c r="I142" s="4" t="str">
        <f>IFERROR(__xludf.DUMMYFUNCTION("GOOGLETRANSLATE(B142,""en"",""de"")"),"Nicht stornieren")</f>
        <v>Nicht stornieren</v>
      </c>
      <c r="J142" s="4" t="str">
        <f>IFERROR(__xludf.DUMMYFUNCTION("GOOGLETRANSLATE(B142,""en"",""ko"")"),"취소하지 마세요")</f>
        <v>취소하지 마세요</v>
      </c>
      <c r="K142" s="4" t="str">
        <f>IFERROR(__xludf.DUMMYFUNCTION("GOOGLETRANSLATE(B142,""en"",""zh"")"),"不要取消")</f>
        <v>不要取消</v>
      </c>
      <c r="L142" s="4" t="str">
        <f>IFERROR(__xludf.DUMMYFUNCTION("GOOGLETRANSLATE(B142,""en"",""es"")"),"No cancelar")</f>
        <v>No cancelar</v>
      </c>
      <c r="M142" s="4" t="str">
        <f>IFERROR(__xludf.DUMMYFUNCTION("GOOGLETRANSLATE(B142,""en"",""iw"")"),"אל תבטל")</f>
        <v>אל תבטל</v>
      </c>
      <c r="N142" s="4" t="str">
        <f>IFERROR(__xludf.DUMMYFUNCTION("GOOGLETRANSLATE(B142,""en"",""bn"")"),"বাতিল করবেন না")</f>
        <v>বাতিল করবেন না</v>
      </c>
      <c r="O142" s="4" t="str">
        <f>IFERROR(__xludf.DUMMYFUNCTION("GOOGLETRANSLATE(B142,""en"",""pt"")"),"Não cancele")</f>
        <v>Não cancele</v>
      </c>
      <c r="P142" s="6"/>
    </row>
    <row r="143">
      <c r="A143" s="7" t="s">
        <v>419</v>
      </c>
      <c r="B143" s="3" t="s">
        <v>420</v>
      </c>
      <c r="C143" s="4" t="str">
        <f>IFERROR(__xludf.DUMMYFUNCTION("GOOGLETRANSLATE(B143,""en"",""hi"")"),"सवारी रद्द करने का कारण")</f>
        <v>सवारी रद्द करने का कारण</v>
      </c>
      <c r="D143" s="6" t="s">
        <v>421</v>
      </c>
      <c r="E143" s="4" t="str">
        <f>IFERROR(__xludf.DUMMYFUNCTION("GOOGLETRANSLATE(B143,""en"",""fr"")"),"Raison de l'annulation du trajet")</f>
        <v>Raison de l'annulation du trajet</v>
      </c>
      <c r="F143" s="4" t="str">
        <f>IFERROR(__xludf.DUMMYFUNCTION("GOOGLETRANSLATE(B143,""en"",""tr"")"),"Sürüşü iptal etme nedeni")</f>
        <v>Sürüşü iptal etme nedeni</v>
      </c>
      <c r="G143" s="4" t="str">
        <f>IFERROR(__xludf.DUMMYFUNCTION("GOOGLETRANSLATE(B143,""en"",""ru"")"),"Причина отмены поездки")</f>
        <v>Причина отмены поездки</v>
      </c>
      <c r="H143" s="4" t="str">
        <f>IFERROR(__xludf.DUMMYFUNCTION("GOOGLETRANSLATE(B143,""en"",""it"")"),"Motivo dell'annullamento della corsa")</f>
        <v>Motivo dell'annullamento della corsa</v>
      </c>
      <c r="I143" s="4" t="str">
        <f>IFERROR(__xludf.DUMMYFUNCTION("GOOGLETRANSLATE(B143,""en"",""de"")"),"Grund für die Absage der Fahrt")</f>
        <v>Grund für die Absage der Fahrt</v>
      </c>
      <c r="J143" s="4" t="str">
        <f>IFERROR(__xludf.DUMMYFUNCTION("GOOGLETRANSLATE(B143,""en"",""ko"")"),"탑승 취소 이유")</f>
        <v>탑승 취소 이유</v>
      </c>
      <c r="K143" s="4" t="str">
        <f>IFERROR(__xludf.DUMMYFUNCTION("GOOGLETRANSLATE(B143,""en"",""zh"")"),"取消行程的原因")</f>
        <v>取消行程的原因</v>
      </c>
      <c r="L143" s="4" t="str">
        <f>IFERROR(__xludf.DUMMYFUNCTION("GOOGLETRANSLATE(B143,""en"",""es"")"),"Razón para cancelar el viaje")</f>
        <v>Razón para cancelar el viaje</v>
      </c>
      <c r="M143" s="4" t="str">
        <f>IFERROR(__xludf.DUMMYFUNCTION("GOOGLETRANSLATE(B143,""en"",""iw"")"),"סיבה לביטול הנסיעה")</f>
        <v>סיבה לביטול הנסיעה</v>
      </c>
      <c r="N143" s="4" t="str">
        <f>IFERROR(__xludf.DUMMYFUNCTION("GOOGLETRANSLATE(B143,""en"",""bn"")"),"রাইড বাতিল করার কারণ")</f>
        <v>রাইড বাতিল করার কারণ</v>
      </c>
      <c r="O143" s="4" t="str">
        <f>IFERROR(__xludf.DUMMYFUNCTION("GOOGLETRANSLATE(B143,""en"",""pt"")"),"Motivo do cancelamento da viagem")</f>
        <v>Motivo do cancelamento da viagem</v>
      </c>
      <c r="P143" s="6"/>
    </row>
    <row r="144">
      <c r="A144" s="7" t="s">
        <v>422</v>
      </c>
      <c r="B144" s="3" t="s">
        <v>423</v>
      </c>
      <c r="C144" s="4" t="str">
        <f>IFERROR(__xludf.DUMMYFUNCTION("GOOGLETRANSLATE(B144,""en"",""hi"")"),"कोई ड्राइवर नहीं मिला")</f>
        <v>कोई ड्राइवर नहीं मिला</v>
      </c>
      <c r="D144" s="6" t="s">
        <v>424</v>
      </c>
      <c r="E144" s="4" t="str">
        <f>IFERROR(__xludf.DUMMYFUNCTION("GOOGLETRANSLATE(B144,""en"",""fr"")"),"Aucun pilote trouvé")</f>
        <v>Aucun pilote trouvé</v>
      </c>
      <c r="F144" s="4" t="str">
        <f>IFERROR(__xludf.DUMMYFUNCTION("GOOGLETRANSLATE(B144,""en"",""tr"")"),"Sürücü bulunamadı")</f>
        <v>Sürücü bulunamadı</v>
      </c>
      <c r="G144" s="4" t="str">
        <f>IFERROR(__xludf.DUMMYFUNCTION("GOOGLETRANSLATE(B144,""en"",""ru"")"),"Драйвер не найден")</f>
        <v>Драйвер не найден</v>
      </c>
      <c r="H144" s="4" t="str">
        <f>IFERROR(__xludf.DUMMYFUNCTION("GOOGLETRANSLATE(B144,""en"",""it"")"),"Nessun driver trovato")</f>
        <v>Nessun driver trovato</v>
      </c>
      <c r="I144" s="4" t="str">
        <f>IFERROR(__xludf.DUMMYFUNCTION("GOOGLETRANSLATE(B144,""en"",""de"")"),"Kein Fahrer gefunden")</f>
        <v>Kein Fahrer gefunden</v>
      </c>
      <c r="J144" s="4" t="str">
        <f>IFERROR(__xludf.DUMMYFUNCTION("GOOGLETRANSLATE(B144,""en"",""ko"")"),"드라이버를 찾을 수 없습니다")</f>
        <v>드라이버를 찾을 수 없습니다</v>
      </c>
      <c r="K144" s="4" t="str">
        <f>IFERROR(__xludf.DUMMYFUNCTION("GOOGLETRANSLATE(B144,""en"",""zh"")"),"未找到驱动程序")</f>
        <v>未找到驱动程序</v>
      </c>
      <c r="L144" s="4" t="str">
        <f>IFERROR(__xludf.DUMMYFUNCTION("GOOGLETRANSLATE(B144,""en"",""es"")"),"No se encontró ningún controlador")</f>
        <v>No se encontró ningún controlador</v>
      </c>
      <c r="M144" s="4" t="str">
        <f>IFERROR(__xludf.DUMMYFUNCTION("GOOGLETRANSLATE(B144,""en"",""iw"")"),"לא נמצא דרייבר")</f>
        <v>לא נמצא דרייבר</v>
      </c>
      <c r="N144" s="4" t="str">
        <f>IFERROR(__xludf.DUMMYFUNCTION("GOOGLETRANSLATE(B144,""en"",""bn"")"),"কোন ড্রাইভার পাওয়া যায়নি")</f>
        <v>কোন ড্রাইভার পাওয়া যায়নি</v>
      </c>
      <c r="O144" s="4" t="str">
        <f>IFERROR(__xludf.DUMMYFUNCTION("GOOGLETRANSLATE(B144,""en"",""pt"")"),"Nenhum driver encontrado")</f>
        <v>Nenhum driver encontrado</v>
      </c>
      <c r="P144" s="6"/>
    </row>
    <row r="145">
      <c r="A145" s="7" t="s">
        <v>425</v>
      </c>
      <c r="B145" s="3" t="s">
        <v>426</v>
      </c>
      <c r="C145" s="4" t="str">
        <f>IFERROR(__xludf.DUMMYFUNCTION("GOOGLETRANSLATE(B145,""en"",""hi"")"),"पुनः प्रयास करें")</f>
        <v>पुनः प्रयास करें</v>
      </c>
      <c r="D145" s="6" t="s">
        <v>427</v>
      </c>
      <c r="E145" s="4" t="str">
        <f>IFERROR(__xludf.DUMMYFUNCTION("GOOGLETRANSLATE(B145,""en"",""fr"")"),"Essayer à nouveau")</f>
        <v>Essayer à nouveau</v>
      </c>
      <c r="F145" s="4" t="str">
        <f>IFERROR(__xludf.DUMMYFUNCTION("GOOGLETRANSLATE(B145,""en"",""tr"")"),"Tekrar deneyin")</f>
        <v>Tekrar deneyin</v>
      </c>
      <c r="G145" s="4" t="str">
        <f>IFERROR(__xludf.DUMMYFUNCTION("GOOGLETRANSLATE(B145,""en"",""ru"")"),"Попробуйте еще раз")</f>
        <v>Попробуйте еще раз</v>
      </c>
      <c r="H145" s="4" t="str">
        <f>IFERROR(__xludf.DUMMYFUNCTION("GOOGLETRANSLATE(B145,""en"",""it"")"),"Riprova")</f>
        <v>Riprova</v>
      </c>
      <c r="I145" s="4" t="str">
        <f>IFERROR(__xludf.DUMMYFUNCTION("GOOGLETRANSLATE(B145,""en"",""de"")"),"Versuchen Sie es erneut")</f>
        <v>Versuchen Sie es erneut</v>
      </c>
      <c r="J145" s="4" t="str">
        <f>IFERROR(__xludf.DUMMYFUNCTION("GOOGLETRANSLATE(B145,""en"",""ko"")"),"다시 시도하십시오")</f>
        <v>다시 시도하십시오</v>
      </c>
      <c r="K145" s="4" t="str">
        <f>IFERROR(__xludf.DUMMYFUNCTION("GOOGLETRANSLATE(B145,""en"",""zh"")"),"再试一次")</f>
        <v>再试一次</v>
      </c>
      <c r="L145" s="4" t="str">
        <f>IFERROR(__xludf.DUMMYFUNCTION("GOOGLETRANSLATE(B145,""en"",""es"")"),"Intentar otra vez")</f>
        <v>Intentar otra vez</v>
      </c>
      <c r="M145" s="4" t="str">
        <f>IFERROR(__xludf.DUMMYFUNCTION("GOOGLETRANSLATE(B145,""en"",""iw"")"),"נסה שוב")</f>
        <v>נסה שוב</v>
      </c>
      <c r="N145" s="4" t="str">
        <f>IFERROR(__xludf.DUMMYFUNCTION("GOOGLETRANSLATE(B145,""en"",""bn"")"),"আবার চেষ্টা কর")</f>
        <v>আবার চেষ্টা কর</v>
      </c>
      <c r="O145" s="4" t="str">
        <f>IFERROR(__xludf.DUMMYFUNCTION("GOOGLETRANSLATE(B145,""en"",""pt"")"),"Tente novamente")</f>
        <v>Tente novamente</v>
      </c>
      <c r="P145" s="6"/>
    </row>
    <row r="146">
      <c r="A146" s="7" t="s">
        <v>428</v>
      </c>
      <c r="B146" s="3" t="s">
        <v>429</v>
      </c>
      <c r="C146" s="4" t="str">
        <f>IFERROR(__xludf.DUMMYFUNCTION("GOOGLETRANSLATE(B146,""en"",""hi"")"),"बाद में सवारी करें")</f>
        <v>बाद में सवारी करें</v>
      </c>
      <c r="D146" s="6" t="s">
        <v>430</v>
      </c>
      <c r="E146" s="4" t="str">
        <f>IFERROR(__xludf.DUMMYFUNCTION("GOOGLETRANSLATE(B146,""en"",""fr"")"),"Rouler plus tard")</f>
        <v>Rouler plus tard</v>
      </c>
      <c r="F146" s="4" t="str">
        <f>IFERROR(__xludf.DUMMYFUNCTION("GOOGLETRANSLATE(B146,""en"",""tr"")"),"Daha Sonra Sür")</f>
        <v>Daha Sonra Sür</v>
      </c>
      <c r="G146" s="4" t="str">
        <f>IFERROR(__xludf.DUMMYFUNCTION("GOOGLETRANSLATE(B146,""en"",""ru"")"),"Поездка позже")</f>
        <v>Поездка позже</v>
      </c>
      <c r="H146" s="4" t="str">
        <f>IFERROR(__xludf.DUMMYFUNCTION("GOOGLETRANSLATE(B146,""en"",""it"")"),"Pedala più tardi")</f>
        <v>Pedala più tardi</v>
      </c>
      <c r="I146" s="4" t="str">
        <f>IFERROR(__xludf.DUMMYFUNCTION("GOOGLETRANSLATE(B146,""en"",""de"")"),"Fahren Sie später")</f>
        <v>Fahren Sie später</v>
      </c>
      <c r="J146" s="4" t="str">
        <f>IFERROR(__xludf.DUMMYFUNCTION("GOOGLETRANSLATE(B146,""en"",""ko"")"),"나중에 타고")</f>
        <v>나중에 타고</v>
      </c>
      <c r="K146" s="4" t="str">
        <f>IFERROR(__xludf.DUMMYFUNCTION("GOOGLETRANSLATE(B146,""en"",""zh"")"),"稍后再乘车")</f>
        <v>稍后再乘车</v>
      </c>
      <c r="L146" s="4" t="str">
        <f>IFERROR(__xludf.DUMMYFUNCTION("GOOGLETRANSLATE(B146,""en"",""es"")"),"Viaja más tarde")</f>
        <v>Viaja más tarde</v>
      </c>
      <c r="M146" s="4" t="str">
        <f>IFERROR(__xludf.DUMMYFUNCTION("GOOGLETRANSLATE(B146,""en"",""iw"")"),"לרכוב מאוחר יותר")</f>
        <v>לרכוב מאוחר יותר</v>
      </c>
      <c r="N146" s="4" t="str">
        <f>IFERROR(__xludf.DUMMYFUNCTION("GOOGLETRANSLATE(B146,""en"",""bn"")"),"পরে রাইড করুন")</f>
        <v>পরে রাইড করুন</v>
      </c>
      <c r="O146" s="4" t="str">
        <f>IFERROR(__xludf.DUMMYFUNCTION("GOOGLETRANSLATE(B146,""en"",""pt"")"),"Passeio mais tarde")</f>
        <v>Passeio mais tarde</v>
      </c>
      <c r="P146" s="6"/>
    </row>
    <row r="147">
      <c r="A147" s="7" t="s">
        <v>431</v>
      </c>
      <c r="B147" s="3" t="s">
        <v>432</v>
      </c>
      <c r="C147" s="4" t="str">
        <f>IFERROR(__xludf.DUMMYFUNCTION("GOOGLETRANSLATE(B147,""en"",""hi"")"),"पुस्तक की सवारी")</f>
        <v>पुस्तक की सवारी</v>
      </c>
      <c r="D147" s="6" t="s">
        <v>433</v>
      </c>
      <c r="E147" s="4" t="str">
        <f>IFERROR(__xludf.DUMMYFUNCTION("GOOGLETRANSLATE(B147,""en"",""fr"")"),"Tour de livre")</f>
        <v>Tour de livre</v>
      </c>
      <c r="F147" s="4" t="str">
        <f>IFERROR(__xludf.DUMMYFUNCTION("GOOGLETRANSLATE(B147,""en"",""tr"")"),"Kitap Gezisi")</f>
        <v>Kitap Gezisi</v>
      </c>
      <c r="G147" s="4" t="str">
        <f>IFERROR(__xludf.DUMMYFUNCTION("GOOGLETRANSLATE(B147,""en"",""ru"")"),"Забронировать поездку")</f>
        <v>Забронировать поездку</v>
      </c>
      <c r="H147" s="4" t="str">
        <f>IFERROR(__xludf.DUMMYFUNCTION("GOOGLETRANSLATE(B147,""en"",""it"")"),"Prenota Giro")</f>
        <v>Prenota Giro</v>
      </c>
      <c r="I147" s="4" t="str">
        <f>IFERROR(__xludf.DUMMYFUNCTION("GOOGLETRANSLATE(B147,""en"",""de"")"),"Fahrt buchen")</f>
        <v>Fahrt buchen</v>
      </c>
      <c r="J147" s="4" t="str">
        <f>IFERROR(__xludf.DUMMYFUNCTION("GOOGLETRANSLATE(B147,""en"",""ko"")"),"북 라이드")</f>
        <v>북 라이드</v>
      </c>
      <c r="K147" s="4" t="str">
        <f>IFERROR(__xludf.DUMMYFUNCTION("GOOGLETRANSLATE(B147,""en"",""zh"")"),"预订乘车")</f>
        <v>预订乘车</v>
      </c>
      <c r="L147" s="4" t="str">
        <f>IFERROR(__xludf.DUMMYFUNCTION("GOOGLETRANSLATE(B147,""en"",""es"")"),"Libro de paseo")</f>
        <v>Libro de paseo</v>
      </c>
      <c r="M147" s="4" t="str">
        <f>IFERROR(__xludf.DUMMYFUNCTION("GOOGLETRANSLATE(B147,""en"",""iw"")"),"ספר נסיעה")</f>
        <v>ספר נסיעה</v>
      </c>
      <c r="N147" s="4" t="str">
        <f>IFERROR(__xludf.DUMMYFUNCTION("GOOGLETRANSLATE(B147,""en"",""bn"")"),"বুক রাইড")</f>
        <v>বুক রাইড</v>
      </c>
      <c r="O147" s="4" t="str">
        <f>IFERROR(__xludf.DUMMYFUNCTION("GOOGLETRANSLATE(B147,""en"",""pt"")"),"Passeio de livro")</f>
        <v>Passeio de livro</v>
      </c>
      <c r="P147" s="6"/>
    </row>
    <row r="148">
      <c r="A148" s="7" t="s">
        <v>434</v>
      </c>
      <c r="B148" s="3" t="s">
        <v>435</v>
      </c>
      <c r="C148" s="4" t="str">
        <f>IFERROR(__xludf.DUMMYFUNCTION("GOOGLETRANSLATE(B148,""en"",""hi"")"),"घर")</f>
        <v>घर</v>
      </c>
      <c r="D148" s="6" t="s">
        <v>436</v>
      </c>
      <c r="E148" s="4" t="str">
        <f>IFERROR(__xludf.DUMMYFUNCTION("GOOGLETRANSLATE(B148,""en"",""fr"")"),"Maison")</f>
        <v>Maison</v>
      </c>
      <c r="F148" s="4" t="str">
        <f>IFERROR(__xludf.DUMMYFUNCTION("GOOGLETRANSLATE(B148,""en"",""tr"")"),"Ev")</f>
        <v>Ev</v>
      </c>
      <c r="G148" s="4" t="str">
        <f>IFERROR(__xludf.DUMMYFUNCTION("GOOGLETRANSLATE(B148,""en"",""ru"")"),"Дом")</f>
        <v>Дом</v>
      </c>
      <c r="H148" s="4" t="str">
        <f>IFERROR(__xludf.DUMMYFUNCTION("GOOGLETRANSLATE(B148,""en"",""it"")"),"Casa")</f>
        <v>Casa</v>
      </c>
      <c r="I148" s="4" t="str">
        <f>IFERROR(__xludf.DUMMYFUNCTION("GOOGLETRANSLATE(B148,""en"",""de"")"),"Heim")</f>
        <v>Heim</v>
      </c>
      <c r="J148" s="4" t="str">
        <f>IFERROR(__xludf.DUMMYFUNCTION("GOOGLETRANSLATE(B148,""en"",""ko"")"),"집")</f>
        <v>집</v>
      </c>
      <c r="K148" s="4" t="str">
        <f>IFERROR(__xludf.DUMMYFUNCTION("GOOGLETRANSLATE(B148,""en"",""zh"")"),"家")</f>
        <v>家</v>
      </c>
      <c r="L148" s="4" t="str">
        <f>IFERROR(__xludf.DUMMYFUNCTION("GOOGLETRANSLATE(B148,""en"",""es"")"),"Hogar")</f>
        <v>Hogar</v>
      </c>
      <c r="M148" s="4" t="str">
        <f>IFERROR(__xludf.DUMMYFUNCTION("GOOGLETRANSLATE(B148,""en"",""iw"")"),"בית")</f>
        <v>בית</v>
      </c>
      <c r="N148" s="4" t="str">
        <f>IFERROR(__xludf.DUMMYFUNCTION("GOOGLETRANSLATE(B148,""en"",""bn"")"),"বাড়ি")</f>
        <v>বাড়ি</v>
      </c>
      <c r="O148" s="4" t="str">
        <f>IFERROR(__xludf.DUMMYFUNCTION("GOOGLETRANSLATE(B148,""en"",""pt"")"),"Lar")</f>
        <v>Lar</v>
      </c>
      <c r="P148" s="6"/>
    </row>
    <row r="149">
      <c r="A149" s="7" t="s">
        <v>437</v>
      </c>
      <c r="B149" s="3" t="s">
        <v>438</v>
      </c>
      <c r="C149" s="4" t="str">
        <f>IFERROR(__xludf.DUMMYFUNCTION("GOOGLETRANSLATE(B149,""en"",""hi"")"),"काम")</f>
        <v>काम</v>
      </c>
      <c r="D149" s="6" t="s">
        <v>439</v>
      </c>
      <c r="E149" s="4" t="str">
        <f>IFERROR(__xludf.DUMMYFUNCTION("GOOGLETRANSLATE(B149,""en"",""fr"")"),"Travail")</f>
        <v>Travail</v>
      </c>
      <c r="F149" s="4" t="str">
        <f>IFERROR(__xludf.DUMMYFUNCTION("GOOGLETRANSLATE(B149,""en"",""tr"")"),"İş")</f>
        <v>İş</v>
      </c>
      <c r="G149" s="4" t="str">
        <f>IFERROR(__xludf.DUMMYFUNCTION("GOOGLETRANSLATE(B149,""en"",""ru"")"),"Работа")</f>
        <v>Работа</v>
      </c>
      <c r="H149" s="4" t="str">
        <f>IFERROR(__xludf.DUMMYFUNCTION("GOOGLETRANSLATE(B149,""en"",""it"")"),"Lavoro")</f>
        <v>Lavoro</v>
      </c>
      <c r="I149" s="4" t="str">
        <f>IFERROR(__xludf.DUMMYFUNCTION("GOOGLETRANSLATE(B149,""en"",""de"")"),"Arbeiten")</f>
        <v>Arbeiten</v>
      </c>
      <c r="J149" s="4" t="str">
        <f>IFERROR(__xludf.DUMMYFUNCTION("GOOGLETRANSLATE(B149,""en"",""ko"")"),"일하다")</f>
        <v>일하다</v>
      </c>
      <c r="K149" s="4" t="str">
        <f>IFERROR(__xludf.DUMMYFUNCTION("GOOGLETRANSLATE(B149,""en"",""zh"")"),"工作")</f>
        <v>工作</v>
      </c>
      <c r="L149" s="4" t="str">
        <f>IFERROR(__xludf.DUMMYFUNCTION("GOOGLETRANSLATE(B149,""en"",""es"")"),"Trabajar")</f>
        <v>Trabajar</v>
      </c>
      <c r="M149" s="4" t="str">
        <f>IFERROR(__xludf.DUMMYFUNCTION("GOOGLETRANSLATE(B149,""en"",""iw"")"),"עֲבוֹדָה")</f>
        <v>עֲבוֹדָה</v>
      </c>
      <c r="N149" s="4" t="str">
        <f>IFERROR(__xludf.DUMMYFUNCTION("GOOGLETRANSLATE(B149,""en"",""bn"")"),"কাজ")</f>
        <v>কাজ</v>
      </c>
      <c r="O149" s="4" t="str">
        <f>IFERROR(__xludf.DUMMYFUNCTION("GOOGLETRANSLATE(B149,""en"",""pt"")"),"Trabalhar")</f>
        <v>Trabalhar</v>
      </c>
      <c r="P149" s="6"/>
    </row>
    <row r="150">
      <c r="A150" s="7" t="s">
        <v>440</v>
      </c>
      <c r="B150" s="3" t="s">
        <v>441</v>
      </c>
      <c r="C150" s="4" t="str">
        <f>IFERROR(__xludf.DUMMYFUNCTION("GOOGLETRANSLATE(B150,""en"",""hi"")"),"अन्य")</f>
        <v>अन्य</v>
      </c>
      <c r="D150" s="6" t="s">
        <v>442</v>
      </c>
      <c r="E150" s="4" t="str">
        <f>IFERROR(__xludf.DUMMYFUNCTION("GOOGLETRANSLATE(B150,""en"",""fr"")"),"Autres")</f>
        <v>Autres</v>
      </c>
      <c r="F150" s="4" t="str">
        <f>IFERROR(__xludf.DUMMYFUNCTION("GOOGLETRANSLATE(B150,""en"",""tr"")"),"Diğerleri")</f>
        <v>Diğerleri</v>
      </c>
      <c r="G150" s="4" t="str">
        <f>IFERROR(__xludf.DUMMYFUNCTION("GOOGLETRANSLATE(B150,""en"",""ru"")"),"Другие")</f>
        <v>Другие</v>
      </c>
      <c r="H150" s="4" t="str">
        <f>IFERROR(__xludf.DUMMYFUNCTION("GOOGLETRANSLATE(B150,""en"",""it"")"),"Altri")</f>
        <v>Altri</v>
      </c>
      <c r="I150" s="4" t="str">
        <f>IFERROR(__xludf.DUMMYFUNCTION("GOOGLETRANSLATE(B150,""en"",""de"")"),"Andere")</f>
        <v>Andere</v>
      </c>
      <c r="J150" s="4" t="str">
        <f>IFERROR(__xludf.DUMMYFUNCTION("GOOGLETRANSLATE(B150,""en"",""ko"")"),"기타")</f>
        <v>기타</v>
      </c>
      <c r="K150" s="4" t="str">
        <f>IFERROR(__xludf.DUMMYFUNCTION("GOOGLETRANSLATE(B150,""en"",""zh"")"),"其他的")</f>
        <v>其他的</v>
      </c>
      <c r="L150" s="4" t="str">
        <f>IFERROR(__xludf.DUMMYFUNCTION("GOOGLETRANSLATE(B150,""en"",""es"")"),"Otros")</f>
        <v>Otros</v>
      </c>
      <c r="M150" s="4" t="str">
        <f>IFERROR(__xludf.DUMMYFUNCTION("GOOGLETRANSLATE(B150,""en"",""iw"")"),"אחרים")</f>
        <v>אחרים</v>
      </c>
      <c r="N150" s="4" t="str">
        <f>IFERROR(__xludf.DUMMYFUNCTION("GOOGLETRANSLATE(B150,""en"",""bn"")"),"অন্যান্য")</f>
        <v>অন্যান্য</v>
      </c>
      <c r="O150" s="4" t="str">
        <f>IFERROR(__xludf.DUMMYFUNCTION("GOOGLETRANSLATE(B150,""en"",""pt"")"),"Outros")</f>
        <v>Outros</v>
      </c>
      <c r="P150" s="6"/>
    </row>
    <row r="151">
      <c r="A151" s="7" t="s">
        <v>443</v>
      </c>
      <c r="B151" s="3" t="s">
        <v>444</v>
      </c>
      <c r="C151" s="4" t="str">
        <f>IFERROR(__xludf.DUMMYFUNCTION("GOOGLETRANSLATE(B151,""en"",""hi"")"),"पसंदीदा नाम दर्ज करें")</f>
        <v>पसंदीदा नाम दर्ज करें</v>
      </c>
      <c r="D151" s="6" t="s">
        <v>445</v>
      </c>
      <c r="E151" s="4" t="str">
        <f>IFERROR(__xludf.DUMMYFUNCTION("GOOGLETRANSLATE(B151,""en"",""fr"")"),"Entrez le nom des favoris")</f>
        <v>Entrez le nom des favoris</v>
      </c>
      <c r="F151" s="4" t="str">
        <f>IFERROR(__xludf.DUMMYFUNCTION("GOOGLETRANSLATE(B151,""en"",""tr"")"),"Favori Adını Girin")</f>
        <v>Favori Adını Girin</v>
      </c>
      <c r="G151" s="4" t="str">
        <f>IFERROR(__xludf.DUMMYFUNCTION("GOOGLETRANSLATE(B151,""en"",""ru"")"),"Введите имя избранного")</f>
        <v>Введите имя избранного</v>
      </c>
      <c r="H151" s="4" t="str">
        <f>IFERROR(__xludf.DUMMYFUNCTION("GOOGLETRANSLATE(B151,""en"",""it"")"),"Inserisci il nome dei preferiti")</f>
        <v>Inserisci il nome dei preferiti</v>
      </c>
      <c r="I151" s="4" t="str">
        <f>IFERROR(__xludf.DUMMYFUNCTION("GOOGLETRANSLATE(B151,""en"",""de"")"),"Geben Sie den Favoritennamen ein")</f>
        <v>Geben Sie den Favoritennamen ein</v>
      </c>
      <c r="J151" s="4" t="str">
        <f>IFERROR(__xludf.DUMMYFUNCTION("GOOGLETRANSLATE(B151,""en"",""ko"")"),"즐겨찾기 이름을 입력하세요")</f>
        <v>즐겨찾기 이름을 입력하세요</v>
      </c>
      <c r="K151" s="4" t="str">
        <f>IFERROR(__xludf.DUMMYFUNCTION("GOOGLETRANSLATE(B151,""en"",""zh"")"),"输入收藏夹名称")</f>
        <v>输入收藏夹名称</v>
      </c>
      <c r="L151" s="4" t="str">
        <f>IFERROR(__xludf.DUMMYFUNCTION("GOOGLETRANSLATE(B151,""en"",""es"")"),"Introduzca el nombre de favoritos")</f>
        <v>Introduzca el nombre de favoritos</v>
      </c>
      <c r="M151" s="4" t="str">
        <f>IFERROR(__xludf.DUMMYFUNCTION("GOOGLETRANSLATE(B151,""en"",""iw"")"),"הזן את שם המועדפים")</f>
        <v>הזן את שם המועדפים</v>
      </c>
      <c r="N151" s="4" t="str">
        <f>IFERROR(__xludf.DUMMYFUNCTION("GOOGLETRANSLATE(B151,""en"",""bn"")"),"পছন্দের নাম লিখুন")</f>
        <v>পছন্দের নাম লিখুন</v>
      </c>
      <c r="O151" s="4" t="str">
        <f>IFERROR(__xludf.DUMMYFUNCTION("GOOGLETRANSLATE(B151,""en"",""pt"")"),"Digite o nome dos favoritos")</f>
        <v>Digite o nome dos favoritos</v>
      </c>
      <c r="P151" s="6"/>
    </row>
    <row r="152">
      <c r="A152" s="7" t="s">
        <v>446</v>
      </c>
      <c r="B152" s="3" t="s">
        <v>447</v>
      </c>
      <c r="C152" s="4" t="str">
        <f>IFERROR(__xludf.DUMMYFUNCTION("GOOGLETRANSLATE(B152,""en"",""hi"")"),"क्या आप निश्चित रूप से इस समय में सवारी का चयन करेंगे?")</f>
        <v>क्या आप निश्चित रूप से इस समय में सवारी का चयन करेंगे?</v>
      </c>
      <c r="D152" s="6" t="s">
        <v>448</v>
      </c>
      <c r="E152" s="4" t="str">
        <f>IFERROR(__xludf.DUMMYFUNCTION("GOOGLETRANSLATE(B152,""en"",""fr"")"),"Etes-vous sûr de choisir de rouler à cette période")</f>
        <v>Etes-vous sûr de choisir de rouler à cette période</v>
      </c>
      <c r="F152" s="4" t="str">
        <f>IFERROR(__xludf.DUMMYFUNCTION("GOOGLETRANSLATE(B152,""en"",""tr"")"),"Bu sefer sürüşü seçtiğinizden emin misiniz?")</f>
        <v>Bu sefer sürüşü seçtiğinizden emin misiniz?</v>
      </c>
      <c r="G152" s="4" t="str">
        <f>IFERROR(__xludf.DUMMYFUNCTION("GOOGLETRANSLATE(B152,""en"",""ru"")"),"Вы уверены, что выберете поездку в это время?")</f>
        <v>Вы уверены, что выберете поездку в это время?</v>
      </c>
      <c r="H152" s="4" t="str">
        <f>IFERROR(__xludf.DUMMYFUNCTION("GOOGLETRANSLATE(B152,""en"",""it"")"),"Sei sicuro di scegliere di viaggiare in questo periodo?")</f>
        <v>Sei sicuro di scegliere di viaggiare in questo periodo?</v>
      </c>
      <c r="I152" s="4" t="str">
        <f>IFERROR(__xludf.DUMMYFUNCTION("GOOGLETRANSLATE(B152,""en"",""de"")"),"Sind Sie sicher, dass Sie sich zu diesem Zeitpunkt für eine Fahrt entscheiden?")</f>
        <v>Sind Sie sicher, dass Sie sich zu diesem Zeitpunkt für eine Fahrt entscheiden?</v>
      </c>
      <c r="J152" s="4" t="str">
        <f>IFERROR(__xludf.DUMMYFUNCTION("GOOGLETRANSLATE(B152,""en"",""ko"")"),"이번에 차량 서비스를 선택하시겠습니까?")</f>
        <v>이번에 차량 서비스를 선택하시겠습니까?</v>
      </c>
      <c r="K152" s="4" t="str">
        <f>IFERROR(__xludf.DUMMYFUNCTION("GOOGLETRANSLATE(B152,""en"",""zh"")"),"您确定此时选择乘车吗")</f>
        <v>您确定此时选择乘车吗</v>
      </c>
      <c r="L152" s="4" t="str">
        <f>IFERROR(__xludf.DUMMYFUNCTION("GOOGLETRANSLATE(B152,""en"",""es"")"),"¿Estás seguro de elegir viajar en este momento?")</f>
        <v>¿Estás seguro de elegir viajar en este momento?</v>
      </c>
      <c r="M152" s="4" t="str">
        <f>IFERROR(__xludf.DUMMYFUNCTION("GOOGLETRANSLATE(B152,""en"",""iw"")"),"האם אתה בטוח שתבחר בנסיעה בזמן הזה")</f>
        <v>האם אתה בטוח שתבחר בנסיעה בזמן הזה</v>
      </c>
      <c r="N152" s="4" t="str">
        <f>IFERROR(__xludf.DUMMYFUNCTION("GOOGLETRANSLATE(B152,""en"",""bn"")"),"আপনি এই সময়ে রাইড চয়ন নিশ্চিত")</f>
        <v>আপনি এই সময়ে রাইড চয়ন নিশ্চিত</v>
      </c>
      <c r="O152" s="4" t="str">
        <f>IFERROR(__xludf.DUMMYFUNCTION("GOOGLETRANSLATE(B152,""en"",""pt"")"),"Você tem certeza de escolher viajar neste horário")</f>
        <v>Você tem certeza de escolher viajar neste horário</v>
      </c>
      <c r="P152" s="6"/>
    </row>
    <row r="153">
      <c r="A153" s="7" t="s">
        <v>449</v>
      </c>
      <c r="B153" s="3" t="s">
        <v>450</v>
      </c>
      <c r="C153" s="4" t="str">
        <f>IFERROR(__xludf.DUMMYFUNCTION("GOOGLETRANSLATE(B153,""en"",""hi"")"),"सवारी की सफलतापूर्वक पुष्टि हो गई है")</f>
        <v>सवारी की सफलतापूर्वक पुष्टि हो गई है</v>
      </c>
      <c r="D153" s="6" t="s">
        <v>451</v>
      </c>
      <c r="E153" s="4" t="str">
        <f>IFERROR(__xludf.DUMMYFUNCTION("GOOGLETRANSLATE(B153,""en"",""fr"")"),"Le trajet est confirmé avec succès")</f>
        <v>Le trajet est confirmé avec succès</v>
      </c>
      <c r="F153" s="4" t="str">
        <f>IFERROR(__xludf.DUMMYFUNCTION("GOOGLETRANSLATE(B153,""en"",""tr"")"),"Yolculuk başarıyla onaylandı")</f>
        <v>Yolculuk başarıyla onaylandı</v>
      </c>
      <c r="G153" s="4" t="str">
        <f>IFERROR(__xludf.DUMMYFUNCTION("GOOGLETRANSLATE(B153,""en"",""ru"")"),"Поездка подтверждена успешно")</f>
        <v>Поездка подтверждена успешно</v>
      </c>
      <c r="H153" s="4" t="str">
        <f>IFERROR(__xludf.DUMMYFUNCTION("GOOGLETRANSLATE(B153,""en"",""it"")"),"La corsa è confermata con successo")</f>
        <v>La corsa è confermata con successo</v>
      </c>
      <c r="I153" s="4" t="str">
        <f>IFERROR(__xludf.DUMMYFUNCTION("GOOGLETRANSLATE(B153,""en"",""de"")"),"Die Fahrt wurde erfolgreich bestätigt")</f>
        <v>Die Fahrt wurde erfolgreich bestätigt</v>
      </c>
      <c r="J153" s="4" t="str">
        <f>IFERROR(__xludf.DUMMYFUNCTION("GOOGLETRANSLATE(B153,""en"",""ko"")"),"탑승이 성공적으로 확인되었습니다.")</f>
        <v>탑승이 성공적으로 확인되었습니다.</v>
      </c>
      <c r="K153" s="4" t="str">
        <f>IFERROR(__xludf.DUMMYFUNCTION("GOOGLETRANSLATE(B153,""en"",""zh"")"),"确认乘车成功")</f>
        <v>确认乘车成功</v>
      </c>
      <c r="L153" s="4" t="str">
        <f>IFERROR(__xludf.DUMMYFUNCTION("GOOGLETRANSLATE(B153,""en"",""es"")"),"El viaje se confirma con éxito")</f>
        <v>El viaje se confirma con éxito</v>
      </c>
      <c r="M153" s="4" t="str">
        <f>IFERROR(__xludf.DUMMYFUNCTION("GOOGLETRANSLATE(B153,""en"",""iw"")"),"הנסיעה אושרה בהצלחה")</f>
        <v>הנסיעה אושרה בהצלחה</v>
      </c>
      <c r="N153" s="4" t="str">
        <f>IFERROR(__xludf.DUMMYFUNCTION("GOOGLETRANSLATE(B153,""en"",""bn"")"),"যাত্রা সফলভাবে নিশ্চিত করা হয়েছে")</f>
        <v>যাত্রা সফলভাবে নিশ্চিত করা হয়েছে</v>
      </c>
      <c r="O153" s="4" t="str">
        <f>IFERROR(__xludf.DUMMYFUNCTION("GOOGLETRANSLATE(B153,""en"",""pt"")"),"A viagem foi confirmada com sucesso")</f>
        <v>A viagem foi confirmada com sucesso</v>
      </c>
      <c r="P153" s="6"/>
    </row>
    <row r="154">
      <c r="A154" s="7" t="s">
        <v>452</v>
      </c>
      <c r="B154" s="3" t="s">
        <v>453</v>
      </c>
      <c r="C154" s="4" t="str">
        <f>IFERROR(__xludf.DUMMYFUNCTION("GOOGLETRANSLATE(B154,""en"",""hi"")"),"पसंदीदा के रूप में सहेजें")</f>
        <v>पसंदीदा के रूप में सहेजें</v>
      </c>
      <c r="D154" s="6" t="s">
        <v>454</v>
      </c>
      <c r="E154" s="4" t="str">
        <f>IFERROR(__xludf.DUMMYFUNCTION("GOOGLETRANSLATE(B154,""en"",""fr"")"),"Enregistrer comme favori")</f>
        <v>Enregistrer comme favori</v>
      </c>
      <c r="F154" s="4" t="str">
        <f>IFERROR(__xludf.DUMMYFUNCTION("GOOGLETRANSLATE(B154,""en"",""tr"")"),"Favori olarak kaydet")</f>
        <v>Favori olarak kaydet</v>
      </c>
      <c r="G154" s="4" t="str">
        <f>IFERROR(__xludf.DUMMYFUNCTION("GOOGLETRANSLATE(B154,""en"",""ru"")"),"Сохранить как избранное")</f>
        <v>Сохранить как избранное</v>
      </c>
      <c r="H154" s="4" t="str">
        <f>IFERROR(__xludf.DUMMYFUNCTION("GOOGLETRANSLATE(B154,""en"",""it"")"),"Salva come preferito")</f>
        <v>Salva come preferito</v>
      </c>
      <c r="I154" s="4" t="str">
        <f>IFERROR(__xludf.DUMMYFUNCTION("GOOGLETRANSLATE(B154,""en"",""de"")"),"Als Favorit speichern")</f>
        <v>Als Favorit speichern</v>
      </c>
      <c r="J154" s="4" t="str">
        <f>IFERROR(__xludf.DUMMYFUNCTION("GOOGLETRANSLATE(B154,""en"",""ko"")"),"즐겨찾기로 저장")</f>
        <v>즐겨찾기로 저장</v>
      </c>
      <c r="K154" s="4" t="str">
        <f>IFERROR(__xludf.DUMMYFUNCTION("GOOGLETRANSLATE(B154,""en"",""zh"")"),"保存为收藏夹")</f>
        <v>保存为收藏夹</v>
      </c>
      <c r="L154" s="4" t="str">
        <f>IFERROR(__xludf.DUMMYFUNCTION("GOOGLETRANSLATE(B154,""en"",""es"")"),"Guardar como favorito")</f>
        <v>Guardar como favorito</v>
      </c>
      <c r="M154" s="4" t="str">
        <f>IFERROR(__xludf.DUMMYFUNCTION("GOOGLETRANSLATE(B154,""en"",""iw"")"),"שמור כמועדף")</f>
        <v>שמור כמועדף</v>
      </c>
      <c r="N154" s="4" t="str">
        <f>IFERROR(__xludf.DUMMYFUNCTION("GOOGLETRANSLATE(B154,""en"",""bn"")"),"প্রিয় হিসাবে সংরক্ষণ করুন")</f>
        <v>প্রিয় হিসাবে সংরক্ষণ করুন</v>
      </c>
      <c r="O154" s="4" t="str">
        <f>IFERROR(__xludf.DUMMYFUNCTION("GOOGLETRANSLATE(B154,""en"",""pt"")"),"Salvar como favorito")</f>
        <v>Salvar como favorito</v>
      </c>
      <c r="P154" s="6"/>
    </row>
    <row r="155">
      <c r="A155" s="7" t="s">
        <v>455</v>
      </c>
      <c r="B155" s="3" t="s">
        <v>456</v>
      </c>
      <c r="C155" s="4" t="str">
        <f>IFERROR(__xludf.DUMMYFUNCTION("GOOGLETRANSLATE(B155,""en"",""hi"")"),"सबसे भरोसेमंद सवारी बुकिंग ऐप")</f>
        <v>सबसे भरोसेमंद सवारी बुकिंग ऐप</v>
      </c>
      <c r="D155" s="6" t="s">
        <v>457</v>
      </c>
      <c r="E155" s="4" t="str">
        <f>IFERROR(__xludf.DUMMYFUNCTION("GOOGLETRANSLATE(B155,""en"",""fr"")"),"Application de réservation de courses la plus fiable")</f>
        <v>Application de réservation de courses la plus fiable</v>
      </c>
      <c r="F155" s="4" t="str">
        <f>IFERROR(__xludf.DUMMYFUNCTION("GOOGLETRANSLATE(B155,""en"",""tr"")"),"En Güvenilir Araç Rezervasyon Uygulaması")</f>
        <v>En Güvenilir Araç Rezervasyon Uygulaması</v>
      </c>
      <c r="G155" s="4" t="str">
        <f>IFERROR(__xludf.DUMMYFUNCTION("GOOGLETRANSLATE(B155,""en"",""ru"")"),"Самое надежное приложение для бронирования поездок")</f>
        <v>Самое надежное приложение для бронирования поездок</v>
      </c>
      <c r="H155" s="4" t="str">
        <f>IFERROR(__xludf.DUMMYFUNCTION("GOOGLETRANSLATE(B155,""en"",""it"")"),"L'app per la prenotazione di corse più affidabile")</f>
        <v>L'app per la prenotazione di corse più affidabile</v>
      </c>
      <c r="I155" s="4" t="str">
        <f>IFERROR(__xludf.DUMMYFUNCTION("GOOGLETRANSLATE(B155,""en"",""de"")"),"Die vertrauenswürdigste Fahrbuchungs-App")</f>
        <v>Die vertrauenswürdigste Fahrbuchungs-App</v>
      </c>
      <c r="J155" s="4" t="str">
        <f>IFERROR(__xludf.DUMMYFUNCTION("GOOGLETRANSLATE(B155,""en"",""ko"")"),"가장 신뢰받는 차량 예약 앱")</f>
        <v>가장 신뢰받는 차량 예약 앱</v>
      </c>
      <c r="K155" s="4" t="str">
        <f>IFERROR(__xludf.DUMMYFUNCTION("GOOGLETRANSLATE(B155,""en"",""zh"")"),"最值得信赖的乘车预订应用程序")</f>
        <v>最值得信赖的乘车预订应用程序</v>
      </c>
      <c r="L155" s="4" t="str">
        <f>IFERROR(__xludf.DUMMYFUNCTION("GOOGLETRANSLATE(B155,""en"",""es"")"),"La aplicación de reserva de viajes más confiable")</f>
        <v>La aplicación de reserva de viajes más confiable</v>
      </c>
      <c r="M155" s="4" t="str">
        <f>IFERROR(__xludf.DUMMYFUNCTION("GOOGLETRANSLATE(B155,""en"",""iw"")"),"אפליקציית הזמנת נסיעות מהימנה ביותר")</f>
        <v>אפליקציית הזמנת נסיעות מהימנה ביותר</v>
      </c>
      <c r="N155" s="4" t="str">
        <f>IFERROR(__xludf.DUMMYFUNCTION("GOOGLETRANSLATE(B155,""en"",""bn"")"),"সবচেয়ে বিশ্বস্ত রাইড বুকিং অ্যাপ")</f>
        <v>সবচেয়ে বিশ্বস্ত রাইড বুকিং অ্যাপ</v>
      </c>
      <c r="O155" s="4" t="str">
        <f>IFERROR(__xludf.DUMMYFUNCTION("GOOGLETRANSLATE(B155,""en"",""pt"")"),"Aplicativo de reserva de viagens mais confiável")</f>
        <v>Aplicativo de reserva de viagens mais confiável</v>
      </c>
      <c r="P155" s="6"/>
    </row>
    <row r="156">
      <c r="A156" s="7" t="s">
        <v>458</v>
      </c>
      <c r="B156" s="3" t="s">
        <v>459</v>
      </c>
      <c r="C156" s="4" t="str">
        <f>IFERROR(__xludf.DUMMYFUNCTION("GOOGLETRANSLATE(B156,""en"",""hi"")"),"अपनी सवारी के अनुभव का आनंद लेने के लिए")</f>
        <v>अपनी सवारी के अनुभव का आनंद लेने के लिए</v>
      </c>
      <c r="D156" s="6" t="s">
        <v>460</v>
      </c>
      <c r="E156" s="4" t="str">
        <f>IFERROR(__xludf.DUMMYFUNCTION("GOOGLETRANSLATE(B156,""en"",""fr"")"),"Pour profiter de votre expérience de conduite")</f>
        <v>Pour profiter de votre expérience de conduite</v>
      </c>
      <c r="F156" s="4" t="str">
        <f>IFERROR(__xludf.DUMMYFUNCTION("GOOGLETRANSLATE(B156,""en"",""tr"")"),"Sürüş deneyiminizin tadını çıkarmak için")</f>
        <v>Sürüş deneyiminizin tadını çıkarmak için</v>
      </c>
      <c r="G156" s="4" t="str">
        <f>IFERROR(__xludf.DUMMYFUNCTION("GOOGLETRANSLATE(B156,""en"",""ru"")"),"Чтобы насладиться поездкой")</f>
        <v>Чтобы насладиться поездкой</v>
      </c>
      <c r="H156" s="4" t="str">
        <f>IFERROR(__xludf.DUMMYFUNCTION("GOOGLETRANSLATE(B156,""en"",""it"")"),"Per goderti la tua esperienza di guida")</f>
        <v>Per goderti la tua esperienza di guida</v>
      </c>
      <c r="I156" s="4" t="str">
        <f>IFERROR(__xludf.DUMMYFUNCTION("GOOGLETRANSLATE(B156,""en"",""de"")"),"Um Ihr Fahrerlebnis zu genießen")</f>
        <v>Um Ihr Fahrerlebnis zu genießen</v>
      </c>
      <c r="J156" s="4" t="str">
        <f>IFERROR(__xludf.DUMMYFUNCTION("GOOGLETRANSLATE(B156,""en"",""ko"")"),"라이딩 경험을 즐기려면")</f>
        <v>라이딩 경험을 즐기려면</v>
      </c>
      <c r="K156" s="4" t="str">
        <f>IFERROR(__xludf.DUMMYFUNCTION("GOOGLETRANSLATE(B156,""en"",""zh"")"),"享受您的乘车体验")</f>
        <v>享受您的乘车体验</v>
      </c>
      <c r="L156" s="4" t="str">
        <f>IFERROR(__xludf.DUMMYFUNCTION("GOOGLETRANSLATE(B156,""en"",""es"")"),"Para disfrutar de tu experiencia de viaje")</f>
        <v>Para disfrutar de tu experiencia de viaje</v>
      </c>
      <c r="M156" s="4" t="str">
        <f>IFERROR(__xludf.DUMMYFUNCTION("GOOGLETRANSLATE(B156,""en"",""iw"")"),"כדי ליהנות מחוויית הנסיעה שלך")</f>
        <v>כדי ליהנות מחוויית הנסיעה שלך</v>
      </c>
      <c r="N156" s="4" t="str">
        <f>IFERROR(__xludf.DUMMYFUNCTION("GOOGLETRANSLATE(B156,""en"",""bn"")"),"আপনার রাইড অভিজ্ঞতা উপভোগ করতে")</f>
        <v>আপনার রাইড অভিজ্ঞতা উপভোগ করতে</v>
      </c>
      <c r="O156" s="4" t="str">
        <f>IFERROR(__xludf.DUMMYFUNCTION("GOOGLETRANSLATE(B156,""en"",""pt"")"),"Para aproveitar sua experiência de passeio")</f>
        <v>Para aproveitar sua experiência de passeio</v>
      </c>
      <c r="P156" s="6"/>
    </row>
    <row r="157">
      <c r="A157" s="7" t="s">
        <v>461</v>
      </c>
      <c r="B157" s="3" t="s">
        <v>462</v>
      </c>
      <c r="C157" s="4" t="str">
        <f>IFERROR(__xludf.DUMMYFUNCTION("GOOGLETRANSLATE(B157,""en"",""hi"")"),"कृपया हमें निम्नलिखित अनुमतियाँ दें")</f>
        <v>कृपया हमें निम्नलिखित अनुमतियाँ दें</v>
      </c>
      <c r="D157" s="6" t="s">
        <v>463</v>
      </c>
      <c r="E157" s="4" t="str">
        <f>IFERROR(__xludf.DUMMYFUNCTION("GOOGLETRANSLATE(B157,""en"",""fr"")"),"Veuillez nous accorder les autorisations suivantes")</f>
        <v>Veuillez nous accorder les autorisations suivantes</v>
      </c>
      <c r="F157" s="4" t="str">
        <f>IFERROR(__xludf.DUMMYFUNCTION("GOOGLETRANSLATE(B157,""en"",""tr"")"),"Lütfen bize aşağıdaki izinleri verin")</f>
        <v>Lütfen bize aşağıdaki izinleri verin</v>
      </c>
      <c r="G157" s="4" t="str">
        <f>IFERROR(__xludf.DUMMYFUNCTION("GOOGLETRANSLATE(B157,""en"",""ru"")"),"Пожалуйста, дайте нам следующие разрешения")</f>
        <v>Пожалуйста, дайте нам следующие разрешения</v>
      </c>
      <c r="H157" s="4" t="str">
        <f>IFERROR(__xludf.DUMMYFUNCTION("GOOGLETRANSLATE(B157,""en"",""it"")"),"Ti preghiamo di concederci le seguenti autorizzazioni")</f>
        <v>Ti preghiamo di concederci le seguenti autorizzazioni</v>
      </c>
      <c r="I157" s="4" t="str">
        <f>IFERROR(__xludf.DUMMYFUNCTION("GOOGLETRANSLATE(B157,""en"",""de"")"),"Bitte erteilen Sie uns die folgenden Berechtigungen")</f>
        <v>Bitte erteilen Sie uns die folgenden Berechtigungen</v>
      </c>
      <c r="J157" s="4" t="str">
        <f>IFERROR(__xludf.DUMMYFUNCTION("GOOGLETRANSLATE(B157,""en"",""ko"")"),"다음 권한을 허용해주세요")</f>
        <v>다음 권한을 허용해주세요</v>
      </c>
      <c r="K157" s="4" t="str">
        <f>IFERROR(__xludf.DUMMYFUNCTION("GOOGLETRANSLATE(B157,""en"",""zh"")"),"请授予我们以下权限")</f>
        <v>请授予我们以下权限</v>
      </c>
      <c r="L157" s="4" t="str">
        <f>IFERROR(__xludf.DUMMYFUNCTION("GOOGLETRANSLATE(B157,""en"",""es"")"),"Por favor permítanos los siguientes permisos")</f>
        <v>Por favor permítanos los siguientes permisos</v>
      </c>
      <c r="M157" s="4" t="str">
        <f>IFERROR(__xludf.DUMMYFUNCTION("GOOGLETRANSLATE(B157,""en"",""iw"")"),"אנא הרשה לנו את ההרשאות הבאות")</f>
        <v>אנא הרשה לנו את ההרשאות הבאות</v>
      </c>
      <c r="N157" s="4" t="str">
        <f>IFERROR(__xludf.DUMMYFUNCTION("GOOGLETRANSLATE(B157,""en"",""bn"")"),"আমাদের নিম্নলিখিত অনুমতি অনুমতি দিন")</f>
        <v>আমাদের নিম্নলিখিত অনুমতি অনুমতি দিন</v>
      </c>
      <c r="O157" s="4" t="str">
        <f>IFERROR(__xludf.DUMMYFUNCTION("GOOGLETRANSLATE(B157,""en"",""pt"")"),"Por favor, conceda-nos as seguintes permissões")</f>
        <v>Por favor, conceda-nos as seguintes permissões</v>
      </c>
      <c r="P157" s="6"/>
    </row>
    <row r="158">
      <c r="A158" s="7" t="s">
        <v>464</v>
      </c>
      <c r="B158" s="3" t="s">
        <v>465</v>
      </c>
      <c r="C158" s="4" t="str">
        <f>IFERROR(__xludf.DUMMYFUNCTION("GOOGLETRANSLATE(B158,""en"",""hi"")"),"अनुमति दें")</f>
        <v>अनुमति दें</v>
      </c>
      <c r="D158" s="4" t="str">
        <f>IFERROR(__xludf.DUMMYFUNCTION("GOOGLETRANSLATE(B158,""en"",""ar"")"),"يسمح")</f>
        <v>يسمح</v>
      </c>
      <c r="E158" s="4" t="str">
        <f>IFERROR(__xludf.DUMMYFUNCTION("GOOGLETRANSLATE(B158,""en"",""fr"")"),"Permettre")</f>
        <v>Permettre</v>
      </c>
      <c r="F158" s="4" t="str">
        <f>IFERROR(__xludf.DUMMYFUNCTION("GOOGLETRANSLATE(B158,""en"",""tr"")"),"İzin vermek")</f>
        <v>İzin vermek</v>
      </c>
      <c r="G158" s="4" t="str">
        <f>IFERROR(__xludf.DUMMYFUNCTION("GOOGLETRANSLATE(B158,""en"",""ru"")"),"Позволять")</f>
        <v>Позволять</v>
      </c>
      <c r="H158" s="4" t="str">
        <f>IFERROR(__xludf.DUMMYFUNCTION("GOOGLETRANSLATE(B158,""en"",""it"")"),"Permettere")</f>
        <v>Permettere</v>
      </c>
      <c r="I158" s="4" t="str">
        <f>IFERROR(__xludf.DUMMYFUNCTION("GOOGLETRANSLATE(B158,""en"",""de"")"),"Erlauben")</f>
        <v>Erlauben</v>
      </c>
      <c r="J158" s="4" t="str">
        <f>IFERROR(__xludf.DUMMYFUNCTION("GOOGLETRANSLATE(B158,""en"",""ko"")"),"허용하다")</f>
        <v>허용하다</v>
      </c>
      <c r="K158" s="4" t="str">
        <f>IFERROR(__xludf.DUMMYFUNCTION("GOOGLETRANSLATE(B158,""en"",""zh"")"),"允许")</f>
        <v>允许</v>
      </c>
      <c r="L158" s="4" t="str">
        <f>IFERROR(__xludf.DUMMYFUNCTION("GOOGLETRANSLATE(B158,""en"",""es"")"),"Permitir")</f>
        <v>Permitir</v>
      </c>
      <c r="M158" s="4" t="str">
        <f>IFERROR(__xludf.DUMMYFUNCTION("GOOGLETRANSLATE(B158,""en"",""iw"")"),"להתיר")</f>
        <v>להתיר</v>
      </c>
      <c r="N158" s="4" t="str">
        <f>IFERROR(__xludf.DUMMYFUNCTION("GOOGLETRANSLATE(B158,""en"",""bn"")"),"অনুমতি দিন")</f>
        <v>অনুমতি দিন</v>
      </c>
      <c r="O158" s="4" t="str">
        <f>IFERROR(__xludf.DUMMYFUNCTION("GOOGLETRANSLATE(B158,""en"",""pt"")"),"Permitir")</f>
        <v>Permitir</v>
      </c>
      <c r="P158" s="6"/>
    </row>
    <row r="159">
      <c r="A159" s="7" t="s">
        <v>466</v>
      </c>
      <c r="B159" s="3" t="s">
        <v>467</v>
      </c>
      <c r="C159" s="4" t="str">
        <f>IFERROR(__xludf.DUMMYFUNCTION("GOOGLETRANSLATE(B159,""en"",""hi"")"),"ड्राइवर द्वारा यात्रा रद्द कर दी गई")</f>
        <v>ड्राइवर द्वारा यात्रा रद्द कर दी गई</v>
      </c>
      <c r="D159" s="6" t="s">
        <v>468</v>
      </c>
      <c r="E159" s="4" t="str">
        <f>IFERROR(__xludf.DUMMYFUNCTION("GOOGLETRANSLATE(B159,""en"",""fr"")"),"Trajet annulé par le conducteur")</f>
        <v>Trajet annulé par le conducteur</v>
      </c>
      <c r="F159" s="4" t="str">
        <f>IFERROR(__xludf.DUMMYFUNCTION("GOOGLETRANSLATE(B159,""en"",""tr"")"),"Yolculuk Sürücü Tarafından İptal Edildi")</f>
        <v>Yolculuk Sürücü Tarafından İptal Edildi</v>
      </c>
      <c r="G159" s="4" t="str">
        <f>IFERROR(__xludf.DUMMYFUNCTION("GOOGLETRANSLATE(B159,""en"",""ru"")"),"Поездка отменена водителем")</f>
        <v>Поездка отменена водителем</v>
      </c>
      <c r="H159" s="4" t="str">
        <f>IFERROR(__xludf.DUMMYFUNCTION("GOOGLETRANSLATE(B159,""en"",""it"")"),"Corsa annullata dall'autista")</f>
        <v>Corsa annullata dall'autista</v>
      </c>
      <c r="I159" s="4" t="str">
        <f>IFERROR(__xludf.DUMMYFUNCTION("GOOGLETRANSLATE(B159,""en"",""de"")"),"Fahrt vom Fahrer abgesagt")</f>
        <v>Fahrt vom Fahrer abgesagt</v>
      </c>
      <c r="J159" s="4" t="str">
        <f>IFERROR(__xludf.DUMMYFUNCTION("GOOGLETRANSLATE(B159,""en"",""ko"")"),"드라이버 파트너가 라이드를 취소했습니다.")</f>
        <v>드라이버 파트너가 라이드를 취소했습니다.</v>
      </c>
      <c r="K159" s="4" t="str">
        <f>IFERROR(__xludf.DUMMYFUNCTION("GOOGLETRANSLATE(B159,""en"",""zh"")"),"司机取消行程")</f>
        <v>司机取消行程</v>
      </c>
      <c r="L159" s="4" t="str">
        <f>IFERROR(__xludf.DUMMYFUNCTION("GOOGLETRANSLATE(B159,""en"",""es"")"),"Viaje cancelado por el conductor")</f>
        <v>Viaje cancelado por el conductor</v>
      </c>
      <c r="M159" s="4" t="str">
        <f>IFERROR(__xludf.DUMMYFUNCTION("GOOGLETRANSLATE(B159,""en"",""iw"")"),"הנסיעה בוטלה על ידי הנהג")</f>
        <v>הנסיעה בוטלה על ידי הנהג</v>
      </c>
      <c r="N159" s="4" t="str">
        <f>IFERROR(__xludf.DUMMYFUNCTION("GOOGLETRANSLATE(B159,""en"",""bn"")"),"রাইড বাতিল করেছে ড্রাইভার")</f>
        <v>রাইড বাতিল করেছে ড্রাইভার</v>
      </c>
      <c r="O159" s="4" t="str">
        <f>IFERROR(__xludf.DUMMYFUNCTION("GOOGLETRANSLATE(B159,""en"",""pt"")"),"Viagem cancelada pelo motorista")</f>
        <v>Viagem cancelada pelo motorista</v>
      </c>
      <c r="P159" s="6"/>
    </row>
    <row r="160">
      <c r="A160" s="7" t="s">
        <v>469</v>
      </c>
      <c r="B160" s="3" t="s">
        <v>470</v>
      </c>
      <c r="C160" s="4" t="str">
        <f>IFERROR(__xludf.DUMMYFUNCTION("GOOGLETRANSLATE(B160,""en"",""hi"")"),"सवारी सफलतापूर्वक रद्द कर दी गई")</f>
        <v>सवारी सफलतापूर्वक रद्द कर दी गई</v>
      </c>
      <c r="D160" s="6" t="s">
        <v>471</v>
      </c>
      <c r="E160" s="4" t="str">
        <f>IFERROR(__xludf.DUMMYFUNCTION("GOOGLETRANSLATE(B160,""en"",""fr"")"),"Course annulée avec succès")</f>
        <v>Course annulée avec succès</v>
      </c>
      <c r="F160" s="4" t="str">
        <f>IFERROR(__xludf.DUMMYFUNCTION("GOOGLETRANSLATE(B160,""en"",""tr"")"),"Yolculuk Başarıyla İptal Edildi")</f>
        <v>Yolculuk Başarıyla İptal Edildi</v>
      </c>
      <c r="G160" s="4" t="str">
        <f>IFERROR(__xludf.DUMMYFUNCTION("GOOGLETRANSLATE(B160,""en"",""ru"")"),"Поездка успешно отменена")</f>
        <v>Поездка успешно отменена</v>
      </c>
      <c r="H160" s="4" t="str">
        <f>IFERROR(__xludf.DUMMYFUNCTION("GOOGLETRANSLATE(B160,""en"",""it"")"),"Corsa annullata con successo")</f>
        <v>Corsa annullata con successo</v>
      </c>
      <c r="I160" s="4" t="str">
        <f>IFERROR(__xludf.DUMMYFUNCTION("GOOGLETRANSLATE(B160,""en"",""de"")"),"Fahrt erfolgreich abgebrochen")</f>
        <v>Fahrt erfolgreich abgebrochen</v>
      </c>
      <c r="J160" s="4" t="str">
        <f>IFERROR(__xludf.DUMMYFUNCTION("GOOGLETRANSLATE(B160,""en"",""ko"")"),"라이드가 성공적으로 취소되었습니다")</f>
        <v>라이드가 성공적으로 취소되었습니다</v>
      </c>
      <c r="K160" s="4" t="str">
        <f>IFERROR(__xludf.DUMMYFUNCTION("GOOGLETRANSLATE(B160,""en"",""zh"")"),"行程已成功取消")</f>
        <v>行程已成功取消</v>
      </c>
      <c r="L160" s="4" t="str">
        <f>IFERROR(__xludf.DUMMYFUNCTION("GOOGLETRANSLATE(B160,""en"",""es"")"),"Viaje cancelado exitosamente")</f>
        <v>Viaje cancelado exitosamente</v>
      </c>
      <c r="M160" s="4" t="str">
        <f>IFERROR(__xludf.DUMMYFUNCTION("GOOGLETRANSLATE(B160,""en"",""iw"")"),"הנסיעה בוטלה בהצלחה")</f>
        <v>הנסיעה בוטלה בהצלחה</v>
      </c>
      <c r="N160" s="4" t="str">
        <f>IFERROR(__xludf.DUMMYFUNCTION("GOOGLETRANSLATE(B160,""en"",""bn"")"),"রাইড সফলভাবে বাতিল করা হয়েছে")</f>
        <v>রাইড সফলভাবে বাতিল করা হয়েছে</v>
      </c>
      <c r="O160" s="4" t="str">
        <f>IFERROR(__xludf.DUMMYFUNCTION("GOOGLETRANSLATE(B160,""en"",""pt"")"),"Viagem cancelada com sucesso")</f>
        <v>Viagem cancelada com sucesso</v>
      </c>
      <c r="P160" s="4"/>
    </row>
    <row r="161">
      <c r="A161" s="7" t="s">
        <v>472</v>
      </c>
      <c r="B161" s="3" t="s">
        <v>473</v>
      </c>
      <c r="C161" s="4" t="str">
        <f>IFERROR(__xludf.DUMMYFUNCTION("GOOGLETRANSLATE(B161,""en"",""hi"")"),"व्यवस्थापक को सूचित करें")</f>
        <v>व्यवस्थापक को सूचित करें</v>
      </c>
      <c r="D161" s="6" t="s">
        <v>474</v>
      </c>
      <c r="E161" s="4" t="str">
        <f>IFERROR(__xludf.DUMMYFUNCTION("GOOGLETRANSLATE(B161,""en"",""fr"")"),"Avertir l'administrateur")</f>
        <v>Avertir l'administrateur</v>
      </c>
      <c r="F161" s="4" t="str">
        <f>IFERROR(__xludf.DUMMYFUNCTION("GOOGLETRANSLATE(B161,""en"",""tr"")"),"Yöneticiye Bildir")</f>
        <v>Yöneticiye Bildir</v>
      </c>
      <c r="G161" s="4" t="str">
        <f>IFERROR(__xludf.DUMMYFUNCTION("GOOGLETRANSLATE(B161,""en"",""ru"")"),"Уведомить администратора")</f>
        <v>Уведомить администратора</v>
      </c>
      <c r="H161" s="4" t="str">
        <f>IFERROR(__xludf.DUMMYFUNCTION("GOOGLETRANSLATE(B161,""en"",""it"")"),"Avvisa l'amministratore")</f>
        <v>Avvisa l'amministratore</v>
      </c>
      <c r="I161" s="4" t="str">
        <f>IFERROR(__xludf.DUMMYFUNCTION("GOOGLETRANSLATE(B161,""en"",""de"")"),"Administrator benachrichtigen")</f>
        <v>Administrator benachrichtigen</v>
      </c>
      <c r="J161" s="4" t="str">
        <f>IFERROR(__xludf.DUMMYFUNCTION("GOOGLETRANSLATE(B161,""en"",""ko"")"),"관리자에게 알림")</f>
        <v>관리자에게 알림</v>
      </c>
      <c r="K161" s="4" t="str">
        <f>IFERROR(__xludf.DUMMYFUNCTION("GOOGLETRANSLATE(B161,""en"",""zh"")"),"通知管理员")</f>
        <v>通知管理员</v>
      </c>
      <c r="L161" s="4" t="str">
        <f>IFERROR(__xludf.DUMMYFUNCTION("GOOGLETRANSLATE(B161,""en"",""es"")"),"Notificar al administrador")</f>
        <v>Notificar al administrador</v>
      </c>
      <c r="M161" s="4" t="str">
        <f>IFERROR(__xludf.DUMMYFUNCTION("GOOGLETRANSLATE(B161,""en"",""iw"")"),"הודע למנהל המערכת")</f>
        <v>הודע למנהל המערכת</v>
      </c>
      <c r="N161" s="4" t="str">
        <f>IFERROR(__xludf.DUMMYFUNCTION("GOOGLETRANSLATE(B161,""en"",""bn"")"),"অ্যাডমিনকে অবহিত করুন")</f>
        <v>অ্যাডমিনকে অবহিত করুন</v>
      </c>
      <c r="O161" s="4" t="str">
        <f>IFERROR(__xludf.DUMMYFUNCTION("GOOGLETRANSLATE(B161,""en"",""pt"")"),"Notificar o administrador")</f>
        <v>Notificar o administrador</v>
      </c>
      <c r="P161" s="6"/>
    </row>
    <row r="162">
      <c r="A162" s="7" t="s">
        <v>475</v>
      </c>
      <c r="B162" s="3" t="s">
        <v>476</v>
      </c>
      <c r="C162" s="4" t="str">
        <f>IFERROR(__xludf.DUMMYFUNCTION("GOOGLETRANSLATE(B162,""en"",""hi"")"),"सफलतापूर्वक सूचित किया गया")</f>
        <v>सफलतापूर्वक सूचित किया गया</v>
      </c>
      <c r="D162" s="6" t="s">
        <v>477</v>
      </c>
      <c r="E162" s="4" t="str">
        <f>IFERROR(__xludf.DUMMYFUNCTION("GOOGLETRANSLATE(B162,""en"",""fr"")"),"Notifié avec succès")</f>
        <v>Notifié avec succès</v>
      </c>
      <c r="F162" s="4" t="str">
        <f>IFERROR(__xludf.DUMMYFUNCTION("GOOGLETRANSLATE(B162,""en"",""tr"")"),"Başarıyla Bildirildi")</f>
        <v>Başarıyla Bildirildi</v>
      </c>
      <c r="G162" s="4" t="str">
        <f>IFERROR(__xludf.DUMMYFUNCTION("GOOGLETRANSLATE(B162,""en"",""ru"")"),"Уведомлено успешно")</f>
        <v>Уведомлено успешно</v>
      </c>
      <c r="H162" s="4" t="str">
        <f>IFERROR(__xludf.DUMMYFUNCTION("GOOGLETRANSLATE(B162,""en"",""it"")"),"Notificato con successo")</f>
        <v>Notificato con successo</v>
      </c>
      <c r="I162" s="4" t="str">
        <f>IFERROR(__xludf.DUMMYFUNCTION("GOOGLETRANSLATE(B162,""en"",""de"")"),"Erfolgreich benachrichtigt")</f>
        <v>Erfolgreich benachrichtigt</v>
      </c>
      <c r="J162" s="4" t="str">
        <f>IFERROR(__xludf.DUMMYFUNCTION("GOOGLETRANSLATE(B162,""en"",""ko"")"),"성공적으로 통보됨")</f>
        <v>성공적으로 통보됨</v>
      </c>
      <c r="K162" s="4" t="str">
        <f>IFERROR(__xludf.DUMMYFUNCTION("GOOGLETRANSLATE(B162,""en"",""zh"")"),"通知成功")</f>
        <v>通知成功</v>
      </c>
      <c r="L162" s="4" t="str">
        <f>IFERROR(__xludf.DUMMYFUNCTION("GOOGLETRANSLATE(B162,""en"",""es"")"),"Notificado exitosamente")</f>
        <v>Notificado exitosamente</v>
      </c>
      <c r="M162" s="4" t="str">
        <f>IFERROR(__xludf.DUMMYFUNCTION("GOOGLETRANSLATE(B162,""en"",""iw"")"),"הודיעו בהצלחה")</f>
        <v>הודיעו בהצלחה</v>
      </c>
      <c r="N162" s="4" t="str">
        <f>IFERROR(__xludf.DUMMYFUNCTION("GOOGLETRANSLATE(B162,""en"",""bn"")"),"সফলভাবে বিজ্ঞপ্তি দেওয়া হয়েছে")</f>
        <v>সফলভাবে বিজ্ঞপ্তি দেওয়া হয়েছে</v>
      </c>
      <c r="O162" s="4" t="str">
        <f>IFERROR(__xludf.DUMMYFUNCTION("GOOGLETRANSLATE(B162,""en"",""pt"")"),"Notificado com sucesso")</f>
        <v>Notificado com sucesso</v>
      </c>
      <c r="P162" s="6"/>
    </row>
    <row r="163">
      <c r="A163" s="7" t="s">
        <v>478</v>
      </c>
      <c r="B163" s="9" t="s">
        <v>479</v>
      </c>
      <c r="C163" s="4" t="str">
        <f>IFERROR(__xludf.DUMMYFUNCTION("GOOGLETRANSLATE(B163,""en"",""hi"")"),"ड्राइवर से चैट करें")</f>
        <v>ड्राइवर से चैट करें</v>
      </c>
      <c r="D163" s="6" t="s">
        <v>480</v>
      </c>
      <c r="E163" s="4" t="str">
        <f>IFERROR(__xludf.DUMMYFUNCTION("GOOGLETRANSLATE(B163,""en"",""fr"")"),"Discutez avec le chauffeur")</f>
        <v>Discutez avec le chauffeur</v>
      </c>
      <c r="F163" s="4" t="str">
        <f>IFERROR(__xludf.DUMMYFUNCTION("GOOGLETRANSLATE(B163,""en"",""tr"")"),"Sürücüyle Sohbet Et")</f>
        <v>Sürücüyle Sohbet Et</v>
      </c>
      <c r="G163" s="4" t="str">
        <f>IFERROR(__xludf.DUMMYFUNCTION("GOOGLETRANSLATE(B163,""en"",""ru"")"),"Чат с водителем")</f>
        <v>Чат с водителем</v>
      </c>
      <c r="H163" s="4" t="str">
        <f>IFERROR(__xludf.DUMMYFUNCTION("GOOGLETRANSLATE(B163,""en"",""it"")"),"Chatta con l'autista")</f>
        <v>Chatta con l'autista</v>
      </c>
      <c r="I163" s="4" t="str">
        <f>IFERROR(__xludf.DUMMYFUNCTION("GOOGLETRANSLATE(B163,""en"",""de"")"),"Chatten Sie mit dem Fahrer")</f>
        <v>Chatten Sie mit dem Fahrer</v>
      </c>
      <c r="J163" s="4" t="str">
        <f>IFERROR(__xludf.DUMMYFUNCTION("GOOGLETRANSLATE(B163,""en"",""ko"")"),"운전자와 채팅")</f>
        <v>운전자와 채팅</v>
      </c>
      <c r="K163" s="4" t="str">
        <f>IFERROR(__xludf.DUMMYFUNCTION("GOOGLETRANSLATE(B163,""en"",""zh"")"),"与司机聊天")</f>
        <v>与司机聊天</v>
      </c>
      <c r="L163" s="4" t="str">
        <f>IFERROR(__xludf.DUMMYFUNCTION("GOOGLETRANSLATE(B163,""en"",""es"")"),"Chatear con el conductor")</f>
        <v>Chatear con el conductor</v>
      </c>
      <c r="M163" s="4" t="str">
        <f>IFERROR(__xludf.DUMMYFUNCTION("GOOGLETRANSLATE(B163,""en"",""iw"")"),"צ'אט עם נהג")</f>
        <v>צ'אט עם נהג</v>
      </c>
      <c r="N163" s="4" t="str">
        <f>IFERROR(__xludf.DUMMYFUNCTION("GOOGLETRANSLATE(B163,""en"",""bn"")"),"ড্রাইভারের সাথে চ্যাট করুন")</f>
        <v>ড্রাইভারের সাথে চ্যাট করুন</v>
      </c>
      <c r="O163" s="4" t="str">
        <f>IFERROR(__xludf.DUMMYFUNCTION("GOOGLETRANSLATE(B163,""en"",""pt"")"),"Converse com o motorista")</f>
        <v>Converse com o motorista</v>
      </c>
      <c r="P163" s="6"/>
    </row>
    <row r="164">
      <c r="A164" s="7" t="s">
        <v>481</v>
      </c>
      <c r="B164" s="9" t="s">
        <v>482</v>
      </c>
      <c r="C164" s="4" t="str">
        <f>IFERROR(__xludf.DUMMYFUNCTION("GOOGLETRANSLATE(B164,""en"",""hi"")"),"संदेश दर्ज करें")</f>
        <v>संदेश दर्ज करें</v>
      </c>
      <c r="D164" s="6" t="s">
        <v>483</v>
      </c>
      <c r="E164" s="4" t="str">
        <f>IFERROR(__xludf.DUMMYFUNCTION("GOOGLETRANSLATE(B164,""en"",""fr"")"),"Saisir un message")</f>
        <v>Saisir un message</v>
      </c>
      <c r="F164" s="4" t="str">
        <f>IFERROR(__xludf.DUMMYFUNCTION("GOOGLETRANSLATE(B164,""en"",""tr"")"),"Mesaj Girin")</f>
        <v>Mesaj Girin</v>
      </c>
      <c r="G164" s="4" t="str">
        <f>IFERROR(__xludf.DUMMYFUNCTION("GOOGLETRANSLATE(B164,""en"",""ru"")"),"Введите сообщение")</f>
        <v>Введите сообщение</v>
      </c>
      <c r="H164" s="4" t="str">
        <f>IFERROR(__xludf.DUMMYFUNCTION("GOOGLETRANSLATE(B164,""en"",""it"")"),"Inserisci il messaggio")</f>
        <v>Inserisci il messaggio</v>
      </c>
      <c r="I164" s="4" t="str">
        <f>IFERROR(__xludf.DUMMYFUNCTION("GOOGLETRANSLATE(B164,""en"",""de"")"),"Geben Sie eine Nachricht ein")</f>
        <v>Geben Sie eine Nachricht ein</v>
      </c>
      <c r="J164" s="4" t="str">
        <f>IFERROR(__xludf.DUMMYFUNCTION("GOOGLETRANSLATE(B164,""en"",""ko"")"),"메시지 입력")</f>
        <v>메시지 입력</v>
      </c>
      <c r="K164" s="4" t="str">
        <f>IFERROR(__xludf.DUMMYFUNCTION("GOOGLETRANSLATE(B164,""en"",""zh"")"),"输入留言")</f>
        <v>输入留言</v>
      </c>
      <c r="L164" s="4" t="str">
        <f>IFERROR(__xludf.DUMMYFUNCTION("GOOGLETRANSLATE(B164,""en"",""es"")"),"Introducir mensaje")</f>
        <v>Introducir mensaje</v>
      </c>
      <c r="M164" s="4" t="str">
        <f>IFERROR(__xludf.DUMMYFUNCTION("GOOGLETRANSLATE(B164,""en"",""iw"")"),"הזן הודעה")</f>
        <v>הזן הודעה</v>
      </c>
      <c r="N164" s="4" t="str">
        <f>IFERROR(__xludf.DUMMYFUNCTION("GOOGLETRANSLATE(B164,""en"",""bn"")"),"বার্তা লিখুন")</f>
        <v>বার্তা লিখুন</v>
      </c>
      <c r="O164" s="4" t="str">
        <f>IFERROR(__xludf.DUMMYFUNCTION("GOOGLETRANSLATE(B164,""en"",""pt"")"),"Digite a mensagem")</f>
        <v>Digite a mensagem</v>
      </c>
      <c r="P164" s="6"/>
    </row>
    <row r="165">
      <c r="A165" s="7" t="s">
        <v>484</v>
      </c>
      <c r="B165" s="9" t="s">
        <v>485</v>
      </c>
      <c r="C165" s="4" t="str">
        <f>IFERROR(__xludf.DUMMYFUNCTION("GOOGLETRANSLATE(B165,""en"",""hi"")"),"नया संदेश प्राप्त हुआ")</f>
        <v>नया संदेश प्राप्त हुआ</v>
      </c>
      <c r="D165" s="6" t="s">
        <v>486</v>
      </c>
      <c r="E165" s="4" t="str">
        <f>IFERROR(__xludf.DUMMYFUNCTION("GOOGLETRANSLATE(B165,""en"",""fr"")"),"Nouveau message reçu")</f>
        <v>Nouveau message reçu</v>
      </c>
      <c r="F165" s="4" t="str">
        <f>IFERROR(__xludf.DUMMYFUNCTION("GOOGLETRANSLATE(B165,""en"",""tr"")"),"Yeni Mesaj Alındı")</f>
        <v>Yeni Mesaj Alındı</v>
      </c>
      <c r="G165" s="4" t="str">
        <f>IFERROR(__xludf.DUMMYFUNCTION("GOOGLETRANSLATE(B165,""en"",""ru"")"),"Получено новое сообщение")</f>
        <v>Получено новое сообщение</v>
      </c>
      <c r="H165" s="4" t="str">
        <f>IFERROR(__xludf.DUMMYFUNCTION("GOOGLETRANSLATE(B165,""en"",""it"")"),"Nuovo messaggio ricevuto")</f>
        <v>Nuovo messaggio ricevuto</v>
      </c>
      <c r="I165" s="4" t="str">
        <f>IFERROR(__xludf.DUMMYFUNCTION("GOOGLETRANSLATE(B165,""en"",""de"")"),"Neue Nachricht erhalten")</f>
        <v>Neue Nachricht erhalten</v>
      </c>
      <c r="J165" s="4" t="str">
        <f>IFERROR(__xludf.DUMMYFUNCTION("GOOGLETRANSLATE(B165,""en"",""ko"")"),"새 메시지 수신됨")</f>
        <v>새 메시지 수신됨</v>
      </c>
      <c r="K165" s="4" t="str">
        <f>IFERROR(__xludf.DUMMYFUNCTION("GOOGLETRANSLATE(B165,""en"",""zh"")"),"收到新消息")</f>
        <v>收到新消息</v>
      </c>
      <c r="L165" s="4" t="str">
        <f>IFERROR(__xludf.DUMMYFUNCTION("GOOGLETRANSLATE(B165,""en"",""es"")"),"Nuevo mensaje recibido")</f>
        <v>Nuevo mensaje recibido</v>
      </c>
      <c r="M165" s="4" t="str">
        <f>IFERROR(__xludf.DUMMYFUNCTION("GOOGLETRANSLATE(B165,""en"",""iw"")"),"הודעה חדשה התקבלה")</f>
        <v>הודעה חדשה התקבלה</v>
      </c>
      <c r="N165" s="4" t="str">
        <f>IFERROR(__xludf.DUMMYFUNCTION("GOOGLETRANSLATE(B165,""en"",""bn"")"),"নতুন বার্তা গৃহীত হয়েছে")</f>
        <v>নতুন বার্তা গৃহীত হয়েছে</v>
      </c>
      <c r="O165" s="4" t="str">
        <f>IFERROR(__xludf.DUMMYFUNCTION("GOOGLETRANSLATE(B165,""en"",""pt"")"),"Nova mensagem recebida")</f>
        <v>Nova mensagem recebida</v>
      </c>
      <c r="P165" s="6"/>
    </row>
    <row r="166">
      <c r="A166" s="7" t="s">
        <v>487</v>
      </c>
      <c r="B166" s="9" t="s">
        <v>488</v>
      </c>
      <c r="C166" s="4" t="str">
        <f>IFERROR(__xludf.DUMMYFUNCTION("GOOGLETRANSLATE(B166,""en"",""hi"")"),"कोई इंटरनेट कनेक्शन नहीं")</f>
        <v>कोई इंटरनेट कनेक्शन नहीं</v>
      </c>
      <c r="D166" s="6" t="s">
        <v>489</v>
      </c>
      <c r="E166" s="4" t="str">
        <f>IFERROR(__xludf.DUMMYFUNCTION("GOOGLETRANSLATE(B166,""en"",""fr"")"),"Pas de connexion Internet")</f>
        <v>Pas de connexion Internet</v>
      </c>
      <c r="F166" s="4" t="str">
        <f>IFERROR(__xludf.DUMMYFUNCTION("GOOGLETRANSLATE(B166,""en"",""tr"")"),"İnternet bağlantısı yok")</f>
        <v>İnternet bağlantısı yok</v>
      </c>
      <c r="G166" s="4" t="str">
        <f>IFERROR(__xludf.DUMMYFUNCTION("GOOGLETRANSLATE(B166,""en"",""ru"")"),"Нет соединения с интернетом")</f>
        <v>Нет соединения с интернетом</v>
      </c>
      <c r="H166" s="4" t="str">
        <f>IFERROR(__xludf.DUMMYFUNCTION("GOOGLETRANSLATE(B166,""en"",""it"")"),"Nessuna connessione internet")</f>
        <v>Nessuna connessione internet</v>
      </c>
      <c r="I166" s="4" t="str">
        <f>IFERROR(__xludf.DUMMYFUNCTION("GOOGLETRANSLATE(B166,""en"",""de"")"),"Keine Internetverbindung")</f>
        <v>Keine Internetverbindung</v>
      </c>
      <c r="J166" s="4" t="str">
        <f>IFERROR(__xludf.DUMMYFUNCTION("GOOGLETRANSLATE(B166,""en"",""ko"")"),"인터넷에 연결되지 않음")</f>
        <v>인터넷에 연결되지 않음</v>
      </c>
      <c r="K166" s="4" t="str">
        <f>IFERROR(__xludf.DUMMYFUNCTION("GOOGLETRANSLATE(B166,""en"",""zh"")"),"没有网络连接")</f>
        <v>没有网络连接</v>
      </c>
      <c r="L166" s="4" t="str">
        <f>IFERROR(__xludf.DUMMYFUNCTION("GOOGLETRANSLATE(B166,""en"",""es"")"),"Sin conexión a Internet")</f>
        <v>Sin conexión a Internet</v>
      </c>
      <c r="M166" s="4" t="str">
        <f>IFERROR(__xludf.DUMMYFUNCTION("GOOGLETRANSLATE(B166,""en"",""iw"")"),"אין חיבור אינטרנט")</f>
        <v>אין חיבור אינטרנט</v>
      </c>
      <c r="N166" s="4" t="str">
        <f>IFERROR(__xludf.DUMMYFUNCTION("GOOGLETRANSLATE(B166,""en"",""bn"")"),"ইন্টারনেট সংযোগ নেই")</f>
        <v>ইন্টারনেট সংযোগ নেই</v>
      </c>
      <c r="O166" s="4" t="str">
        <f>IFERROR(__xludf.DUMMYFUNCTION("GOOGLETRANSLATE(B166,""en"",""pt"")"),"Sem conexão com a Internet")</f>
        <v>Sem conexão com a Internet</v>
      </c>
      <c r="P166" s="6"/>
    </row>
    <row r="167">
      <c r="A167" s="7" t="s">
        <v>490</v>
      </c>
      <c r="B167" s="9" t="s">
        <v>491</v>
      </c>
      <c r="C167" s="4" t="str">
        <f>IFERROR(__xludf.DUMMYFUNCTION("GOOGLETRANSLATE(B167,""en"",""hi"")"),"कृपया अपना इंटरनेट कनेक्शन जांचें, वाईफाई सक्षम करने का प्रयास करें या बाद में पुनः प्रयास करें")</f>
        <v>कृपया अपना इंटरनेट कनेक्शन जांचें, वाईफाई सक्षम करने का प्रयास करें या बाद में पुनः प्रयास करें</v>
      </c>
      <c r="D167" s="6" t="s">
        <v>492</v>
      </c>
      <c r="E167" s="4" t="str">
        <f>IFERROR(__xludf.DUMMYFUNCTION("GOOGLETRANSLATE(B167,""en"",""fr"")"),"Veuillez vérifier votre connexion Internet, essayez d'activer le Wi-Fi ou réessayez plus tard.")</f>
        <v>Veuillez vérifier votre connexion Internet, essayez d'activer le Wi-Fi ou réessayez plus tard.</v>
      </c>
      <c r="F167" s="4" t="str">
        <f>IFERROR(__xludf.DUMMYFUNCTION("GOOGLETRANSLATE(B167,""en"",""tr"")"),"Lütfen internet bağlantınızı kontrol edin, kablosuz bağlantıyı etkinleştirmeyi deneyin veya daha sonra tekrar deneyin.")</f>
        <v>Lütfen internet bağlantınızı kontrol edin, kablosuz bağlantıyı etkinleştirmeyi deneyin veya daha sonra tekrar deneyin.</v>
      </c>
      <c r="G167" s="4" t="str">
        <f>IFERROR(__xludf.DUMMYFUNCTION("GOOGLETRANSLATE(B167,""en"",""ru"")"),"Пожалуйста, проверьте подключение к Интернету, попробуйте включить Wi-Fi или повторите попытку позже.")</f>
        <v>Пожалуйста, проверьте подключение к Интернету, попробуйте включить Wi-Fi или повторите попытку позже.</v>
      </c>
      <c r="H167" s="4" t="str">
        <f>IFERROR(__xludf.DUMMYFUNCTION("GOOGLETRANSLATE(B167,""en"",""it"")"),"Controlla la tua connessione Internet, prova ad abilitare il Wi-Fi o riprova più tardi")</f>
        <v>Controlla la tua connessione Internet, prova ad abilitare il Wi-Fi o riprova più tardi</v>
      </c>
      <c r="I167" s="4" t="str">
        <f>IFERROR(__xludf.DUMMYFUNCTION("GOOGLETRANSLATE(B167,""en"",""de"")"),"Bitte überprüfen Sie Ihre Internetverbindung, aktivieren Sie WLAN oder versuchen Sie es später noch einmal")</f>
        <v>Bitte überprüfen Sie Ihre Internetverbindung, aktivieren Sie WLAN oder versuchen Sie es später noch einmal</v>
      </c>
      <c r="J167" s="4" t="str">
        <f>IFERROR(__xludf.DUMMYFUNCTION("GOOGLETRANSLATE(B167,""en"",""ko"")"),"인터넷 연결을 확인하고 Wi-Fi를 활성화하거나 나중에 다시 시도해 보세요.")</f>
        <v>인터넷 연결을 확인하고 Wi-Fi를 활성화하거나 나중에 다시 시도해 보세요.</v>
      </c>
      <c r="K167" s="4" t="str">
        <f>IFERROR(__xludf.DUMMYFUNCTION("GOOGLETRANSLATE(B167,""en"",""zh"")"),"请检查您的互联网连接，尝试启用 wifi 或稍后重试")</f>
        <v>请检查您的互联网连接，尝试启用 wifi 或稍后重试</v>
      </c>
      <c r="L167" s="4" t="str">
        <f>IFERROR(__xludf.DUMMYFUNCTION("GOOGLETRANSLATE(B167,""en"",""es"")"),"Verifique su conexión a Internet, intente habilitar wifi o vuelva a intentarlo más tarde.")</f>
        <v>Verifique su conexión a Internet, intente habilitar wifi o vuelva a intentarlo más tarde.</v>
      </c>
      <c r="M167" s="4" t="str">
        <f>IFERROR(__xludf.DUMMYFUNCTION("GOOGLETRANSLATE(B167,""en"",""iw"")"),"בדוק את חיבור האינטרנט שלך, נסה להפעיל wifi או נסה שוב מאוחר יותר")</f>
        <v>בדוק את חיבור האינטרנט שלך, נסה להפעיל wifi או נסה שוב מאוחר יותר</v>
      </c>
      <c r="N167" s="4" t="str">
        <f>IFERROR(__xludf.DUMMYFUNCTION("GOOGLETRANSLATE(B167,""en"",""bn"")"),"অনুগ্রহ করে আপনার ইন্টারনেট সংযোগ পরীক্ষা করুন, ওয়াইফাই সক্ষম করার চেষ্টা করুন বা পরে আবার চেষ্টা করুন")</f>
        <v>অনুগ্রহ করে আপনার ইন্টারনেট সংযোগ পরীক্ষা করুন, ওয়াইফাই সক্ষম করার চেষ্টা করুন বা পরে আবার চেষ্টা করুন</v>
      </c>
      <c r="O167" s="4" t="str">
        <f>IFERROR(__xludf.DUMMYFUNCTION("GOOGLETRANSLATE(B167,""en"",""pt"")"),"Verifique sua conexão com a Internet, tente ativar o Wi-Fi ou tente novamente mais tarde")</f>
        <v>Verifique sua conexão com a Internet, tente ativar o Wi-Fi ou tente novamente mais tarde</v>
      </c>
      <c r="P167" s="6"/>
    </row>
    <row r="168">
      <c r="A168" s="7" t="s">
        <v>493</v>
      </c>
      <c r="B168" s="9" t="s">
        <v>494</v>
      </c>
      <c r="C168" s="4" t="str">
        <f>IFERROR(__xludf.DUMMYFUNCTION("GOOGLETRANSLATE(B168,""en"",""hi"")"),"कॉपीराइट")</f>
        <v>कॉपीराइट</v>
      </c>
      <c r="D168" s="6" t="s">
        <v>495</v>
      </c>
      <c r="E168" s="4" t="str">
        <f>IFERROR(__xludf.DUMMYFUNCTION("GOOGLETRANSLATE(B168,""en"",""fr"")"),"Droits d'auteur")</f>
        <v>Droits d'auteur</v>
      </c>
      <c r="F168" s="4" t="str">
        <f>IFERROR(__xludf.DUMMYFUNCTION("GOOGLETRANSLATE(B168,""en"",""tr"")"),"Telif hakları")</f>
        <v>Telif hakları</v>
      </c>
      <c r="G168" s="4" t="str">
        <f>IFERROR(__xludf.DUMMYFUNCTION("GOOGLETRANSLATE(B168,""en"",""ru"")"),"Авторские права")</f>
        <v>Авторские права</v>
      </c>
      <c r="H168" s="4" t="str">
        <f>IFERROR(__xludf.DUMMYFUNCTION("GOOGLETRANSLATE(B168,""en"",""it"")"),"Diritti d'autore")</f>
        <v>Diritti d'autore</v>
      </c>
      <c r="I168" s="4" t="str">
        <f>IFERROR(__xludf.DUMMYFUNCTION("GOOGLETRANSLATE(B168,""en"",""de"")"),"Urheberrechte")</f>
        <v>Urheberrechte</v>
      </c>
      <c r="J168" s="4" t="str">
        <f>IFERROR(__xludf.DUMMYFUNCTION("GOOGLETRANSLATE(B168,""en"",""ko"")"),"저작권")</f>
        <v>저작권</v>
      </c>
      <c r="K168" s="4" t="str">
        <f>IFERROR(__xludf.DUMMYFUNCTION("GOOGLETRANSLATE(B168,""en"",""zh"")"),"版权")</f>
        <v>版权</v>
      </c>
      <c r="L168" s="4" t="str">
        <f>IFERROR(__xludf.DUMMYFUNCTION("GOOGLETRANSLATE(B168,""en"",""es"")"),"Derechos de autor")</f>
        <v>Derechos de autor</v>
      </c>
      <c r="M168" s="4" t="str">
        <f>IFERROR(__xludf.DUMMYFUNCTION("GOOGLETRANSLATE(B168,""en"",""iw"")"),"זכויות יוצרים")</f>
        <v>זכויות יוצרים</v>
      </c>
      <c r="N168" s="4" t="str">
        <f>IFERROR(__xludf.DUMMYFUNCTION("GOOGLETRANSLATE(B168,""en"",""bn"")"),"কপিরাইট")</f>
        <v>কপিরাইট</v>
      </c>
      <c r="O168" s="4" t="str">
        <f>IFERROR(__xludf.DUMMYFUNCTION("GOOGLETRANSLATE(B168,""en"",""pt"")"),"Direitos autorais")</f>
        <v>Direitos autorais</v>
      </c>
      <c r="P168" s="6"/>
    </row>
    <row r="169">
      <c r="A169" s="7" t="s">
        <v>496</v>
      </c>
      <c r="B169" s="9" t="s">
        <v>497</v>
      </c>
      <c r="C169" s="4" t="str">
        <f>IFERROR(__xludf.DUMMYFUNCTION("GOOGLETRANSLATE(B169,""en"",""hi"")"),"नियम और शर्तें")</f>
        <v>नियम और शर्तें</v>
      </c>
      <c r="D169" s="4" t="str">
        <f>IFERROR(__xludf.DUMMYFUNCTION("GOOGLETRANSLATE(B169,""en"",""ar"")"),"الأحكام والشروط")</f>
        <v>الأحكام والشروط</v>
      </c>
      <c r="E169" s="4" t="str">
        <f>IFERROR(__xludf.DUMMYFUNCTION("GOOGLETRANSLATE(B169,""en"",""fr"")"),"Termes et conditions")</f>
        <v>Termes et conditions</v>
      </c>
      <c r="F169" s="4" t="str">
        <f>IFERROR(__xludf.DUMMYFUNCTION("GOOGLETRANSLATE(B169,""en"",""tr"")"),"Şartlar ve koşullar")</f>
        <v>Şartlar ve koşullar</v>
      </c>
      <c r="G169" s="4" t="str">
        <f>IFERROR(__xludf.DUMMYFUNCTION("GOOGLETRANSLATE(B169,""en"",""ru"")"),"Условия и положения")</f>
        <v>Условия и положения</v>
      </c>
      <c r="H169" s="4" t="str">
        <f>IFERROR(__xludf.DUMMYFUNCTION("GOOGLETRANSLATE(B169,""en"",""it"")"),"Termini e Condizioni")</f>
        <v>Termini e Condizioni</v>
      </c>
      <c r="I169" s="4" t="str">
        <f>IFERROR(__xludf.DUMMYFUNCTION("GOOGLETRANSLATE(B169,""en"",""de"")"),"Geschäftsbedingungen")</f>
        <v>Geschäftsbedingungen</v>
      </c>
      <c r="J169" s="4" t="str">
        <f>IFERROR(__xludf.DUMMYFUNCTION("GOOGLETRANSLATE(B169,""en"",""ko"")"),"이용약관")</f>
        <v>이용약관</v>
      </c>
      <c r="K169" s="4" t="str">
        <f>IFERROR(__xludf.DUMMYFUNCTION("GOOGLETRANSLATE(B169,""en"",""zh"")"),"条款和条件")</f>
        <v>条款和条件</v>
      </c>
      <c r="L169" s="4" t="str">
        <f>IFERROR(__xludf.DUMMYFUNCTION("GOOGLETRANSLATE(B169,""en"",""es"")"),"Términos y condiciones")</f>
        <v>Términos y condiciones</v>
      </c>
      <c r="M169" s="4" t="str">
        <f>IFERROR(__xludf.DUMMYFUNCTION("GOOGLETRANSLATE(B169,""en"",""iw"")"),"תנאים")</f>
        <v>תנאים</v>
      </c>
      <c r="N169" s="4" t="str">
        <f>IFERROR(__xludf.DUMMYFUNCTION("GOOGLETRANSLATE(B169,""en"",""bn"")"),"শর্তাবলী")</f>
        <v>শর্তাবলী</v>
      </c>
      <c r="O169" s="4" t="str">
        <f>IFERROR(__xludf.DUMMYFUNCTION("GOOGLETRANSLATE(B169,""en"",""pt"")"),"Termos e Condições")</f>
        <v>Termos e Condições</v>
      </c>
      <c r="P169" s="6"/>
    </row>
    <row r="170">
      <c r="A170" s="7" t="s">
        <v>498</v>
      </c>
      <c r="B170" s="9" t="s">
        <v>499</v>
      </c>
      <c r="C170" s="4" t="str">
        <f>IFERROR(__xludf.DUMMYFUNCTION("GOOGLETRANSLATE(B170,""en"",""hi"")"),"आपके विश्वसनीय संपर्क")</f>
        <v>आपके विश्वसनीय संपर्क</v>
      </c>
      <c r="D170" s="6" t="s">
        <v>500</v>
      </c>
      <c r="E170" s="4" t="str">
        <f>IFERROR(__xludf.DUMMYFUNCTION("GOOGLETRANSLATE(B170,""en"",""fr"")"),"Vos contacts de confiance")</f>
        <v>Vos contacts de confiance</v>
      </c>
      <c r="F170" s="4" t="str">
        <f>IFERROR(__xludf.DUMMYFUNCTION("GOOGLETRANSLATE(B170,""en"",""tr"")"),"Güvenilir Kişileriniz")</f>
        <v>Güvenilir Kişileriniz</v>
      </c>
      <c r="G170" s="4" t="str">
        <f>IFERROR(__xludf.DUMMYFUNCTION("GOOGLETRANSLATE(B170,""en"",""ru"")"),"Ваши доверенные контакты")</f>
        <v>Ваши доверенные контакты</v>
      </c>
      <c r="H170" s="4" t="str">
        <f>IFERROR(__xludf.DUMMYFUNCTION("GOOGLETRANSLATE(B170,""en"",""it"")"),"I tuoi contatti fidati")</f>
        <v>I tuoi contatti fidati</v>
      </c>
      <c r="I170" s="4" t="str">
        <f>IFERROR(__xludf.DUMMYFUNCTION("GOOGLETRANSLATE(B170,""en"",""de"")"),"Ihre vertrauenswürdigen Kontakte")</f>
        <v>Ihre vertrauenswürdigen Kontakte</v>
      </c>
      <c r="J170" s="4" t="str">
        <f>IFERROR(__xludf.DUMMYFUNCTION("GOOGLETRANSLATE(B170,""en"",""ko"")"),"신뢰할 수 있는 연락처")</f>
        <v>신뢰할 수 있는 연락처</v>
      </c>
      <c r="K170" s="4" t="str">
        <f>IFERROR(__xludf.DUMMYFUNCTION("GOOGLETRANSLATE(B170,""en"",""zh"")"),"您值得信赖的联系人")</f>
        <v>您值得信赖的联系人</v>
      </c>
      <c r="L170" s="4" t="str">
        <f>IFERROR(__xludf.DUMMYFUNCTION("GOOGLETRANSLATE(B170,""en"",""es"")"),"Tus contactos de confianza")</f>
        <v>Tus contactos de confianza</v>
      </c>
      <c r="M170" s="4" t="str">
        <f>IFERROR(__xludf.DUMMYFUNCTION("GOOGLETRANSLATE(B170,""en"",""iw"")"),"אנשי הקשר המהימנים שלך")</f>
        <v>אנשי הקשר המהימנים שלך</v>
      </c>
      <c r="N170" s="4" t="str">
        <f>IFERROR(__xludf.DUMMYFUNCTION("GOOGLETRANSLATE(B170,""en"",""bn"")"),"আপনার বিশ্বস্ত পরিচিতি")</f>
        <v>আপনার বিশ্বস্ত পরিচিতি</v>
      </c>
      <c r="O170" s="4" t="str">
        <f>IFERROR(__xludf.DUMMYFUNCTION("GOOGLETRANSLATE(B170,""en"",""pt"")"),"Seus contatos confiáveis")</f>
        <v>Seus contatos confiáveis</v>
      </c>
      <c r="P170" s="6"/>
    </row>
    <row r="171">
      <c r="A171" s="7" t="s">
        <v>501</v>
      </c>
      <c r="B171" s="3" t="s">
        <v>502</v>
      </c>
      <c r="C171" s="4" t="str">
        <f>IFERROR(__xludf.DUMMYFUNCTION("GOOGLETRANSLATE(B171,""en"",""hi"")"),"क्या आप निश्चित रूप से इस संपर्क को अपने विश्वसनीय संपर्क से हटा देंगे?")</f>
        <v>क्या आप निश्चित रूप से इस संपर्क को अपने विश्वसनीय संपर्क से हटा देंगे?</v>
      </c>
      <c r="D171" s="6" t="s">
        <v>503</v>
      </c>
      <c r="E171" s="4" t="str">
        <f>IFERROR(__xludf.DUMMYFUNCTION("GOOGLETRANSLATE(B171,""en"",""fr"")"),"Êtes-vous sûr de supprimer ce contact de votre contact de confiance")</f>
        <v>Êtes-vous sûr de supprimer ce contact de votre contact de confiance</v>
      </c>
      <c r="F171" s="4" t="str">
        <f>IFERROR(__xludf.DUMMYFUNCTION("GOOGLETRANSLATE(B171,""en"",""tr"")"),"Bu kişiyi güvenilir Kişinizden kaldırdığınızdan emin misiniz?")</f>
        <v>Bu kişiyi güvenilir Kişinizden kaldırdığınızdan emin misiniz?</v>
      </c>
      <c r="G171" s="4" t="str">
        <f>IFERROR(__xludf.DUMMYFUNCTION("GOOGLETRANSLATE(B171,""en"",""ru"")"),"Вы уверены, что удалите этот контакт из списка доверенных контактов?")</f>
        <v>Вы уверены, что удалите этот контакт из списка доверенных контактов?</v>
      </c>
      <c r="H171" s="4" t="str">
        <f>IFERROR(__xludf.DUMMYFUNCTION("GOOGLETRANSLATE(B171,""en"",""it"")"),"Sei sicuro di rimuovere questo contatto dal tuo contatto fidato")</f>
        <v>Sei sicuro di rimuovere questo contatto dal tuo contatto fidato</v>
      </c>
      <c r="I171" s="4" t="str">
        <f>IFERROR(__xludf.DUMMYFUNCTION("GOOGLETRANSLATE(B171,""en"",""de"")"),"Sind Sie sicher, dass Sie diesen Kontakt aus Ihrem vertrauenswürdigen Kontakt entfernen?")</f>
        <v>Sind Sie sicher, dass Sie diesen Kontakt aus Ihrem vertrauenswürdigen Kontakt entfernen?</v>
      </c>
      <c r="J171" s="4" t="str">
        <f>IFERROR(__xludf.DUMMYFUNCTION("GOOGLETRANSLATE(B171,""en"",""ko"")"),"신뢰할 수 있는 연락처에서 이 연락처를 삭제하시겠습니까?")</f>
        <v>신뢰할 수 있는 연락처에서 이 연락처를 삭제하시겠습니까?</v>
      </c>
      <c r="K171" s="4" t="str">
        <f>IFERROR(__xludf.DUMMYFUNCTION("GOOGLETRANSLATE(B171,""en"",""zh"")"),"您确定从您信任的联系人中删除此联系人吗")</f>
        <v>您确定从您信任的联系人中删除此联系人吗</v>
      </c>
      <c r="L171" s="4" t="str">
        <f>IFERROR(__xludf.DUMMYFUNCTION("GOOGLETRANSLATE(B171,""en"",""es"")"),"¿Está seguro de eliminar este contacto de su contacto de confianza?")</f>
        <v>¿Está seguro de eliminar este contacto de su contacto de confianza?</v>
      </c>
      <c r="M171" s="4" t="str">
        <f>IFERROR(__xludf.DUMMYFUNCTION("GOOGLETRANSLATE(B171,""en"",""iw"")"),"האם אתה בטוח להסיר איש קשר זה מאיש הקשר המהימן שלך")</f>
        <v>האם אתה בטוח להסיר איש קשר זה מאיש הקשר המהימן שלך</v>
      </c>
      <c r="N171" s="4" t="str">
        <f>IFERROR(__xludf.DUMMYFUNCTION("GOOGLETRANSLATE(B171,""en"",""bn"")"),"আপনি কি আপনার বিশ্বস্ত পরিচিতি থেকে এই পরিচিতিটি সরানোর বিষয়ে নিশ্চিত")</f>
        <v>আপনি কি আপনার বিশ্বস্ত পরিচিতি থেকে এই পরিচিতিটি সরানোর বিষয়ে নিশ্চিত</v>
      </c>
      <c r="O171" s="4" t="str">
        <f>IFERROR(__xludf.DUMMYFUNCTION("GOOGLETRANSLATE(B171,""en"",""pt"")"),"Tem certeza de que deseja remover este contato do seu contato confiável")</f>
        <v>Tem certeza de que deseja remover este contato do seu contato confiável</v>
      </c>
      <c r="P171" s="4"/>
    </row>
    <row r="172">
      <c r="A172" s="7" t="s">
        <v>504</v>
      </c>
      <c r="B172" s="9" t="s">
        <v>505</v>
      </c>
      <c r="C172" s="4" t="str">
        <f>IFERROR(__xludf.DUMMYFUNCTION("GOOGLETRANSLATE(B172,""en"",""hi"")"),"डाटा प्राप्त नहीं हुआ")</f>
        <v>डाटा प्राप्त नहीं हुआ</v>
      </c>
      <c r="D172" s="6" t="s">
        <v>506</v>
      </c>
      <c r="E172" s="4" t="str">
        <f>IFERROR(__xludf.DUMMYFUNCTION("GOOGLETRANSLATE(B172,""en"",""fr"")"),"Aucune donnée disponible")</f>
        <v>Aucune donnée disponible</v>
      </c>
      <c r="F172" s="4" t="str">
        <f>IFERROR(__xludf.DUMMYFUNCTION("GOOGLETRANSLATE(B172,""en"",""tr"")"),"Veri bulunamadı")</f>
        <v>Veri bulunamadı</v>
      </c>
      <c r="G172" s="4" t="str">
        <f>IFERROR(__xludf.DUMMYFUNCTION("GOOGLETRANSLATE(B172,""en"",""ru"")"),"Данные не найдены")</f>
        <v>Данные не найдены</v>
      </c>
      <c r="H172" s="4" t="str">
        <f>IFERROR(__xludf.DUMMYFUNCTION("GOOGLETRANSLATE(B172,""en"",""it"")"),"Nessun dato trovato")</f>
        <v>Nessun dato trovato</v>
      </c>
      <c r="I172" s="4" t="str">
        <f>IFERROR(__xludf.DUMMYFUNCTION("GOOGLETRANSLATE(B172,""en"",""de"")"),"Keine Daten gefunden")</f>
        <v>Keine Daten gefunden</v>
      </c>
      <c r="J172" s="4" t="str">
        <f>IFERROR(__xludf.DUMMYFUNCTION("GOOGLETRANSLATE(B172,""en"",""ko"")"),"데이터가 없습니다")</f>
        <v>데이터가 없습니다</v>
      </c>
      <c r="K172" s="4" t="str">
        <f>IFERROR(__xludf.DUMMYFUNCTION("GOOGLETRANSLATE(B172,""en"",""zh"")"),"没有找到数据")</f>
        <v>没有找到数据</v>
      </c>
      <c r="L172" s="4" t="str">
        <f>IFERROR(__xludf.DUMMYFUNCTION("GOOGLETRANSLATE(B172,""en"",""es"")"),"Datos no encontrados")</f>
        <v>Datos no encontrados</v>
      </c>
      <c r="M172" s="4" t="str">
        <f>IFERROR(__xludf.DUMMYFUNCTION("GOOGLETRANSLATE(B172,""en"",""iw"")"),"לא נמצאו נתונים")</f>
        <v>לא נמצאו נתונים</v>
      </c>
      <c r="N172" s="4" t="str">
        <f>IFERROR(__xludf.DUMMYFUNCTION("GOOGLETRANSLATE(B172,""en"",""bn"")"),"কোন তথ্য পাওয়া যায়নি")</f>
        <v>কোন তথ্য পাওয়া যায়নি</v>
      </c>
      <c r="O172" s="4" t="str">
        <f>IFERROR(__xludf.DUMMYFUNCTION("GOOGLETRANSLATE(B172,""en"",""pt"")"),"Nenhum dado encontrado")</f>
        <v>Nenhum dado encontrado</v>
      </c>
      <c r="P172" s="6"/>
    </row>
    <row r="173">
      <c r="A173" s="7" t="s">
        <v>507</v>
      </c>
      <c r="B173" s="3" t="s">
        <v>508</v>
      </c>
      <c r="C173" s="4" t="str">
        <f>IFERROR(__xludf.DUMMYFUNCTION("GOOGLETRANSLATE(B173,""en"",""hi"")"),"क्या आप निश्चित रूप से इस पते को अपने पसंदीदा से हटा देंगे?")</f>
        <v>क्या आप निश्चित रूप से इस पते को अपने पसंदीदा से हटा देंगे?</v>
      </c>
      <c r="D173" s="6" t="s">
        <v>509</v>
      </c>
      <c r="E173" s="4" t="str">
        <f>IFERROR(__xludf.DUMMYFUNCTION("GOOGLETRANSLATE(B173,""en"",""fr"")"),"Êtes-vous sûr de supprimer cette adresse de vos favoris")</f>
        <v>Êtes-vous sûr de supprimer cette adresse de vos favoris</v>
      </c>
      <c r="F173" s="4" t="str">
        <f>IFERROR(__xludf.DUMMYFUNCTION("GOOGLETRANSLATE(B173,""en"",""tr"")"),"Bu adresi favorilerinizden çıkardığınızdan emin misiniz?")</f>
        <v>Bu adresi favorilerinizden çıkardığınızdan emin misiniz?</v>
      </c>
      <c r="G173" s="4" t="str">
        <f>IFERROR(__xludf.DUMMYFUNCTION("GOOGLETRANSLATE(B173,""en"",""ru"")"),"Вы уверены, что удалите этот адрес из избранного?")</f>
        <v>Вы уверены, что удалите этот адрес из избранного?</v>
      </c>
      <c r="H173" s="4" t="str">
        <f>IFERROR(__xludf.DUMMYFUNCTION("GOOGLETRANSLATE(B173,""en"",""it"")"),"Sei sicuro di rimuovere questo indirizzo dai tuoi preferiti?")</f>
        <v>Sei sicuro di rimuovere questo indirizzo dai tuoi preferiti?</v>
      </c>
      <c r="I173" s="4" t="str">
        <f>IFERROR(__xludf.DUMMYFUNCTION("GOOGLETRANSLATE(B173,""en"",""de"")"),"Möchten Sie diese Adresse wirklich aus Ihren Favoriten entfernen?")</f>
        <v>Möchten Sie diese Adresse wirklich aus Ihren Favoriten entfernen?</v>
      </c>
      <c r="J173" s="4" t="str">
        <f>IFERROR(__xludf.DUMMYFUNCTION("GOOGLETRANSLATE(B173,""en"",""ko"")"),"즐겨찾기에서 이 주소를 삭제하시겠습니까?")</f>
        <v>즐겨찾기에서 이 주소를 삭제하시겠습니까?</v>
      </c>
      <c r="K173" s="4" t="str">
        <f>IFERROR(__xludf.DUMMYFUNCTION("GOOGLETRANSLATE(B173,""en"",""zh"")"),"您确定从收藏夹中删除该地址吗")</f>
        <v>您确定从收藏夹中删除该地址吗</v>
      </c>
      <c r="L173" s="4" t="str">
        <f>IFERROR(__xludf.DUMMYFUNCTION("GOOGLETRANSLATE(B173,""en"",""es"")"),"¿Estás seguro de eliminar esta dirección de tus favoritos?")</f>
        <v>¿Estás seguro de eliminar esta dirección de tus favoritos?</v>
      </c>
      <c r="M173" s="4" t="str">
        <f>IFERROR(__xludf.DUMMYFUNCTION("GOOGLETRANSLATE(B173,""en"",""iw"")"),"האם אתה בטוח להסיר כתובת זו מהמועדפים שלך")</f>
        <v>האם אתה בטוח להסיר כתובת זו מהמועדפים שלך</v>
      </c>
      <c r="N173" s="4" t="str">
        <f>IFERROR(__xludf.DUMMYFUNCTION("GOOGLETRANSLATE(B173,""en"",""bn"")"),"আপনি কি আপনার পছন্দ থেকে এই ঠিকানাটি মুছে ফেলার ব্যাপারে নিশ্চিত")</f>
        <v>আপনি কি আপনার পছন্দ থেকে এই ঠিকানাটি মুছে ফেলার ব্যাপারে নিশ্চিত</v>
      </c>
      <c r="O173" s="4" t="str">
        <f>IFERROR(__xludf.DUMMYFUNCTION("GOOGLETRANSLATE(B173,""en"",""pt"")"),"Tem certeza de que deseja remover este endereço dos seus favoritos")</f>
        <v>Tem certeza de que deseja remover este endereço dos seus favoritos</v>
      </c>
      <c r="P173" s="6"/>
    </row>
    <row r="174">
      <c r="A174" s="7" t="s">
        <v>510</v>
      </c>
      <c r="B174" s="3" t="s">
        <v>511</v>
      </c>
      <c r="C174" s="4" t="str">
        <f>IFERROR(__xludf.DUMMYFUNCTION("GOOGLETRANSLATE(B174,""en"",""hi"")"),"आमंत्रित करना")</f>
        <v>आमंत्रित करना</v>
      </c>
      <c r="D174" s="6" t="s">
        <v>512</v>
      </c>
      <c r="E174" s="4" t="str">
        <f>IFERROR(__xludf.DUMMYFUNCTION("GOOGLETRANSLATE(B174,""en"",""fr"")"),"Inviter")</f>
        <v>Inviter</v>
      </c>
      <c r="F174" s="4" t="str">
        <f>IFERROR(__xludf.DUMMYFUNCTION("GOOGLETRANSLATE(B174,""en"",""tr"")"),"Davet etmek")</f>
        <v>Davet etmek</v>
      </c>
      <c r="G174" s="4" t="str">
        <f>IFERROR(__xludf.DUMMYFUNCTION("GOOGLETRANSLATE(B174,""en"",""ru"")"),"Приглашать")</f>
        <v>Приглашать</v>
      </c>
      <c r="H174" s="4" t="str">
        <f>IFERROR(__xludf.DUMMYFUNCTION("GOOGLETRANSLATE(B174,""en"",""it"")"),"Invitare")</f>
        <v>Invitare</v>
      </c>
      <c r="I174" s="4" t="str">
        <f>IFERROR(__xludf.DUMMYFUNCTION("GOOGLETRANSLATE(B174,""en"",""de"")"),"Einladen")</f>
        <v>Einladen</v>
      </c>
      <c r="J174" s="4" t="str">
        <f>IFERROR(__xludf.DUMMYFUNCTION("GOOGLETRANSLATE(B174,""en"",""ko"")"),"초대하다")</f>
        <v>초대하다</v>
      </c>
      <c r="K174" s="4" t="str">
        <f>IFERROR(__xludf.DUMMYFUNCTION("GOOGLETRANSLATE(B174,""en"",""zh"")"),"邀请")</f>
        <v>邀请</v>
      </c>
      <c r="L174" s="4" t="str">
        <f>IFERROR(__xludf.DUMMYFUNCTION("GOOGLETRANSLATE(B174,""en"",""es"")"),"Invitar")</f>
        <v>Invitar</v>
      </c>
      <c r="M174" s="4" t="str">
        <f>IFERROR(__xludf.DUMMYFUNCTION("GOOGLETRANSLATE(B174,""en"",""iw"")"),"להזמין")</f>
        <v>להזמין</v>
      </c>
      <c r="N174" s="4" t="str">
        <f>IFERROR(__xludf.DUMMYFUNCTION("GOOGLETRANSLATE(B174,""en"",""bn"")"),"আমন্ত্রণ")</f>
        <v>আমন্ত্রণ</v>
      </c>
      <c r="O174" s="4" t="str">
        <f>IFERROR(__xludf.DUMMYFUNCTION("GOOGLETRANSLATE(B174,""en"",""pt"")"),"Convidar")</f>
        <v>Convidar</v>
      </c>
      <c r="P174" s="6"/>
    </row>
    <row r="175">
      <c r="A175" s="7" t="s">
        <v>513</v>
      </c>
      <c r="B175" s="3" t="s">
        <v>514</v>
      </c>
      <c r="C175" s="4" t="str">
        <f>IFERROR(__xludf.DUMMYFUNCTION("GOOGLETRANSLATE(B175,""en"",""hi"")"),"55 पर मेरे साथ जुड़ें! मेरे आमंत्रण कोड का उपयोग कर रहा हूँ")</f>
        <v>55 पर मेरे साथ जुड़ें! मेरे आमंत्रण कोड का उपयोग कर रहा हूँ</v>
      </c>
      <c r="D175" s="6" t="s">
        <v>515</v>
      </c>
      <c r="E175" s="4" t="str">
        <f>IFERROR(__xludf.DUMMYFUNCTION("GOOGLETRANSLATE(B175,""en"",""fr"")"),"Rejoignez-moi au 55 ! en utilisant mon code d'invitation")</f>
        <v>Rejoignez-moi au 55 ! en utilisant mon code d'invitation</v>
      </c>
      <c r="F175" s="4" t="str">
        <f>IFERROR(__xludf.DUMMYFUNCTION("GOOGLETRANSLATE(B175,""en"",""tr"")"),"55'te bana katılın! davet kodumu kullanıyorum")</f>
        <v>55'te bana katılın! davet kodumu kullanıyorum</v>
      </c>
      <c r="G175" s="4" t="str">
        <f>IFERROR(__xludf.DUMMYFUNCTION("GOOGLETRANSLATE(B175,""en"",""ru"")"),"Присоединяйтесь ко мне в 55! используя мой пригласительный код")</f>
        <v>Присоединяйтесь ко мне в 55! используя мой пригласительный код</v>
      </c>
      <c r="H175" s="4" t="str">
        <f>IFERROR(__xludf.DUMMYFUNCTION("GOOGLETRANSLATE(B175,""en"",""it"")"),"Unisciti a me su 55! utilizzando il mio codice di invito")</f>
        <v>Unisciti a me su 55! utilizzando il mio codice di invito</v>
      </c>
      <c r="I175" s="4" t="str">
        <f>IFERROR(__xludf.DUMMYFUNCTION("GOOGLETRANSLATE(B175,""en"",""de"")"),"Begleiten Sie mich auf 55! mit meinem Einladungscode")</f>
        <v>Begleiten Sie mich auf 55! mit meinem Einladungscode</v>
      </c>
      <c r="J175" s="4" t="str">
        <f>IFERROR(__xludf.DUMMYFUNCTION("GOOGLETRANSLATE(B175,""en"",""ko"")"),"55에 저와 함께 하세요! 내 초대 코드를 사용하여")</f>
        <v>55에 저와 함께 하세요! 내 초대 코드를 사용하여</v>
      </c>
      <c r="K175" s="4" t="str">
        <f>IFERROR(__xludf.DUMMYFUNCTION("GOOGLETRANSLATE(B175,""en"",""zh"")"),"55号跟我一起来吧！使用我的邀请码")</f>
        <v>55号跟我一起来吧！使用我的邀请码</v>
      </c>
      <c r="L175" s="4" t="str">
        <f>IFERROR(__xludf.DUMMYFUNCTION("GOOGLETRANSLATE(B175,""en"",""es"")"),"¡Únete a mí en 55! usando mi código de invitación")</f>
        <v>¡Únete a mí en 55! usando mi código de invitación</v>
      </c>
      <c r="M175" s="4" t="str">
        <f>IFERROR(__xludf.DUMMYFUNCTION("GOOGLETRANSLATE(B175,""en"",""iw"")"),"הצטרפו אלי ב-55! באמצעות קוד ההזמנה שלי")</f>
        <v>הצטרפו אלי ב-55! באמצעות קוד ההזמנה שלי</v>
      </c>
      <c r="N175" s="4" t="str">
        <f>IFERROR(__xludf.DUMMYFUNCTION("GOOGLETRANSLATE(B175,""en"",""bn"")"),"55 এ আমার সাথে যোগ দিন! আমার আমন্ত্রণ কোড ব্যবহার করে")</f>
        <v>55 এ আমার সাথে যোগ দিন! আমার আমন্ত্রণ কোড ব্যবহার করে</v>
      </c>
      <c r="O175" s="4" t="str">
        <f>IFERROR(__xludf.DUMMYFUNCTION("GOOGLETRANSLATE(B175,""en"",""pt"")"),"Junte-se a mim no 55! usando meu código de convite")</f>
        <v>Junte-se a mim no 55! usando meu código de convite</v>
      </c>
      <c r="P175" s="6"/>
    </row>
    <row r="176">
      <c r="A176" s="7" t="s">
        <v>516</v>
      </c>
      <c r="B176" s="3" t="s">
        <v>517</v>
      </c>
      <c r="C176" s="4" t="str">
        <f>IFERROR(__xludf.DUMMYFUNCTION("GOOGLETRANSLATE(B176,""en"",""hi"")"),"आपकी सवारी को आसान बनाने के लिए")</f>
        <v>आपकी सवारी को आसान बनाने के लिए</v>
      </c>
      <c r="D176" s="6" t="s">
        <v>518</v>
      </c>
      <c r="E176" s="4" t="str">
        <f>IFERROR(__xludf.DUMMYFUNCTION("GOOGLETRANSLATE(B176,""en"",""fr"")"),"Pour faciliter votre trajet")</f>
        <v>Pour faciliter votre trajet</v>
      </c>
      <c r="F176" s="4" t="str">
        <f>IFERROR(__xludf.DUMMYFUNCTION("GOOGLETRANSLATE(B176,""en"",""tr"")"),"Sürüşünüzü kolaylaştırmak için")</f>
        <v>Sürüşünüzü kolaylaştırmak için</v>
      </c>
      <c r="G176" s="4" t="str">
        <f>IFERROR(__xludf.DUMMYFUNCTION("GOOGLETRANSLATE(B176,""en"",""ru"")"),"Чтобы облегчить вашу поездку")</f>
        <v>Чтобы облегчить вашу поездку</v>
      </c>
      <c r="H176" s="4" t="str">
        <f>IFERROR(__xludf.DUMMYFUNCTION("GOOGLETRANSLATE(B176,""en"",""it"")"),"Per rendere più facile il tuo viaggio")</f>
        <v>Per rendere più facile il tuo viaggio</v>
      </c>
      <c r="I176" s="4" t="str">
        <f>IFERROR(__xludf.DUMMYFUNCTION("GOOGLETRANSLATE(B176,""en"",""de"")"),"Um Ihnen die Fahrt zu erleichtern")</f>
        <v>Um Ihnen die Fahrt zu erleichtern</v>
      </c>
      <c r="J176" s="4" t="str">
        <f>IFERROR(__xludf.DUMMYFUNCTION("GOOGLETRANSLATE(B176,""en"",""ko"")"),"당신의 라이딩을 쉽게 하기 위해")</f>
        <v>당신의 라이딩을 쉽게 하기 위해</v>
      </c>
      <c r="K176" s="4" t="str">
        <f>IFERROR(__xludf.DUMMYFUNCTION("GOOGLETRANSLATE(B176,""en"",""zh"")"),"为了让您的出行更加轻松")</f>
        <v>为了让您的出行更加轻松</v>
      </c>
      <c r="L176" s="4" t="str">
        <f>IFERROR(__xludf.DUMMYFUNCTION("GOOGLETRANSLATE(B176,""en"",""es"")"),"Para facilitar tu viaje")</f>
        <v>Para facilitar tu viaje</v>
      </c>
      <c r="M176" s="4" t="str">
        <f>IFERROR(__xludf.DUMMYFUNCTION("GOOGLETRANSLATE(B176,""en"",""iw"")"),"כדי להקל על הנסיעה שלך")</f>
        <v>כדי להקל על הנסיעה שלך</v>
      </c>
      <c r="N176" s="4" t="str">
        <f>IFERROR(__xludf.DUMMYFUNCTION("GOOGLETRANSLATE(B176,""en"",""bn"")"),"আপনার যাত্রা সহজ করতে")</f>
        <v>আপনার যাত্রা সহজ করতে</v>
      </c>
      <c r="O176" s="4" t="str">
        <f>IFERROR(__xludf.DUMMYFUNCTION("GOOGLETRANSLATE(B176,""en"",""pt"")"),"Para facilitar seu passeio")</f>
        <v>Para facilitar seu passeio</v>
      </c>
      <c r="P176" s="6"/>
    </row>
    <row r="177">
      <c r="A177" s="7" t="s">
        <v>519</v>
      </c>
      <c r="B177" s="3" t="s">
        <v>520</v>
      </c>
      <c r="C177" s="4" t="str">
        <f>IFERROR(__xludf.DUMMYFUNCTION("GOOGLETRANSLATE(B177,""en"",""hi"")"),"आगामी")</f>
        <v>आगामी</v>
      </c>
      <c r="D177" s="6" t="s">
        <v>521</v>
      </c>
      <c r="E177" s="4" t="str">
        <f>IFERROR(__xludf.DUMMYFUNCTION("GOOGLETRANSLATE(B177,""en"",""fr"")"),"A venir")</f>
        <v>A venir</v>
      </c>
      <c r="F177" s="4" t="str">
        <f>IFERROR(__xludf.DUMMYFUNCTION("GOOGLETRANSLATE(B177,""en"",""tr"")"),"Yaklaşan")</f>
        <v>Yaklaşan</v>
      </c>
      <c r="G177" s="4" t="str">
        <f>IFERROR(__xludf.DUMMYFUNCTION("GOOGLETRANSLATE(B177,""en"",""ru"")"),"Предстоящие")</f>
        <v>Предстоящие</v>
      </c>
      <c r="H177" s="4" t="str">
        <f>IFERROR(__xludf.DUMMYFUNCTION("GOOGLETRANSLATE(B177,""en"",""it"")"),"Prossimamente")</f>
        <v>Prossimamente</v>
      </c>
      <c r="I177" s="4" t="str">
        <f>IFERROR(__xludf.DUMMYFUNCTION("GOOGLETRANSLATE(B177,""en"",""de"")"),"Bevorstehende")</f>
        <v>Bevorstehende</v>
      </c>
      <c r="J177" s="4" t="str">
        <f>IFERROR(__xludf.DUMMYFUNCTION("GOOGLETRANSLATE(B177,""en"",""ko"")"),"예정")</f>
        <v>예정</v>
      </c>
      <c r="K177" s="4" t="str">
        <f>IFERROR(__xludf.DUMMYFUNCTION("GOOGLETRANSLATE(B177,""en"",""zh"")"),"即将推出")</f>
        <v>即将推出</v>
      </c>
      <c r="L177" s="4" t="str">
        <f>IFERROR(__xludf.DUMMYFUNCTION("GOOGLETRANSLATE(B177,""en"",""es"")"),"Próximo")</f>
        <v>Próximo</v>
      </c>
      <c r="M177" s="4" t="str">
        <f>IFERROR(__xludf.DUMMYFUNCTION("GOOGLETRANSLATE(B177,""en"",""iw"")"),"בקרוב")</f>
        <v>בקרוב</v>
      </c>
      <c r="N177" s="4" t="str">
        <f>IFERROR(__xludf.DUMMYFUNCTION("GOOGLETRANSLATE(B177,""en"",""bn"")"),"আসন্ন")</f>
        <v>আসন্ন</v>
      </c>
      <c r="O177" s="4" t="str">
        <f>IFERROR(__xludf.DUMMYFUNCTION("GOOGLETRANSLATE(B177,""en"",""pt"")"),"Por vir")</f>
        <v>Por vir</v>
      </c>
      <c r="P177" s="6"/>
    </row>
    <row r="178">
      <c r="A178" s="7" t="s">
        <v>522</v>
      </c>
      <c r="B178" s="3" t="s">
        <v>523</v>
      </c>
      <c r="C178" s="4" t="str">
        <f>IFERROR(__xludf.DUMMYFUNCTION("GOOGLETRANSLATE(B178,""en"",""hi"")"),"पुरा होना।")</f>
        <v>पुरा होना।</v>
      </c>
      <c r="D178" s="6" t="s">
        <v>524</v>
      </c>
      <c r="E178" s="4" t="str">
        <f>IFERROR(__xludf.DUMMYFUNCTION("GOOGLETRANSLATE(B178,""en"",""fr"")"),"Complété")</f>
        <v>Complété</v>
      </c>
      <c r="F178" s="4" t="str">
        <f>IFERROR(__xludf.DUMMYFUNCTION("GOOGLETRANSLATE(B178,""en"",""tr"")"),"Tamamlanmış")</f>
        <v>Tamamlanmış</v>
      </c>
      <c r="G178" s="4" t="str">
        <f>IFERROR(__xludf.DUMMYFUNCTION("GOOGLETRANSLATE(B178,""en"",""ru"")"),"Завершенный")</f>
        <v>Завершенный</v>
      </c>
      <c r="H178" s="4" t="str">
        <f>IFERROR(__xludf.DUMMYFUNCTION("GOOGLETRANSLATE(B178,""en"",""it"")"),"Completato")</f>
        <v>Completato</v>
      </c>
      <c r="I178" s="4" t="str">
        <f>IFERROR(__xludf.DUMMYFUNCTION("GOOGLETRANSLATE(B178,""en"",""de"")"),"Vollendet")</f>
        <v>Vollendet</v>
      </c>
      <c r="J178" s="4" t="str">
        <f>IFERROR(__xludf.DUMMYFUNCTION("GOOGLETRANSLATE(B178,""en"",""ko"")"),"완전한")</f>
        <v>완전한</v>
      </c>
      <c r="K178" s="4" t="str">
        <f>IFERROR(__xludf.DUMMYFUNCTION("GOOGLETRANSLATE(B178,""en"",""zh"")"),"完全的")</f>
        <v>完全的</v>
      </c>
      <c r="L178" s="4" t="str">
        <f>IFERROR(__xludf.DUMMYFUNCTION("GOOGLETRANSLATE(B178,""en"",""es"")"),"Terminado")</f>
        <v>Terminado</v>
      </c>
      <c r="M178" s="4" t="str">
        <f>IFERROR(__xludf.DUMMYFUNCTION("GOOGLETRANSLATE(B178,""en"",""iw"")"),"הושלם")</f>
        <v>הושלם</v>
      </c>
      <c r="N178" s="4" t="str">
        <f>IFERROR(__xludf.DUMMYFUNCTION("GOOGLETRANSLATE(B178,""en"",""bn"")"),"সম্পন্ন")</f>
        <v>সম্পন্ন</v>
      </c>
      <c r="O178" s="4" t="str">
        <f>IFERROR(__xludf.DUMMYFUNCTION("GOOGLETRANSLATE(B178,""en"",""pt"")"),"Concluído")</f>
        <v>Concluído</v>
      </c>
      <c r="P178" s="6"/>
    </row>
    <row r="179">
      <c r="A179" s="7" t="s">
        <v>525</v>
      </c>
      <c r="B179" s="3" t="s">
        <v>526</v>
      </c>
      <c r="C179" s="4" t="str">
        <f>IFERROR(__xludf.DUMMYFUNCTION("GOOGLETRANSLATE(B179,""en"",""hi"")"),"रद्द")</f>
        <v>रद्द</v>
      </c>
      <c r="D179" s="6" t="s">
        <v>527</v>
      </c>
      <c r="E179" s="4" t="str">
        <f>IFERROR(__xludf.DUMMYFUNCTION("GOOGLETRANSLATE(B179,""en"",""fr"")"),"Annulé")</f>
        <v>Annulé</v>
      </c>
      <c r="F179" s="4" t="str">
        <f>IFERROR(__xludf.DUMMYFUNCTION("GOOGLETRANSLATE(B179,""en"",""tr"")"),"İptal edildi")</f>
        <v>İptal edildi</v>
      </c>
      <c r="G179" s="4" t="str">
        <f>IFERROR(__xludf.DUMMYFUNCTION("GOOGLETRANSLATE(B179,""en"",""ru"")"),"Отменено")</f>
        <v>Отменено</v>
      </c>
      <c r="H179" s="4" t="str">
        <f>IFERROR(__xludf.DUMMYFUNCTION("GOOGLETRANSLATE(B179,""en"",""it"")"),"Annullato")</f>
        <v>Annullato</v>
      </c>
      <c r="I179" s="4" t="str">
        <f>IFERROR(__xludf.DUMMYFUNCTION("GOOGLETRANSLATE(B179,""en"",""de"")"),"Abgesagt")</f>
        <v>Abgesagt</v>
      </c>
      <c r="J179" s="4" t="str">
        <f>IFERROR(__xludf.DUMMYFUNCTION("GOOGLETRANSLATE(B179,""en"",""ko"")"),"취소 된")</f>
        <v>취소 된</v>
      </c>
      <c r="K179" s="4" t="str">
        <f>IFERROR(__xludf.DUMMYFUNCTION("GOOGLETRANSLATE(B179,""en"",""zh"")"),"取消")</f>
        <v>取消</v>
      </c>
      <c r="L179" s="4" t="str">
        <f>IFERROR(__xludf.DUMMYFUNCTION("GOOGLETRANSLATE(B179,""en"",""es"")"),"Cancelado")</f>
        <v>Cancelado</v>
      </c>
      <c r="M179" s="4" t="str">
        <f>IFERROR(__xludf.DUMMYFUNCTION("GOOGLETRANSLATE(B179,""en"",""iw"")"),"מבוטל")</f>
        <v>מבוטל</v>
      </c>
      <c r="N179" s="4" t="str">
        <f>IFERROR(__xludf.DUMMYFUNCTION("GOOGLETRANSLATE(B179,""en"",""bn"")"),"বাতিল")</f>
        <v>বাতিল</v>
      </c>
      <c r="O179" s="4" t="str">
        <f>IFERROR(__xludf.DUMMYFUNCTION("GOOGLETRANSLATE(B179,""en"",""pt"")"),"Cancelado")</f>
        <v>Cancelado</v>
      </c>
      <c r="P179" s="6"/>
    </row>
    <row r="180">
      <c r="A180" s="7" t="s">
        <v>528</v>
      </c>
      <c r="B180" s="3" t="s">
        <v>529</v>
      </c>
      <c r="C180" s="4" t="str">
        <f>IFERROR(__xludf.DUMMYFUNCTION("GOOGLETRANSLATE(B180,""en"",""hi"")"),"कार्ड")</f>
        <v>कार्ड</v>
      </c>
      <c r="D180" s="6" t="s">
        <v>530</v>
      </c>
      <c r="E180" s="4" t="str">
        <f>IFERROR(__xludf.DUMMYFUNCTION("GOOGLETRANSLATE(B180,""en"",""fr"")"),"Carte")</f>
        <v>Carte</v>
      </c>
      <c r="F180" s="4" t="str">
        <f>IFERROR(__xludf.DUMMYFUNCTION("GOOGLETRANSLATE(B180,""en"",""tr"")"),"Kart")</f>
        <v>Kart</v>
      </c>
      <c r="G180" s="4" t="str">
        <f>IFERROR(__xludf.DUMMYFUNCTION("GOOGLETRANSLATE(B180,""en"",""ru"")"),"Карта")</f>
        <v>Карта</v>
      </c>
      <c r="H180" s="4" t="str">
        <f>IFERROR(__xludf.DUMMYFUNCTION("GOOGLETRANSLATE(B180,""en"",""it"")"),"Carta")</f>
        <v>Carta</v>
      </c>
      <c r="I180" s="4" t="str">
        <f>IFERROR(__xludf.DUMMYFUNCTION("GOOGLETRANSLATE(B180,""en"",""de"")"),"Karte")</f>
        <v>Karte</v>
      </c>
      <c r="J180" s="4" t="str">
        <f>IFERROR(__xludf.DUMMYFUNCTION("GOOGLETRANSLATE(B180,""en"",""ko"")"),"카드")</f>
        <v>카드</v>
      </c>
      <c r="K180" s="4" t="str">
        <f>IFERROR(__xludf.DUMMYFUNCTION("GOOGLETRANSLATE(B180,""en"",""zh"")"),"卡片")</f>
        <v>卡片</v>
      </c>
      <c r="L180" s="4" t="str">
        <f>IFERROR(__xludf.DUMMYFUNCTION("GOOGLETRANSLATE(B180,""en"",""es"")"),"Tarjeta")</f>
        <v>Tarjeta</v>
      </c>
      <c r="M180" s="4" t="str">
        <f>IFERROR(__xludf.DUMMYFUNCTION("GOOGLETRANSLATE(B180,""en"",""iw"")"),"כַּרְטִיס")</f>
        <v>כַּרְטִיס</v>
      </c>
      <c r="N180" s="4" t="str">
        <f>IFERROR(__xludf.DUMMYFUNCTION("GOOGLETRANSLATE(B180,""en"",""bn"")"),"কার্ড")</f>
        <v>কার্ড</v>
      </c>
      <c r="O180" s="4" t="str">
        <f>IFERROR(__xludf.DUMMYFUNCTION("GOOGLETRANSLATE(B180,""en"",""pt"")"),"Cartão")</f>
        <v>Cartão</v>
      </c>
      <c r="P180" s="6"/>
    </row>
    <row r="181">
      <c r="A181" s="7" t="s">
        <v>531</v>
      </c>
      <c r="B181" s="3" t="s">
        <v>532</v>
      </c>
      <c r="C181" s="4" t="str">
        <f>IFERROR(__xludf.DUMMYFUNCTION("GOOGLETRANSLATE(B181,""en"",""hi"")"),"और लोड करें")</f>
        <v>और लोड करें</v>
      </c>
      <c r="D181" s="6" t="s">
        <v>533</v>
      </c>
      <c r="E181" s="4" t="str">
        <f>IFERROR(__xludf.DUMMYFUNCTION("GOOGLETRANSLATE(B181,""en"",""fr"")"),"Charger plus")</f>
        <v>Charger plus</v>
      </c>
      <c r="F181" s="4" t="str">
        <f>IFERROR(__xludf.DUMMYFUNCTION("GOOGLETRANSLATE(B181,""en"",""tr"")"),"Daha fazla yükle")</f>
        <v>Daha fazla yükle</v>
      </c>
      <c r="G181" s="4" t="str">
        <f>IFERROR(__xludf.DUMMYFUNCTION("GOOGLETRANSLATE(B181,""en"",""ru"")"),"Загрузи больше")</f>
        <v>Загрузи больше</v>
      </c>
      <c r="H181" s="4" t="str">
        <f>IFERROR(__xludf.DUMMYFUNCTION("GOOGLETRANSLATE(B181,""en"",""it"")"),"Carica altro")</f>
        <v>Carica altro</v>
      </c>
      <c r="I181" s="4" t="str">
        <f>IFERROR(__xludf.DUMMYFUNCTION("GOOGLETRANSLATE(B181,""en"",""de"")"),"Mehr laden")</f>
        <v>Mehr laden</v>
      </c>
      <c r="J181" s="4" t="str">
        <f>IFERROR(__xludf.DUMMYFUNCTION("GOOGLETRANSLATE(B181,""en"",""ko"")"),"더 로드하기")</f>
        <v>더 로드하기</v>
      </c>
      <c r="K181" s="4" t="str">
        <f>IFERROR(__xludf.DUMMYFUNCTION("GOOGLETRANSLATE(B181,""en"",""zh"")"),"装载更多")</f>
        <v>装载更多</v>
      </c>
      <c r="L181" s="4" t="str">
        <f>IFERROR(__xludf.DUMMYFUNCTION("GOOGLETRANSLATE(B181,""en"",""es"")"),"Carga más")</f>
        <v>Carga más</v>
      </c>
      <c r="M181" s="4" t="str">
        <f>IFERROR(__xludf.DUMMYFUNCTION("GOOGLETRANSLATE(B181,""en"",""iw"")"),"טען עוד")</f>
        <v>טען עוד</v>
      </c>
      <c r="N181" s="4" t="str">
        <f>IFERROR(__xludf.DUMMYFUNCTION("GOOGLETRANSLATE(B181,""en"",""bn"")"),"আর ঢুকাও")</f>
        <v>আর ঢুকাও</v>
      </c>
      <c r="O181" s="4" t="str">
        <f>IFERROR(__xludf.DUMMYFUNCTION("GOOGLETRANSLATE(B181,""en"",""pt"")"),"Carregue mais")</f>
        <v>Carregue mais</v>
      </c>
      <c r="P181" s="6"/>
    </row>
    <row r="182">
      <c r="A182" s="7" t="s">
        <v>534</v>
      </c>
      <c r="B182" s="3" t="s">
        <v>535</v>
      </c>
      <c r="C182" s="4" t="str">
        <f>IFERROR(__xludf.DUMMYFUNCTION("GOOGLETRANSLATE(B182,""en"",""hi"")"),"स्थान विवरण")</f>
        <v>स्थान विवरण</v>
      </c>
      <c r="D182" s="6" t="s">
        <v>536</v>
      </c>
      <c r="E182" s="4" t="str">
        <f>IFERROR(__xludf.DUMMYFUNCTION("GOOGLETRANSLATE(B182,""en"",""fr"")"),"Détails de l'emplacement")</f>
        <v>Détails de l'emplacement</v>
      </c>
      <c r="F182" s="4" t="str">
        <f>IFERROR(__xludf.DUMMYFUNCTION("GOOGLETRANSLATE(B182,""en"",""tr"")"),"Konum ayrıntıları")</f>
        <v>Konum ayrıntıları</v>
      </c>
      <c r="G182" s="4" t="str">
        <f>IFERROR(__xludf.DUMMYFUNCTION("GOOGLETRANSLATE(B182,""en"",""ru"")"),"Детали местоположения")</f>
        <v>Детали местоположения</v>
      </c>
      <c r="H182" s="4" t="str">
        <f>IFERROR(__xludf.DUMMYFUNCTION("GOOGLETRANSLATE(B182,""en"",""it"")"),"Dettagli sulla posizione")</f>
        <v>Dettagli sulla posizione</v>
      </c>
      <c r="I182" s="4" t="str">
        <f>IFERROR(__xludf.DUMMYFUNCTION("GOOGLETRANSLATE(B182,""en"",""de"")"),"Standortdetails")</f>
        <v>Standortdetails</v>
      </c>
      <c r="J182" s="4" t="str">
        <f>IFERROR(__xludf.DUMMYFUNCTION("GOOGLETRANSLATE(B182,""en"",""ko"")"),"위치 세부정보")</f>
        <v>위치 세부정보</v>
      </c>
      <c r="K182" s="4" t="str">
        <f>IFERROR(__xludf.DUMMYFUNCTION("GOOGLETRANSLATE(B182,""en"",""zh"")"),"地点详情")</f>
        <v>地点详情</v>
      </c>
      <c r="L182" s="4" t="str">
        <f>IFERROR(__xludf.DUMMYFUNCTION("GOOGLETRANSLATE(B182,""en"",""es"")"),"Detalles de ubicación")</f>
        <v>Detalles de ubicación</v>
      </c>
      <c r="M182" s="4" t="str">
        <f>IFERROR(__xludf.DUMMYFUNCTION("GOOGLETRANSLATE(B182,""en"",""iw"")"),"פרטי מיקום")</f>
        <v>פרטי מיקום</v>
      </c>
      <c r="N182" s="4" t="str">
        <f>IFERROR(__xludf.DUMMYFUNCTION("GOOGLETRANSLATE(B182,""en"",""bn"")"),"অবস্থানের বিবরণ")</f>
        <v>অবস্থানের বিবরণ</v>
      </c>
      <c r="O182" s="4" t="str">
        <f>IFERROR(__xludf.DUMMYFUNCTION("GOOGLETRANSLATE(B182,""en"",""pt"")"),"Detalhes do local")</f>
        <v>Detalhes do local</v>
      </c>
      <c r="P182" s="6"/>
    </row>
    <row r="183">
      <c r="A183" s="7" t="s">
        <v>537</v>
      </c>
      <c r="B183" s="3" t="s">
        <v>538</v>
      </c>
      <c r="C183" s="4" t="str">
        <f>IFERROR(__xludf.DUMMYFUNCTION("GOOGLETRANSLATE(B183,""en"",""hi"")"),"सौंपा गया")</f>
        <v>सौंपा गया</v>
      </c>
      <c r="D183" s="6" t="s">
        <v>539</v>
      </c>
      <c r="E183" s="4" t="str">
        <f>IFERROR(__xludf.DUMMYFUNCTION("GOOGLETRANSLATE(B183,""en"",""fr"")"),"Attribué")</f>
        <v>Attribué</v>
      </c>
      <c r="F183" s="4" t="str">
        <f>IFERROR(__xludf.DUMMYFUNCTION("GOOGLETRANSLATE(B183,""en"",""tr"")"),"Atandı")</f>
        <v>Atandı</v>
      </c>
      <c r="G183" s="4" t="str">
        <f>IFERROR(__xludf.DUMMYFUNCTION("GOOGLETRANSLATE(B183,""en"",""ru"")"),"Назначенный")</f>
        <v>Назначенный</v>
      </c>
      <c r="H183" s="4" t="str">
        <f>IFERROR(__xludf.DUMMYFUNCTION("GOOGLETRANSLATE(B183,""en"",""it"")"),"Assegnato")</f>
        <v>Assegnato</v>
      </c>
      <c r="I183" s="4" t="str">
        <f>IFERROR(__xludf.DUMMYFUNCTION("GOOGLETRANSLATE(B183,""en"",""de"")"),"Zugewiesen")</f>
        <v>Zugewiesen</v>
      </c>
      <c r="J183" s="4" t="str">
        <f>IFERROR(__xludf.DUMMYFUNCTION("GOOGLETRANSLATE(B183,""en"",""ko"")"),"할당된")</f>
        <v>할당된</v>
      </c>
      <c r="K183" s="4" t="str">
        <f>IFERROR(__xludf.DUMMYFUNCTION("GOOGLETRANSLATE(B183,""en"",""zh"")"),"已分配")</f>
        <v>已分配</v>
      </c>
      <c r="L183" s="4" t="str">
        <f>IFERROR(__xludf.DUMMYFUNCTION("GOOGLETRANSLATE(B183,""en"",""es"")"),"Asignado")</f>
        <v>Asignado</v>
      </c>
      <c r="M183" s="4" t="str">
        <f>IFERROR(__xludf.DUMMYFUNCTION("GOOGLETRANSLATE(B183,""en"",""iw"")"),"שהוקצה")</f>
        <v>שהוקצה</v>
      </c>
      <c r="N183" s="4" t="str">
        <f>IFERROR(__xludf.DUMMYFUNCTION("GOOGLETRANSLATE(B183,""en"",""bn"")"),"বরাদ্দ করা হয়েছে")</f>
        <v>বরাদ্দ করা হয়েছে</v>
      </c>
      <c r="O183" s="4" t="str">
        <f>IFERROR(__xludf.DUMMYFUNCTION("GOOGLETRANSLATE(B183,""en"",""pt"")"),"Atribuído")</f>
        <v>Atribuído</v>
      </c>
      <c r="P183" s="6"/>
    </row>
    <row r="184">
      <c r="A184" s="7" t="s">
        <v>540</v>
      </c>
      <c r="B184" s="3" t="s">
        <v>541</v>
      </c>
      <c r="C184" s="4" t="str">
        <f>IFERROR(__xludf.DUMMYFUNCTION("GOOGLETRANSLATE(B184,""en"",""hi"")"),"शुरू कर दिया")</f>
        <v>शुरू कर दिया</v>
      </c>
      <c r="D184" s="6" t="s">
        <v>542</v>
      </c>
      <c r="E184" s="4" t="str">
        <f>IFERROR(__xludf.DUMMYFUNCTION("GOOGLETRANSLATE(B184,""en"",""fr"")"),"Commencé")</f>
        <v>Commencé</v>
      </c>
      <c r="F184" s="4" t="str">
        <f>IFERROR(__xludf.DUMMYFUNCTION("GOOGLETRANSLATE(B184,""en"",""tr"")"),"Başlatıldı")</f>
        <v>Başlatıldı</v>
      </c>
      <c r="G184" s="4" t="str">
        <f>IFERROR(__xludf.DUMMYFUNCTION("GOOGLETRANSLATE(B184,""en"",""ru"")"),"Начал")</f>
        <v>Начал</v>
      </c>
      <c r="H184" s="4" t="str">
        <f>IFERROR(__xludf.DUMMYFUNCTION("GOOGLETRANSLATE(B184,""en"",""it"")"),"Iniziato")</f>
        <v>Iniziato</v>
      </c>
      <c r="I184" s="4" t="str">
        <f>IFERROR(__xludf.DUMMYFUNCTION("GOOGLETRANSLATE(B184,""en"",""de"")"),"Gestartet")</f>
        <v>Gestartet</v>
      </c>
      <c r="J184" s="4" t="str">
        <f>IFERROR(__xludf.DUMMYFUNCTION("GOOGLETRANSLATE(B184,""en"",""ko"")"),"시작됨")</f>
        <v>시작됨</v>
      </c>
      <c r="K184" s="4" t="str">
        <f>IFERROR(__xludf.DUMMYFUNCTION("GOOGLETRANSLATE(B184,""en"",""zh"")"),"开始")</f>
        <v>开始</v>
      </c>
      <c r="L184" s="4" t="str">
        <f>IFERROR(__xludf.DUMMYFUNCTION("GOOGLETRANSLATE(B184,""en"",""es"")"),"Comenzó")</f>
        <v>Comenzó</v>
      </c>
      <c r="M184" s="4" t="str">
        <f>IFERROR(__xludf.DUMMYFUNCTION("GOOGLETRANSLATE(B184,""en"",""iw"")"),"התחיל")</f>
        <v>התחיל</v>
      </c>
      <c r="N184" s="4" t="str">
        <f>IFERROR(__xludf.DUMMYFUNCTION("GOOGLETRANSLATE(B184,""en"",""bn"")"),"শুরু হয়েছে")</f>
        <v>শুরু হয়েছে</v>
      </c>
      <c r="O184" s="4" t="str">
        <f>IFERROR(__xludf.DUMMYFUNCTION("GOOGLETRANSLATE(B184,""en"",""pt"")"),"Iniciado")</f>
        <v>Iniciado</v>
      </c>
      <c r="P184" s="6"/>
    </row>
    <row r="185">
      <c r="A185" s="7" t="s">
        <v>543</v>
      </c>
      <c r="B185" s="3" t="s">
        <v>544</v>
      </c>
      <c r="C185" s="4" t="str">
        <f>IFERROR(__xludf.DUMMYFUNCTION("GOOGLETRANSLATE(B185,""en"",""hi"")"),"उपलब्ध शेष राशि")</f>
        <v>उपलब्ध शेष राशि</v>
      </c>
      <c r="D185" s="6" t="s">
        <v>545</v>
      </c>
      <c r="E185" s="4" t="str">
        <f>IFERROR(__xludf.DUMMYFUNCTION("GOOGLETRANSLATE(B185,""en"",""fr"")"),"Solde disponible")</f>
        <v>Solde disponible</v>
      </c>
      <c r="F185" s="4" t="str">
        <f>IFERROR(__xludf.DUMMYFUNCTION("GOOGLETRANSLATE(B185,""en"",""tr"")"),"Kalan bakiye")</f>
        <v>Kalan bakiye</v>
      </c>
      <c r="G185" s="4" t="str">
        <f>IFERROR(__xludf.DUMMYFUNCTION("GOOGLETRANSLATE(B185,""en"",""ru"")"),"доступные средства")</f>
        <v>доступные средства</v>
      </c>
      <c r="H185" s="4" t="str">
        <f>IFERROR(__xludf.DUMMYFUNCTION("GOOGLETRANSLATE(B185,""en"",""it"")"),"saldo disponibile")</f>
        <v>saldo disponibile</v>
      </c>
      <c r="I185" s="4" t="str">
        <f>IFERROR(__xludf.DUMMYFUNCTION("GOOGLETRANSLATE(B185,""en"",""de"")"),"Verfügbares Guthaben")</f>
        <v>Verfügbares Guthaben</v>
      </c>
      <c r="J185" s="4" t="str">
        <f>IFERROR(__xludf.DUMMYFUNCTION("GOOGLETRANSLATE(B185,""en"",""ko"")"),"사용 가능한 잔액")</f>
        <v>사용 가능한 잔액</v>
      </c>
      <c r="K185" s="4" t="str">
        <f>IFERROR(__xludf.DUMMYFUNCTION("GOOGLETRANSLATE(B185,""en"",""zh"")"),"可用余额")</f>
        <v>可用余额</v>
      </c>
      <c r="L185" s="4" t="str">
        <f>IFERROR(__xludf.DUMMYFUNCTION("GOOGLETRANSLATE(B185,""en"",""es"")"),"Saldo disponible")</f>
        <v>Saldo disponible</v>
      </c>
      <c r="M185" s="4" t="str">
        <f>IFERROR(__xludf.DUMMYFUNCTION("GOOGLETRANSLATE(B185,""en"",""iw"")"),"יתרה זמינה")</f>
        <v>יתרה זמינה</v>
      </c>
      <c r="N185" s="4" t="str">
        <f>IFERROR(__xludf.DUMMYFUNCTION("GOOGLETRANSLATE(B185,""en"",""bn"")"),"পর্যাপ্ত টাকা")</f>
        <v>পর্যাপ্ত টাকা</v>
      </c>
      <c r="O185" s="4" t="str">
        <f>IFERROR(__xludf.DUMMYFUNCTION("GOOGLETRANSLATE(B185,""en"",""pt"")"),"Saldo disponível")</f>
        <v>Saldo disponível</v>
      </c>
      <c r="P185" s="6"/>
    </row>
    <row r="186">
      <c r="A186" s="7" t="s">
        <v>546</v>
      </c>
      <c r="B186" s="3" t="s">
        <v>547</v>
      </c>
      <c r="C186" s="4" t="str">
        <f>IFERROR(__xludf.DUMMYFUNCTION("GOOGLETRANSLATE(B186,""en"",""hi"")"),"पैसे जोड़ें")</f>
        <v>पैसे जोड़ें</v>
      </c>
      <c r="D186" s="6" t="s">
        <v>548</v>
      </c>
      <c r="E186" s="4" t="str">
        <f>IFERROR(__xludf.DUMMYFUNCTION("GOOGLETRANSLATE(B186,""en"",""fr"")"),"Ajouter de l'argent")</f>
        <v>Ajouter de l'argent</v>
      </c>
      <c r="F186" s="4" t="str">
        <f>IFERROR(__xludf.DUMMYFUNCTION("GOOGLETRANSLATE(B186,""en"",""tr"")"),"Para Ekle")</f>
        <v>Para Ekle</v>
      </c>
      <c r="G186" s="4" t="str">
        <f>IFERROR(__xludf.DUMMYFUNCTION("GOOGLETRANSLATE(B186,""en"",""ru"")"),"Добавить деньги")</f>
        <v>Добавить деньги</v>
      </c>
      <c r="H186" s="4" t="str">
        <f>IFERROR(__xludf.DUMMYFUNCTION("GOOGLETRANSLATE(B186,""en"",""it"")"),"Aggiungi denaro")</f>
        <v>Aggiungi denaro</v>
      </c>
      <c r="I186" s="4" t="str">
        <f>IFERROR(__xludf.DUMMYFUNCTION("GOOGLETRANSLATE(B186,""en"",""de"")"),"Geld hinzufügen")</f>
        <v>Geld hinzufügen</v>
      </c>
      <c r="J186" s="4" t="str">
        <f>IFERROR(__xludf.DUMMYFUNCTION("GOOGLETRANSLATE(B186,""en"",""ko"")"),"금액 추가")</f>
        <v>금액 추가</v>
      </c>
      <c r="K186" s="4" t="str">
        <f>IFERROR(__xludf.DUMMYFUNCTION("GOOGLETRANSLATE(B186,""en"",""zh"")"),"加钱")</f>
        <v>加钱</v>
      </c>
      <c r="L186" s="4" t="str">
        <f>IFERROR(__xludf.DUMMYFUNCTION("GOOGLETRANSLATE(B186,""en"",""es"")"),"Agregar dinero")</f>
        <v>Agregar dinero</v>
      </c>
      <c r="M186" s="4" t="str">
        <f>IFERROR(__xludf.DUMMYFUNCTION("GOOGLETRANSLATE(B186,""en"",""iw"")"),"הוסף כסף")</f>
        <v>הוסף כסף</v>
      </c>
      <c r="N186" s="4" t="str">
        <f>IFERROR(__xludf.DUMMYFUNCTION("GOOGLETRANSLATE(B186,""en"",""bn"")"),"টাকা যোগ করুন")</f>
        <v>টাকা যোগ করুন</v>
      </c>
      <c r="O186" s="4" t="str">
        <f>IFERROR(__xludf.DUMMYFUNCTION("GOOGLETRANSLATE(B186,""en"",""pt"")"),"Adicionar dinheiro")</f>
        <v>Adicionar dinheiro</v>
      </c>
      <c r="P186" s="6"/>
    </row>
    <row r="187">
      <c r="A187" s="7" t="s">
        <v>549</v>
      </c>
      <c r="B187" s="3" t="s">
        <v>550</v>
      </c>
      <c r="C187" s="4" t="str">
        <f>IFERROR(__xludf.DUMMYFUNCTION("GOOGLETRANSLATE(B187,""en"",""hi"")"),"हाल ही के लेनदेन")</f>
        <v>हाल ही के लेनदेन</v>
      </c>
      <c r="D187" s="6" t="s">
        <v>551</v>
      </c>
      <c r="E187" s="4" t="str">
        <f>IFERROR(__xludf.DUMMYFUNCTION("GOOGLETRANSLATE(B187,""en"",""fr"")"),"transactions récentes")</f>
        <v>transactions récentes</v>
      </c>
      <c r="F187" s="4" t="str">
        <f>IFERROR(__xludf.DUMMYFUNCTION("GOOGLETRANSLATE(B187,""en"",""tr"")"),"Son İşlemler")</f>
        <v>Son İşlemler</v>
      </c>
      <c r="G187" s="4" t="str">
        <f>IFERROR(__xludf.DUMMYFUNCTION("GOOGLETRANSLATE(B187,""en"",""ru"")"),"Недавние транзакции")</f>
        <v>Недавние транзакции</v>
      </c>
      <c r="H187" s="4" t="str">
        <f>IFERROR(__xludf.DUMMYFUNCTION("GOOGLETRANSLATE(B187,""en"",""it"")"),"Le transazioni recenti")</f>
        <v>Le transazioni recenti</v>
      </c>
      <c r="I187" s="4" t="str">
        <f>IFERROR(__xludf.DUMMYFUNCTION("GOOGLETRANSLATE(B187,""en"",""de"")"),"kürzliche Transaktionen")</f>
        <v>kürzliche Transaktionen</v>
      </c>
      <c r="J187" s="4" t="str">
        <f>IFERROR(__xludf.DUMMYFUNCTION("GOOGLETRANSLATE(B187,""en"",""ko"")"),"최근 거래")</f>
        <v>최근 거래</v>
      </c>
      <c r="K187" s="4" t="str">
        <f>IFERROR(__xludf.DUMMYFUNCTION("GOOGLETRANSLATE(B187,""en"",""zh"")"),"最近交易")</f>
        <v>最近交易</v>
      </c>
      <c r="L187" s="4" t="str">
        <f>IFERROR(__xludf.DUMMYFUNCTION("GOOGLETRANSLATE(B187,""en"",""es"")"),"Transacciones Recientes")</f>
        <v>Transacciones Recientes</v>
      </c>
      <c r="M187" s="4" t="str">
        <f>IFERROR(__xludf.DUMMYFUNCTION("GOOGLETRANSLATE(B187,""en"",""iw"")"),"תנועות אחרונות")</f>
        <v>תנועות אחרונות</v>
      </c>
      <c r="N187" s="4" t="str">
        <f>IFERROR(__xludf.DUMMYFUNCTION("GOOGLETRANSLATE(B187,""en"",""bn"")"),"সাম্প্রতিক লেনদেন")</f>
        <v>সাম্প্রতিক লেনদেন</v>
      </c>
      <c r="O187" s="4" t="str">
        <f>IFERROR(__xludf.DUMMYFUNCTION("GOOGLETRANSLATE(B187,""en"",""pt"")"),"Transações recentes")</f>
        <v>Transações recentes</v>
      </c>
      <c r="P187" s="6"/>
    </row>
    <row r="188">
      <c r="A188" s="7" t="s">
        <v>552</v>
      </c>
      <c r="B188" s="3" t="s">
        <v>553</v>
      </c>
      <c r="C188" s="4" t="str">
        <f>IFERROR(__xludf.DUMMYFUNCTION("GOOGLETRANSLATE(B188,""en"",""hi"")"),"जमा")</f>
        <v>जमा</v>
      </c>
      <c r="D188" s="6" t="s">
        <v>554</v>
      </c>
      <c r="E188" s="4" t="str">
        <f>IFERROR(__xludf.DUMMYFUNCTION("GOOGLETRANSLATE(B188,""en"",""fr"")"),"Dépôt")</f>
        <v>Dépôt</v>
      </c>
      <c r="F188" s="4" t="str">
        <f>IFERROR(__xludf.DUMMYFUNCTION("GOOGLETRANSLATE(B188,""en"",""tr"")"),"Depozito")</f>
        <v>Depozito</v>
      </c>
      <c r="G188" s="4" t="str">
        <f>IFERROR(__xludf.DUMMYFUNCTION("GOOGLETRANSLATE(B188,""en"",""ru"")"),"Депозит")</f>
        <v>Депозит</v>
      </c>
      <c r="H188" s="4" t="str">
        <f>IFERROR(__xludf.DUMMYFUNCTION("GOOGLETRANSLATE(B188,""en"",""it"")"),"Depositare")</f>
        <v>Depositare</v>
      </c>
      <c r="I188" s="4" t="str">
        <f>IFERROR(__xludf.DUMMYFUNCTION("GOOGLETRANSLATE(B188,""en"",""de"")"),"Kaution")</f>
        <v>Kaution</v>
      </c>
      <c r="J188" s="4" t="str">
        <f>IFERROR(__xludf.DUMMYFUNCTION("GOOGLETRANSLATE(B188,""en"",""ko"")"),"보증금")</f>
        <v>보증금</v>
      </c>
      <c r="K188" s="4" t="str">
        <f>IFERROR(__xludf.DUMMYFUNCTION("GOOGLETRANSLATE(B188,""en"",""zh"")"),"订金")</f>
        <v>订金</v>
      </c>
      <c r="L188" s="4" t="str">
        <f>IFERROR(__xludf.DUMMYFUNCTION("GOOGLETRANSLATE(B188,""en"",""es"")"),"Depósito")</f>
        <v>Depósito</v>
      </c>
      <c r="M188" s="4" t="str">
        <f>IFERROR(__xludf.DUMMYFUNCTION("GOOGLETRANSLATE(B188,""en"",""iw"")"),"לְהַפְקִיד")</f>
        <v>לְהַפְקִיד</v>
      </c>
      <c r="N188" s="4" t="str">
        <f>IFERROR(__xludf.DUMMYFUNCTION("GOOGLETRANSLATE(B188,""en"",""bn"")"),"জমা")</f>
        <v>জমা</v>
      </c>
      <c r="O188" s="4" t="str">
        <f>IFERROR(__xludf.DUMMYFUNCTION("GOOGLETRANSLATE(B188,""en"",""pt"")"),"Depósito")</f>
        <v>Depósito</v>
      </c>
      <c r="P188" s="6"/>
    </row>
    <row r="189">
      <c r="A189" s="16" t="s">
        <v>555</v>
      </c>
      <c r="B189" s="3" t="s">
        <v>556</v>
      </c>
      <c r="C189" s="4" t="str">
        <f>IFERROR(__xludf.DUMMYFUNCTION("GOOGLETRANSLATE(B189,""en"",""hi"")"),"सवारी भुगतान")</f>
        <v>सवारी भुगतान</v>
      </c>
      <c r="D189" s="6" t="s">
        <v>557</v>
      </c>
      <c r="E189" s="4" t="str">
        <f>IFERROR(__xludf.DUMMYFUNCTION("GOOGLETRANSLATE(B189,""en"",""fr"")"),"Paiement du trajet")</f>
        <v>Paiement du trajet</v>
      </c>
      <c r="F189" s="4" t="str">
        <f>IFERROR(__xludf.DUMMYFUNCTION("GOOGLETRANSLATE(B189,""en"",""tr"")"),"Araçla Ödeme")</f>
        <v>Araçla Ödeme</v>
      </c>
      <c r="G189" s="4" t="str">
        <f>IFERROR(__xludf.DUMMYFUNCTION("GOOGLETRANSLATE(B189,""en"",""ru"")"),"Оплата поездки")</f>
        <v>Оплата поездки</v>
      </c>
      <c r="H189" s="4" t="str">
        <f>IFERROR(__xludf.DUMMYFUNCTION("GOOGLETRANSLATE(B189,""en"",""it"")"),"Pagamento della corsa")</f>
        <v>Pagamento della corsa</v>
      </c>
      <c r="I189" s="4" t="str">
        <f>IFERROR(__xludf.DUMMYFUNCTION("GOOGLETRANSLATE(B189,""en"",""de"")"),"Fahrtzahlung")</f>
        <v>Fahrtzahlung</v>
      </c>
      <c r="J189" s="4" t="str">
        <f>IFERROR(__xludf.DUMMYFUNCTION("GOOGLETRANSLATE(B189,""en"",""ko"")"),"탑승 결제")</f>
        <v>탑승 결제</v>
      </c>
      <c r="K189" s="4" t="str">
        <f>IFERROR(__xludf.DUMMYFUNCTION("GOOGLETRANSLATE(B189,""en"",""zh"")"),"乘车付款")</f>
        <v>乘车付款</v>
      </c>
      <c r="L189" s="4" t="str">
        <f>IFERROR(__xludf.DUMMYFUNCTION("GOOGLETRANSLATE(B189,""en"",""es"")"),"Pago del viaje")</f>
        <v>Pago del viaje</v>
      </c>
      <c r="M189" s="4" t="str">
        <f>IFERROR(__xludf.DUMMYFUNCTION("GOOGLETRANSLATE(B189,""en"",""iw"")"),"תשלום נסיעה")</f>
        <v>תשלום נסיעה</v>
      </c>
      <c r="N189" s="4" t="str">
        <f>IFERROR(__xludf.DUMMYFUNCTION("GOOGLETRANSLATE(B189,""en"",""bn"")"),"রাইড পেমেন্ট")</f>
        <v>রাইড পেমেন্ট</v>
      </c>
      <c r="O189" s="4" t="str">
        <f>IFERROR(__xludf.DUMMYFUNCTION("GOOGLETRANSLATE(B189,""en"",""pt"")"),"Pagamento de viagem")</f>
        <v>Pagamento de viagem</v>
      </c>
      <c r="P189" s="6"/>
    </row>
    <row r="190">
      <c r="A190" s="7" t="s">
        <v>558</v>
      </c>
      <c r="B190" s="3" t="s">
        <v>558</v>
      </c>
      <c r="C190" s="4" t="str">
        <f>IFERROR(__xludf.DUMMYFUNCTION("GOOGLETRANSLATE(B190,""en"",""hi"")"),"पैसा जमा हो गया")</f>
        <v>पैसा जमा हो गया</v>
      </c>
      <c r="D190" s="6" t="s">
        <v>559</v>
      </c>
      <c r="E190" s="4" t="str">
        <f>IFERROR(__xludf.DUMMYFUNCTION("GOOGLETRANSLATE(B190,""en"",""fr"")"),"Argent déposé")</f>
        <v>Argent déposé</v>
      </c>
      <c r="F190" s="4" t="str">
        <f>IFERROR(__xludf.DUMMYFUNCTION("GOOGLETRANSLATE(B190,""en"",""tr"")"),"Yatırılan Para")</f>
        <v>Yatırılan Para</v>
      </c>
      <c r="G190" s="4" t="str">
        <f>IFERROR(__xludf.DUMMYFUNCTION("GOOGLETRANSLATE(B190,""en"",""ru"")"),"Деньги внесены")</f>
        <v>Деньги внесены</v>
      </c>
      <c r="H190" s="4" t="str">
        <f>IFERROR(__xludf.DUMMYFUNCTION("GOOGLETRANSLATE(B190,""en"",""it"")"),"Denaro depositato")</f>
        <v>Denaro depositato</v>
      </c>
      <c r="I190" s="4" t="str">
        <f>IFERROR(__xludf.DUMMYFUNCTION("GOOGLETRANSLATE(B190,""en"",""de"")"),"Geld eingezahlt")</f>
        <v>Geld eingezahlt</v>
      </c>
      <c r="J190" s="4" t="str">
        <f>IFERROR(__xludf.DUMMYFUNCTION("GOOGLETRANSLATE(B190,""en"",""ko"")"),"입금된 돈")</f>
        <v>입금된 돈</v>
      </c>
      <c r="K190" s="4" t="str">
        <f>IFERROR(__xludf.DUMMYFUNCTION("GOOGLETRANSLATE(B190,""en"",""zh"")"),"存入资金")</f>
        <v>存入资金</v>
      </c>
      <c r="L190" s="4" t="str">
        <f>IFERROR(__xludf.DUMMYFUNCTION("GOOGLETRANSLATE(B190,""en"",""es"")"),"Dinero depositado")</f>
        <v>Dinero depositado</v>
      </c>
      <c r="M190" s="4" t="str">
        <f>IFERROR(__xludf.DUMMYFUNCTION("GOOGLETRANSLATE(B190,""en"",""iw"")"),"כסף שהופקד")</f>
        <v>כסף שהופקד</v>
      </c>
      <c r="N190" s="4" t="str">
        <f>IFERROR(__xludf.DUMMYFUNCTION("GOOGLETRANSLATE(B190,""en"",""bn"")"),"টাকা জমা")</f>
        <v>টাকা জমা</v>
      </c>
      <c r="O190" s="4" t="str">
        <f>IFERROR(__xludf.DUMMYFUNCTION("GOOGLETRANSLATE(B190,""en"",""pt"")"),"Dinheiro Depositado")</f>
        <v>Dinheiro Depositado</v>
      </c>
      <c r="P190" s="6"/>
    </row>
    <row r="191">
      <c r="A191" s="7" t="s">
        <v>560</v>
      </c>
      <c r="B191" s="9" t="s">
        <v>561</v>
      </c>
      <c r="C191" s="4" t="str">
        <f>IFERROR(__xludf.DUMMYFUNCTION("GOOGLETRANSLATE(B191,""en"",""hi"")"),"यहां राशि दर्ज करें")</f>
        <v>यहां राशि दर्ज करें</v>
      </c>
      <c r="D191" s="6" t="s">
        <v>562</v>
      </c>
      <c r="E191" s="4" t="str">
        <f>IFERROR(__xludf.DUMMYFUNCTION("GOOGLETRANSLATE(B191,""en"",""fr"")"),"Entrez le montant ici")</f>
        <v>Entrez le montant ici</v>
      </c>
      <c r="F191" s="4" t="str">
        <f>IFERROR(__xludf.DUMMYFUNCTION("GOOGLETRANSLATE(B191,""en"",""tr"")"),"Tutarı Buraya Girin")</f>
        <v>Tutarı Buraya Girin</v>
      </c>
      <c r="G191" s="4" t="str">
        <f>IFERROR(__xludf.DUMMYFUNCTION("GOOGLETRANSLATE(B191,""en"",""ru"")"),"Введите сумму здесь")</f>
        <v>Введите сумму здесь</v>
      </c>
      <c r="H191" s="4" t="str">
        <f>IFERROR(__xludf.DUMMYFUNCTION("GOOGLETRANSLATE(B191,""en"",""it"")"),"Inserisci l'importo qui")</f>
        <v>Inserisci l'importo qui</v>
      </c>
      <c r="I191" s="4" t="str">
        <f>IFERROR(__xludf.DUMMYFUNCTION("GOOGLETRANSLATE(B191,""en"",""de"")"),"Geben Sie hier den Betrag ein")</f>
        <v>Geben Sie hier den Betrag ein</v>
      </c>
      <c r="J191" s="4" t="str">
        <f>IFERROR(__xludf.DUMMYFUNCTION("GOOGLETRANSLATE(B191,""en"",""ko"")"),"여기에 금액을 입력하세요")</f>
        <v>여기에 금액을 입력하세요</v>
      </c>
      <c r="K191" s="4" t="str">
        <f>IFERROR(__xludf.DUMMYFUNCTION("GOOGLETRANSLATE(B191,""en"",""zh"")"),"在此输入金额")</f>
        <v>在此输入金额</v>
      </c>
      <c r="L191" s="4" t="str">
        <f>IFERROR(__xludf.DUMMYFUNCTION("GOOGLETRANSLATE(B191,""en"",""es"")"),"Ingrese el monto aquí")</f>
        <v>Ingrese el monto aquí</v>
      </c>
      <c r="M191" s="4" t="str">
        <f>IFERROR(__xludf.DUMMYFUNCTION("GOOGLETRANSLATE(B191,""en"",""iw"")"),"הזן סכום כאן")</f>
        <v>הזן סכום כאן</v>
      </c>
      <c r="N191" s="4" t="str">
        <f>IFERROR(__xludf.DUMMYFUNCTION("GOOGLETRANSLATE(B191,""en"",""bn"")"),"এখানে পরিমাণ লিখুন")</f>
        <v>এখানে পরিমাণ লিখুন</v>
      </c>
      <c r="O191" s="4" t="str">
        <f>IFERROR(__xludf.DUMMYFUNCTION("GOOGLETRANSLATE(B191,""en"",""pt"")"),"Insira o valor aqui")</f>
        <v>Insira o valor aqui</v>
      </c>
      <c r="P191" s="6"/>
    </row>
    <row r="192">
      <c r="A192" s="7" t="s">
        <v>563</v>
      </c>
      <c r="B192" s="3" t="s">
        <v>564</v>
      </c>
      <c r="C192" s="4" t="str">
        <f>IFERROR(__xludf.DUMMYFUNCTION("GOOGLETRANSLATE(B192,""en"",""hi"")"),"प्रोफ़ाइल संपादित करें")</f>
        <v>प्रोफ़ाइल संपादित करें</v>
      </c>
      <c r="D192" s="6" t="s">
        <v>565</v>
      </c>
      <c r="E192" s="4" t="str">
        <f>IFERROR(__xludf.DUMMYFUNCTION("GOOGLETRANSLATE(B192,""en"",""fr"")"),"Editer le profil")</f>
        <v>Editer le profil</v>
      </c>
      <c r="F192" s="4" t="str">
        <f>IFERROR(__xludf.DUMMYFUNCTION("GOOGLETRANSLATE(B192,""en"",""tr"")"),"Profili Düzenle")</f>
        <v>Profili Düzenle</v>
      </c>
      <c r="G192" s="4" t="str">
        <f>IFERROR(__xludf.DUMMYFUNCTION("GOOGLETRANSLATE(B192,""en"",""ru"")"),"Редактировать профиль")</f>
        <v>Редактировать профиль</v>
      </c>
      <c r="H192" s="4" t="str">
        <f>IFERROR(__xludf.DUMMYFUNCTION("GOOGLETRANSLATE(B192,""en"",""it"")"),"Modifica Profilo")</f>
        <v>Modifica Profilo</v>
      </c>
      <c r="I192" s="4" t="str">
        <f>IFERROR(__xludf.DUMMYFUNCTION("GOOGLETRANSLATE(B192,""en"",""de"")"),"Profil bearbeiten")</f>
        <v>Profil bearbeiten</v>
      </c>
      <c r="J192" s="4" t="str">
        <f>IFERROR(__xludf.DUMMYFUNCTION("GOOGLETRANSLATE(B192,""en"",""ko"")"),"프로필 수정")</f>
        <v>프로필 수정</v>
      </c>
      <c r="K192" s="4" t="str">
        <f>IFERROR(__xludf.DUMMYFUNCTION("GOOGLETRANSLATE(B192,""en"",""zh"")"),"编辑个人资料")</f>
        <v>编辑个人资料</v>
      </c>
      <c r="L192" s="4" t="str">
        <f>IFERROR(__xludf.DUMMYFUNCTION("GOOGLETRANSLATE(B192,""en"",""es"")"),"Editar perfil")</f>
        <v>Editar perfil</v>
      </c>
      <c r="M192" s="4" t="str">
        <f>IFERROR(__xludf.DUMMYFUNCTION("GOOGLETRANSLATE(B192,""en"",""iw"")"),"ערוך פרופיל")</f>
        <v>ערוך פרופיל</v>
      </c>
      <c r="N192" s="4" t="str">
        <f>IFERROR(__xludf.DUMMYFUNCTION("GOOGLETRANSLATE(B192,""en"",""bn"")"),"জীবন বৃত্তান্ত সম্পাদনা")</f>
        <v>জীবন বৃত্তান্ত সম্পাদনা</v>
      </c>
      <c r="O192" s="4" t="str">
        <f>IFERROR(__xludf.DUMMYFUNCTION("GOOGLETRANSLATE(B192,""en"",""pt"")"),"Editar Perfil")</f>
        <v>Editar Perfil</v>
      </c>
      <c r="P192" s="6"/>
    </row>
    <row r="193">
      <c r="A193" s="7" t="s">
        <v>566</v>
      </c>
      <c r="B193" s="3" t="s">
        <v>567</v>
      </c>
      <c r="C193" s="4" t="str">
        <f>IFERROR(__xludf.DUMMYFUNCTION("GOOGLETRANSLATE(B193,""en"",""hi"")"),"संपादित छवि")</f>
        <v>संपादित छवि</v>
      </c>
      <c r="D193" s="6" t="s">
        <v>568</v>
      </c>
      <c r="E193" s="4" t="str">
        <f>IFERROR(__xludf.DUMMYFUNCTION("GOOGLETRANSLATE(B193,""en"",""fr"")"),"Éditer l'image")</f>
        <v>Éditer l'image</v>
      </c>
      <c r="F193" s="4" t="str">
        <f>IFERROR(__xludf.DUMMYFUNCTION("GOOGLETRANSLATE(B193,""en"",""tr"")"),"Resmi Düzenle")</f>
        <v>Resmi Düzenle</v>
      </c>
      <c r="G193" s="4" t="str">
        <f>IFERROR(__xludf.DUMMYFUNCTION("GOOGLETRANSLATE(B193,""en"",""ru"")"),"Редактировать изображение")</f>
        <v>Редактировать изображение</v>
      </c>
      <c r="H193" s="4" t="str">
        <f>IFERROR(__xludf.DUMMYFUNCTION("GOOGLETRANSLATE(B193,""en"",""it"")"),"Modifica immagine")</f>
        <v>Modifica immagine</v>
      </c>
      <c r="I193" s="4" t="str">
        <f>IFERROR(__xludf.DUMMYFUNCTION("GOOGLETRANSLATE(B193,""en"",""de"")"),"Bild bearbeiten")</f>
        <v>Bild bearbeiten</v>
      </c>
      <c r="J193" s="4" t="str">
        <f>IFERROR(__xludf.DUMMYFUNCTION("GOOGLETRANSLATE(B193,""en"",""ko"")"),"이미지 편집")</f>
        <v>이미지 편집</v>
      </c>
      <c r="K193" s="4" t="str">
        <f>IFERROR(__xludf.DUMMYFUNCTION("GOOGLETRANSLATE(B193,""en"",""zh"")"),"编辑图像")</f>
        <v>编辑图像</v>
      </c>
      <c r="L193" s="4" t="str">
        <f>IFERROR(__xludf.DUMMYFUNCTION("GOOGLETRANSLATE(B193,""en"",""es"")"),"Editar imagen")</f>
        <v>Editar imagen</v>
      </c>
      <c r="M193" s="4" t="str">
        <f>IFERROR(__xludf.DUMMYFUNCTION("GOOGLETRANSLATE(B193,""en"",""iw"")"),"ערוך תמונה")</f>
        <v>ערוך תמונה</v>
      </c>
      <c r="N193" s="4" t="str">
        <f>IFERROR(__xludf.DUMMYFUNCTION("GOOGLETRANSLATE(B193,""en"",""bn"")"),"ছবি সম্পাদনা করুন")</f>
        <v>ছবি সম্পাদনা করুন</v>
      </c>
      <c r="O193" s="4" t="str">
        <f>IFERROR(__xludf.DUMMYFUNCTION("GOOGLETRANSLATE(B193,""en"",""pt"")"),"Editar imagem")</f>
        <v>Editar imagem</v>
      </c>
      <c r="P193" s="6"/>
    </row>
    <row r="194">
      <c r="A194" s="7" t="s">
        <v>569</v>
      </c>
      <c r="B194" s="3" t="s">
        <v>570</v>
      </c>
      <c r="C194" s="4" t="str">
        <f>IFERROR(__xludf.DUMMYFUNCTION("GOOGLETRANSLATE(B194,""en"",""hi"")"),"वेतन")</f>
        <v>वेतन</v>
      </c>
      <c r="D194" s="6" t="s">
        <v>571</v>
      </c>
      <c r="E194" s="4" t="str">
        <f>IFERROR(__xludf.DUMMYFUNCTION("GOOGLETRANSLATE(B194,""en"",""fr"")"),"Payer")</f>
        <v>Payer</v>
      </c>
      <c r="F194" s="4" t="str">
        <f>IFERROR(__xludf.DUMMYFUNCTION("GOOGLETRANSLATE(B194,""en"",""tr"")"),"Ödemek")</f>
        <v>Ödemek</v>
      </c>
      <c r="G194" s="4" t="str">
        <f>IFERROR(__xludf.DUMMYFUNCTION("GOOGLETRANSLATE(B194,""en"",""ru"")"),"Платить")</f>
        <v>Платить</v>
      </c>
      <c r="H194" s="4" t="str">
        <f>IFERROR(__xludf.DUMMYFUNCTION("GOOGLETRANSLATE(B194,""en"",""it"")"),"Paga")</f>
        <v>Paga</v>
      </c>
      <c r="I194" s="4" t="str">
        <f>IFERROR(__xludf.DUMMYFUNCTION("GOOGLETRANSLATE(B194,""en"",""de"")"),"Zahlen")</f>
        <v>Zahlen</v>
      </c>
      <c r="J194" s="4" t="str">
        <f>IFERROR(__xludf.DUMMYFUNCTION("GOOGLETRANSLATE(B194,""en"",""ko"")"),"지불하다")</f>
        <v>지불하다</v>
      </c>
      <c r="K194" s="4" t="str">
        <f>IFERROR(__xludf.DUMMYFUNCTION("GOOGLETRANSLATE(B194,""en"",""zh"")"),"支付")</f>
        <v>支付</v>
      </c>
      <c r="L194" s="4" t="str">
        <f>IFERROR(__xludf.DUMMYFUNCTION("GOOGLETRANSLATE(B194,""en"",""es"")"),"Pagar")</f>
        <v>Pagar</v>
      </c>
      <c r="M194" s="4" t="str">
        <f>IFERROR(__xludf.DUMMYFUNCTION("GOOGLETRANSLATE(B194,""en"",""iw"")"),"לְשַׁלֵם")</f>
        <v>לְשַׁלֵם</v>
      </c>
      <c r="N194" s="4" t="str">
        <f>IFERROR(__xludf.DUMMYFUNCTION("GOOGLETRANSLATE(B194,""en"",""bn"")"),"বেতন")</f>
        <v>বেতন</v>
      </c>
      <c r="O194" s="4" t="str">
        <f>IFERROR(__xludf.DUMMYFUNCTION("GOOGLETRANSLATE(B194,""en"",""pt"")"),"Pagar")</f>
        <v>Pagar</v>
      </c>
      <c r="P194" s="6"/>
    </row>
    <row r="195">
      <c r="A195" s="7" t="s">
        <v>572</v>
      </c>
      <c r="B195" s="3" t="s">
        <v>573</v>
      </c>
      <c r="C195" s="4" t="str">
        <f>IFERROR(__xludf.DUMMYFUNCTION("GOOGLETRANSLATE(B195,""en"",""hi"")"),"कुछ गलत हुआ है, दोबारा कोशिश करें")</f>
        <v>कुछ गलत हुआ है, दोबारा कोशिश करें</v>
      </c>
      <c r="D195" s="6" t="s">
        <v>574</v>
      </c>
      <c r="E195" s="4" t="str">
        <f>IFERROR(__xludf.DUMMYFUNCTION("GOOGLETRANSLATE(B195,""en"",""fr"")"),"Quelque chose s'est mal passé essaie encore")</f>
        <v>Quelque chose s'est mal passé essaie encore</v>
      </c>
      <c r="F195" s="4" t="str">
        <f>IFERROR(__xludf.DUMMYFUNCTION("GOOGLETRANSLATE(B195,""en"",""tr"")"),"Bir şeyler ters gitti, tekrar deneyin")</f>
        <v>Bir şeyler ters gitti, tekrar deneyin</v>
      </c>
      <c r="G195" s="4" t="str">
        <f>IFERROR(__xludf.DUMMYFUNCTION("GOOGLETRANSLATE(B195,""en"",""ru"")"),"Что-то пошло не так, попробуйте еще раз")</f>
        <v>Что-то пошло не так, попробуйте еще раз</v>
      </c>
      <c r="H195" s="4" t="str">
        <f>IFERROR(__xludf.DUMMYFUNCTION("GOOGLETRANSLATE(B195,""en"",""it"")"),"Qualcosa è andato storto, riprova")</f>
        <v>Qualcosa è andato storto, riprova</v>
      </c>
      <c r="I195" s="4" t="str">
        <f>IFERROR(__xludf.DUMMYFUNCTION("GOOGLETRANSLATE(B195,""en"",""de"")"),"Etwas ging schief, versuche es erneut")</f>
        <v>Etwas ging schief, versuche es erneut</v>
      </c>
      <c r="J195" s="4" t="str">
        <f>IFERROR(__xludf.DUMMYFUNCTION("GOOGLETRANSLATE(B195,""en"",""ko"")"),"문제가 발생했습니다. 다시 시도하세요.")</f>
        <v>문제가 발생했습니다. 다시 시도하세요.</v>
      </c>
      <c r="K195" s="4" t="str">
        <f>IFERROR(__xludf.DUMMYFUNCTION("GOOGLETRANSLATE(B195,""en"",""zh"")"),"出了点问题，请重试")</f>
        <v>出了点问题，请重试</v>
      </c>
      <c r="L195" s="4" t="str">
        <f>IFERROR(__xludf.DUMMYFUNCTION("GOOGLETRANSLATE(B195,""en"",""es"")"),"Algo salió mal, intenta de nuevo")</f>
        <v>Algo salió mal, intenta de nuevo</v>
      </c>
      <c r="M195" s="4" t="str">
        <f>IFERROR(__xludf.DUMMYFUNCTION("GOOGLETRANSLATE(B195,""en"",""iw"")"),"קרתה תקלה נסה שוב")</f>
        <v>קרתה תקלה נסה שוב</v>
      </c>
      <c r="N195" s="4" t="str">
        <f>IFERROR(__xludf.DUMMYFUNCTION("GOOGLETRANSLATE(B195,""en"",""bn"")"),"কিছু ভুল হয়েছে, আবার চেষ্টা করুন")</f>
        <v>কিছু ভুল হয়েছে, আবার চেষ্টা করুন</v>
      </c>
      <c r="O195" s="4" t="str">
        <f>IFERROR(__xludf.DUMMYFUNCTION("GOOGLETRANSLATE(B195,""en"",""pt"")"),"Algo deu errado, tente novamente")</f>
        <v>Algo deu errado, tente novamente</v>
      </c>
      <c r="P195" s="6"/>
    </row>
    <row r="196">
      <c r="A196" s="7" t="s">
        <v>575</v>
      </c>
      <c r="B196" s="3" t="s">
        <v>576</v>
      </c>
      <c r="C196" s="4" t="str">
        <f>IFERROR(__xludf.DUMMYFUNCTION("GOOGLETRANSLATE(B196,""en"",""hi"")"),"भुगतान सफल")</f>
        <v>भुगतान सफल</v>
      </c>
      <c r="D196" s="6" t="s">
        <v>577</v>
      </c>
      <c r="E196" s="4" t="str">
        <f>IFERROR(__xludf.DUMMYFUNCTION("GOOGLETRANSLATE(B196,""en"",""fr"")"),"Paiement réussi")</f>
        <v>Paiement réussi</v>
      </c>
      <c r="F196" s="4" t="str">
        <f>IFERROR(__xludf.DUMMYFUNCTION("GOOGLETRANSLATE(B196,""en"",""tr"")"),"Ödeme başarılı")</f>
        <v>Ödeme başarılı</v>
      </c>
      <c r="G196" s="4" t="str">
        <f>IFERROR(__xludf.DUMMYFUNCTION("GOOGLETRANSLATE(B196,""en"",""ru"")"),"Платеж успешен")</f>
        <v>Платеж успешен</v>
      </c>
      <c r="H196" s="4" t="str">
        <f>IFERROR(__xludf.DUMMYFUNCTION("GOOGLETRANSLATE(B196,""en"",""it"")"),"Pagamento riuscito")</f>
        <v>Pagamento riuscito</v>
      </c>
      <c r="I196" s="4" t="str">
        <f>IFERROR(__xludf.DUMMYFUNCTION("GOOGLETRANSLATE(B196,""en"",""de"")"),"Bezahlung erfolgreich")</f>
        <v>Bezahlung erfolgreich</v>
      </c>
      <c r="J196" s="4" t="str">
        <f>IFERROR(__xludf.DUMMYFUNCTION("GOOGLETRANSLATE(B196,""en"",""ko"")"),"결제 성공")</f>
        <v>결제 성공</v>
      </c>
      <c r="K196" s="4" t="str">
        <f>IFERROR(__xludf.DUMMYFUNCTION("GOOGLETRANSLATE(B196,""en"",""zh"")"),"支付成功")</f>
        <v>支付成功</v>
      </c>
      <c r="L196" s="4" t="str">
        <f>IFERROR(__xludf.DUMMYFUNCTION("GOOGLETRANSLATE(B196,""en"",""es"")"),"Pago exitoso")</f>
        <v>Pago exitoso</v>
      </c>
      <c r="M196" s="4" t="str">
        <f>IFERROR(__xludf.DUMMYFUNCTION("GOOGLETRANSLATE(B196,""en"",""iw"")"),"התשלום הצליח")</f>
        <v>התשלום הצליח</v>
      </c>
      <c r="N196" s="4" t="str">
        <f>IFERROR(__xludf.DUMMYFUNCTION("GOOGLETRANSLATE(B196,""en"",""bn"")"),"পেমেন্ট সফল হয়েছে")</f>
        <v>পেমেন্ট সফল হয়েছে</v>
      </c>
      <c r="O196" s="4" t="str">
        <f>IFERROR(__xludf.DUMMYFUNCTION("GOOGLETRANSLATE(B196,""en"",""pt"")"),"Pagamento bem-sucedido")</f>
        <v>Pagamento bem-sucedido</v>
      </c>
      <c r="P196" s="6"/>
    </row>
    <row r="197">
      <c r="A197" s="7" t="s">
        <v>578</v>
      </c>
      <c r="B197" s="3" t="s">
        <v>579</v>
      </c>
      <c r="C197" s="4" t="str">
        <f>IFERROR(__xludf.DUMMYFUNCTION("GOOGLETRANSLATE(B197,""en"",""hi"")"),"कैमरा")</f>
        <v>कैमरा</v>
      </c>
      <c r="D197" s="6" t="s">
        <v>580</v>
      </c>
      <c r="E197" s="4" t="str">
        <f>IFERROR(__xludf.DUMMYFUNCTION("GOOGLETRANSLATE(B197,""en"",""fr"")"),"Caméra")</f>
        <v>Caméra</v>
      </c>
      <c r="F197" s="4" t="str">
        <f>IFERROR(__xludf.DUMMYFUNCTION("GOOGLETRANSLATE(B197,""en"",""tr"")"),"Kamera")</f>
        <v>Kamera</v>
      </c>
      <c r="G197" s="4" t="str">
        <f>IFERROR(__xludf.DUMMYFUNCTION("GOOGLETRANSLATE(B197,""en"",""ru"")"),"Камера")</f>
        <v>Камера</v>
      </c>
      <c r="H197" s="4" t="str">
        <f>IFERROR(__xludf.DUMMYFUNCTION("GOOGLETRANSLATE(B197,""en"",""it"")"),"Telecamera")</f>
        <v>Telecamera</v>
      </c>
      <c r="I197" s="4" t="str">
        <f>IFERROR(__xludf.DUMMYFUNCTION("GOOGLETRANSLATE(B197,""en"",""de"")"),"Kamera")</f>
        <v>Kamera</v>
      </c>
      <c r="J197" s="4" t="str">
        <f>IFERROR(__xludf.DUMMYFUNCTION("GOOGLETRANSLATE(B197,""en"",""ko"")"),"카메라")</f>
        <v>카메라</v>
      </c>
      <c r="K197" s="4" t="str">
        <f>IFERROR(__xludf.DUMMYFUNCTION("GOOGLETRANSLATE(B197,""en"",""zh"")"),"相机")</f>
        <v>相机</v>
      </c>
      <c r="L197" s="4" t="str">
        <f>IFERROR(__xludf.DUMMYFUNCTION("GOOGLETRANSLATE(B197,""en"",""es"")"),"Cámara")</f>
        <v>Cámara</v>
      </c>
      <c r="M197" s="4" t="str">
        <f>IFERROR(__xludf.DUMMYFUNCTION("GOOGLETRANSLATE(B197,""en"",""iw"")"),"מַצלֵמָה")</f>
        <v>מַצלֵמָה</v>
      </c>
      <c r="N197" s="4" t="str">
        <f>IFERROR(__xludf.DUMMYFUNCTION("GOOGLETRANSLATE(B197,""en"",""bn"")"),"ক্যামেরা")</f>
        <v>ক্যামেরা</v>
      </c>
      <c r="O197" s="4" t="str">
        <f>IFERROR(__xludf.DUMMYFUNCTION("GOOGLETRANSLATE(B197,""en"",""pt"")"),"Câmera")</f>
        <v>Câmera</v>
      </c>
      <c r="P197" s="6"/>
    </row>
    <row r="198">
      <c r="A198" s="7" t="s">
        <v>581</v>
      </c>
      <c r="B198" s="3" t="s">
        <v>582</v>
      </c>
      <c r="C198" s="4" t="str">
        <f>IFERROR(__xludf.DUMMYFUNCTION("GOOGLETRANSLATE(B198,""en"",""hi"")"),"गैलरी")</f>
        <v>गैलरी</v>
      </c>
      <c r="D198" s="6" t="s">
        <v>583</v>
      </c>
      <c r="E198" s="4" t="str">
        <f>IFERROR(__xludf.DUMMYFUNCTION("GOOGLETRANSLATE(B198,""en"",""fr"")"),"Galerie")</f>
        <v>Galerie</v>
      </c>
      <c r="F198" s="4" t="str">
        <f>IFERROR(__xludf.DUMMYFUNCTION("GOOGLETRANSLATE(B198,""en"",""tr"")"),"Galeri")</f>
        <v>Galeri</v>
      </c>
      <c r="G198" s="4" t="str">
        <f>IFERROR(__xludf.DUMMYFUNCTION("GOOGLETRANSLATE(B198,""en"",""ru"")"),"Галерея")</f>
        <v>Галерея</v>
      </c>
      <c r="H198" s="4" t="str">
        <f>IFERROR(__xludf.DUMMYFUNCTION("GOOGLETRANSLATE(B198,""en"",""it"")"),"Galleria")</f>
        <v>Galleria</v>
      </c>
      <c r="I198" s="4" t="str">
        <f>IFERROR(__xludf.DUMMYFUNCTION("GOOGLETRANSLATE(B198,""en"",""de"")"),"Galerie")</f>
        <v>Galerie</v>
      </c>
      <c r="J198" s="4" t="str">
        <f>IFERROR(__xludf.DUMMYFUNCTION("GOOGLETRANSLATE(B198,""en"",""ko"")"),"갤러리")</f>
        <v>갤러리</v>
      </c>
      <c r="K198" s="4" t="str">
        <f>IFERROR(__xludf.DUMMYFUNCTION("GOOGLETRANSLATE(B198,""en"",""zh"")"),"画廊")</f>
        <v>画廊</v>
      </c>
      <c r="L198" s="4" t="str">
        <f>IFERROR(__xludf.DUMMYFUNCTION("GOOGLETRANSLATE(B198,""en"",""es"")"),"Galería")</f>
        <v>Galería</v>
      </c>
      <c r="M198" s="4" t="str">
        <f>IFERROR(__xludf.DUMMYFUNCTION("GOOGLETRANSLATE(B198,""en"",""iw"")"),"גלריה")</f>
        <v>גלריה</v>
      </c>
      <c r="N198" s="4" t="str">
        <f>IFERROR(__xludf.DUMMYFUNCTION("GOOGLETRANSLATE(B198,""en"",""bn"")"),"গ্যালারি")</f>
        <v>গ্যালারি</v>
      </c>
      <c r="O198" s="4" t="str">
        <f>IFERROR(__xludf.DUMMYFUNCTION("GOOGLETRANSLATE(B198,""en"",""pt"")"),"Galeria")</f>
        <v>Galeria</v>
      </c>
      <c r="P198" s="6"/>
    </row>
    <row r="199">
      <c r="A199" s="7" t="s">
        <v>584</v>
      </c>
      <c r="B199" s="9" t="s">
        <v>585</v>
      </c>
      <c r="C199" s="4" t="str">
        <f>IFERROR(__xludf.DUMMYFUNCTION("GOOGLETRANSLATE(B199,""en"",""hi"")"),"वाहन की जानकारी अपडेट करें")</f>
        <v>वाहन की जानकारी अपडेट करें</v>
      </c>
      <c r="D199" s="6" t="s">
        <v>586</v>
      </c>
      <c r="E199" s="4" t="str">
        <f>IFERROR(__xludf.DUMMYFUNCTION("GOOGLETRANSLATE(B199,""en"",""fr"")"),"Mettre à jour les informations sur le véhicule")</f>
        <v>Mettre à jour les informations sur le véhicule</v>
      </c>
      <c r="F199" s="4" t="str">
        <f>IFERROR(__xludf.DUMMYFUNCTION("GOOGLETRANSLATE(B199,""en"",""tr"")"),"Araç Bilgilerini Güncelle")</f>
        <v>Araç Bilgilerini Güncelle</v>
      </c>
      <c r="G199" s="4" t="str">
        <f>IFERROR(__xludf.DUMMYFUNCTION("GOOGLETRANSLATE(B199,""en"",""ru"")"),"Обновить информацию об автомобиле")</f>
        <v>Обновить информацию об автомобиле</v>
      </c>
      <c r="H199" s="4" t="str">
        <f>IFERROR(__xludf.DUMMYFUNCTION("GOOGLETRANSLATE(B199,""en"",""it"")"),"Aggiorna informazioni sul veicolo")</f>
        <v>Aggiorna informazioni sul veicolo</v>
      </c>
      <c r="I199" s="4" t="str">
        <f>IFERROR(__xludf.DUMMYFUNCTION("GOOGLETRANSLATE(B199,""en"",""de"")"),"Fahrzeuginformationen aktualisieren")</f>
        <v>Fahrzeuginformationen aktualisieren</v>
      </c>
      <c r="J199" s="4" t="str">
        <f>IFERROR(__xludf.DUMMYFUNCTION("GOOGLETRANSLATE(B199,""en"",""ko"")"),"차량 정보 업데이트")</f>
        <v>차량 정보 업데이트</v>
      </c>
      <c r="K199" s="4" t="str">
        <f>IFERROR(__xludf.DUMMYFUNCTION("GOOGLETRANSLATE(B199,""en"",""zh"")"),"更新车辆信息")</f>
        <v>更新车辆信息</v>
      </c>
      <c r="L199" s="4" t="str">
        <f>IFERROR(__xludf.DUMMYFUNCTION("GOOGLETRANSLATE(B199,""en"",""es"")"),"Actualizar información del vehículo")</f>
        <v>Actualizar información del vehículo</v>
      </c>
      <c r="M199" s="4" t="str">
        <f>IFERROR(__xludf.DUMMYFUNCTION("GOOGLETRANSLATE(B199,""en"",""iw"")"),"עדכון פרטי הרכב")</f>
        <v>עדכון פרטי הרכב</v>
      </c>
      <c r="N199" s="4" t="str">
        <f>IFERROR(__xludf.DUMMYFUNCTION("GOOGLETRANSLATE(B199,""en"",""bn"")"),"যানবাহনের তথ্য আপডেট করুন")</f>
        <v>যানবাহনের তথ্য আপডেট করুন</v>
      </c>
      <c r="O199" s="4" t="str">
        <f>IFERROR(__xludf.DUMMYFUNCTION("GOOGLETRANSLATE(B199,""en"",""pt"")"),"Atualizar informações do veículo")</f>
        <v>Atualizar informações do veículo</v>
      </c>
      <c r="P199" s="6"/>
    </row>
    <row r="200">
      <c r="A200" s="7" t="s">
        <v>587</v>
      </c>
      <c r="B200" s="9" t="s">
        <v>588</v>
      </c>
      <c r="C200" s="4" t="str">
        <f>IFERROR(__xludf.DUMMYFUNCTION("GOOGLETRANSLATE(B200,""en"",""hi"")"),"वाहन की कंपनी")</f>
        <v>वाहन की कंपनी</v>
      </c>
      <c r="D200" s="6" t="s">
        <v>589</v>
      </c>
      <c r="E200" s="4" t="str">
        <f>IFERROR(__xludf.DUMMYFUNCTION("GOOGLETRANSLATE(B200,""en"",""fr"")"),"Marque du véhicule")</f>
        <v>Marque du véhicule</v>
      </c>
      <c r="F200" s="4" t="str">
        <f>IFERROR(__xludf.DUMMYFUNCTION("GOOGLETRANSLATE(B200,""en"",""tr"")"),"Araç Markası")</f>
        <v>Araç Markası</v>
      </c>
      <c r="G200" s="4" t="str">
        <f>IFERROR(__xludf.DUMMYFUNCTION("GOOGLETRANSLATE(B200,""en"",""ru"")"),"Марка автомобиля")</f>
        <v>Марка автомобиля</v>
      </c>
      <c r="H200" s="4" t="str">
        <f>IFERROR(__xludf.DUMMYFUNCTION("GOOGLETRANSLATE(B200,""en"",""it"")"),"Marca del veicolo")</f>
        <v>Marca del veicolo</v>
      </c>
      <c r="I200" s="4" t="str">
        <f>IFERROR(__xludf.DUMMYFUNCTION("GOOGLETRANSLATE(B200,""en"",""de"")"),"Automarke")</f>
        <v>Automarke</v>
      </c>
      <c r="J200" s="4" t="str">
        <f>IFERROR(__xludf.DUMMYFUNCTION("GOOGLETRANSLATE(B200,""en"",""ko"")"),"차량 제조사")</f>
        <v>차량 제조사</v>
      </c>
      <c r="K200" s="4" t="str">
        <f>IFERROR(__xludf.DUMMYFUNCTION("GOOGLETRANSLATE(B200,""en"",""zh"")"),"车辆品牌")</f>
        <v>车辆品牌</v>
      </c>
      <c r="L200" s="4" t="str">
        <f>IFERROR(__xludf.DUMMYFUNCTION("GOOGLETRANSLATE(B200,""en"",""es"")"),"Marca del vehículo")</f>
        <v>Marca del vehículo</v>
      </c>
      <c r="M200" s="4" t="str">
        <f>IFERROR(__xludf.DUMMYFUNCTION("GOOGLETRANSLATE(B200,""en"",""iw"")"),"להפוך את הרכב")</f>
        <v>להפוך את הרכב</v>
      </c>
      <c r="N200" s="4" t="str">
        <f>IFERROR(__xludf.DUMMYFUNCTION("GOOGLETRANSLATE(B200,""en"",""bn"")"),"যানবাহন তৈরি করুন")</f>
        <v>যানবাহন তৈরি করুন</v>
      </c>
      <c r="O200" s="4" t="str">
        <f>IFERROR(__xludf.DUMMYFUNCTION("GOOGLETRANSLATE(B200,""en"",""pt"")"),"Marca do veículo")</f>
        <v>Marca do veículo</v>
      </c>
      <c r="P200" s="6"/>
    </row>
    <row r="201">
      <c r="A201" s="7" t="s">
        <v>590</v>
      </c>
      <c r="B201" s="3" t="s">
        <v>591</v>
      </c>
      <c r="C201" s="4" t="str">
        <f>IFERROR(__xludf.DUMMYFUNCTION("GOOGLETRANSLATE(B201,""en"",""hi"")"),"वाहन मॉडल")</f>
        <v>वाहन मॉडल</v>
      </c>
      <c r="D201" s="6" t="s">
        <v>592</v>
      </c>
      <c r="E201" s="4" t="str">
        <f>IFERROR(__xludf.DUMMYFUNCTION("GOOGLETRANSLATE(B201,""en"",""fr"")"),"Modèle de véhicule")</f>
        <v>Modèle de véhicule</v>
      </c>
      <c r="F201" s="4" t="str">
        <f>IFERROR(__xludf.DUMMYFUNCTION("GOOGLETRANSLATE(B201,""en"",""tr"")"),"Araç modeli")</f>
        <v>Araç modeli</v>
      </c>
      <c r="G201" s="4" t="str">
        <f>IFERROR(__xludf.DUMMYFUNCTION("GOOGLETRANSLATE(B201,""en"",""ru"")"),"Модель автомобиля")</f>
        <v>Модель автомобиля</v>
      </c>
      <c r="H201" s="4" t="str">
        <f>IFERROR(__xludf.DUMMYFUNCTION("GOOGLETRANSLATE(B201,""en"",""it"")"),"Modello del veicolo")</f>
        <v>Modello del veicolo</v>
      </c>
      <c r="I201" s="4" t="str">
        <f>IFERROR(__xludf.DUMMYFUNCTION("GOOGLETRANSLATE(B201,""en"",""de"")"),"Fahrzeugmodell")</f>
        <v>Fahrzeugmodell</v>
      </c>
      <c r="J201" s="4" t="str">
        <f>IFERROR(__xludf.DUMMYFUNCTION("GOOGLETRANSLATE(B201,""en"",""ko"")"),"차량 모델")</f>
        <v>차량 모델</v>
      </c>
      <c r="K201" s="4" t="str">
        <f>IFERROR(__xludf.DUMMYFUNCTION("GOOGLETRANSLATE(B201,""en"",""zh"")"),"车辆型号")</f>
        <v>车辆型号</v>
      </c>
      <c r="L201" s="4" t="str">
        <f>IFERROR(__xludf.DUMMYFUNCTION("GOOGLETRANSLATE(B201,""en"",""es"")"),"Modelo de vehículo")</f>
        <v>Modelo de vehículo</v>
      </c>
      <c r="M201" s="4" t="str">
        <f>IFERROR(__xludf.DUMMYFUNCTION("GOOGLETRANSLATE(B201,""en"",""iw"")"),"דגם רכב")</f>
        <v>דגם רכב</v>
      </c>
      <c r="N201" s="4" t="str">
        <f>IFERROR(__xludf.DUMMYFUNCTION("GOOGLETRANSLATE(B201,""en"",""bn"")"),"গাড়ির মডেল")</f>
        <v>গাড়ির মডেল</v>
      </c>
      <c r="O201" s="4" t="str">
        <f>IFERROR(__xludf.DUMMYFUNCTION("GOOGLETRANSLATE(B201,""en"",""pt"")"),"Modelo do veículo")</f>
        <v>Modelo do veículo</v>
      </c>
      <c r="P201" s="6"/>
    </row>
    <row r="202">
      <c r="A202" s="7" t="s">
        <v>593</v>
      </c>
      <c r="B202" s="3" t="s">
        <v>594</v>
      </c>
      <c r="C202" s="4" t="str">
        <f>IFERROR(__xludf.DUMMYFUNCTION("GOOGLETRANSLATE(B202,""en"",""hi"")"),"वाहन वर्ष")</f>
        <v>वाहन वर्ष</v>
      </c>
      <c r="D202" s="6" t="s">
        <v>595</v>
      </c>
      <c r="E202" s="4" t="str">
        <f>IFERROR(__xludf.DUMMYFUNCTION("GOOGLETRANSLATE(B202,""en"",""fr"")"),"Année du véhicule")</f>
        <v>Année du véhicule</v>
      </c>
      <c r="F202" s="4" t="str">
        <f>IFERROR(__xludf.DUMMYFUNCTION("GOOGLETRANSLATE(B202,""en"",""tr"")"),"Araç Yılı")</f>
        <v>Araç Yılı</v>
      </c>
      <c r="G202" s="4" t="str">
        <f>IFERROR(__xludf.DUMMYFUNCTION("GOOGLETRANSLATE(B202,""en"",""ru"")"),"Год автомобиля")</f>
        <v>Год автомобиля</v>
      </c>
      <c r="H202" s="4" t="str">
        <f>IFERROR(__xludf.DUMMYFUNCTION("GOOGLETRANSLATE(B202,""en"",""it"")"),"Anno del veicolo")</f>
        <v>Anno del veicolo</v>
      </c>
      <c r="I202" s="4" t="str">
        <f>IFERROR(__xludf.DUMMYFUNCTION("GOOGLETRANSLATE(B202,""en"",""de"")"),"Fahrzeugjahr")</f>
        <v>Fahrzeugjahr</v>
      </c>
      <c r="J202" s="4" t="str">
        <f>IFERROR(__xludf.DUMMYFUNCTION("GOOGLETRANSLATE(B202,""en"",""ko"")"),"차량 연도")</f>
        <v>차량 연도</v>
      </c>
      <c r="K202" s="4" t="str">
        <f>IFERROR(__xludf.DUMMYFUNCTION("GOOGLETRANSLATE(B202,""en"",""zh"")"),"车辆年份")</f>
        <v>车辆年份</v>
      </c>
      <c r="L202" s="4" t="str">
        <f>IFERROR(__xludf.DUMMYFUNCTION("GOOGLETRANSLATE(B202,""en"",""es"")"),"Año del vehículo")</f>
        <v>Año del vehículo</v>
      </c>
      <c r="M202" s="4" t="str">
        <f>IFERROR(__xludf.DUMMYFUNCTION("GOOGLETRANSLATE(B202,""en"",""iw"")"),"שנת רכב")</f>
        <v>שנת רכב</v>
      </c>
      <c r="N202" s="4" t="str">
        <f>IFERROR(__xludf.DUMMYFUNCTION("GOOGLETRANSLATE(B202,""en"",""bn"")"),"যানবাহনের বছর")</f>
        <v>যানবাহনের বছর</v>
      </c>
      <c r="O202" s="4" t="str">
        <f>IFERROR(__xludf.DUMMYFUNCTION("GOOGLETRANSLATE(B202,""en"",""pt"")"),"Ano do Veículo")</f>
        <v>Ano do Veículo</v>
      </c>
      <c r="P202" s="6"/>
    </row>
    <row r="203">
      <c r="A203" s="7" t="s">
        <v>596</v>
      </c>
      <c r="B203" s="3" t="s">
        <v>597</v>
      </c>
      <c r="C203" s="4" t="str">
        <f>IFERROR(__xludf.DUMMYFUNCTION("GOOGLETRANSLATE(B203,""en"",""hi"")"),"वाहन का प्रकार")</f>
        <v>वाहन का प्रकार</v>
      </c>
      <c r="D203" s="6" t="s">
        <v>598</v>
      </c>
      <c r="E203" s="4" t="str">
        <f>IFERROR(__xludf.DUMMYFUNCTION("GOOGLETRANSLATE(B203,""en"",""fr"")"),"Type de véhicule")</f>
        <v>Type de véhicule</v>
      </c>
      <c r="F203" s="4" t="str">
        <f>IFERROR(__xludf.DUMMYFUNCTION("GOOGLETRANSLATE(B203,""en"",""tr"")"),"araç tipi")</f>
        <v>araç tipi</v>
      </c>
      <c r="G203" s="4" t="str">
        <f>IFERROR(__xludf.DUMMYFUNCTION("GOOGLETRANSLATE(B203,""en"",""ru"")"),"тип машины")</f>
        <v>тип машины</v>
      </c>
      <c r="H203" s="4" t="str">
        <f>IFERROR(__xludf.DUMMYFUNCTION("GOOGLETRANSLATE(B203,""en"",""it"")"),"tipo di veicolo")</f>
        <v>tipo di veicolo</v>
      </c>
      <c r="I203" s="4" t="str">
        <f>IFERROR(__xludf.DUMMYFUNCTION("GOOGLETRANSLATE(B203,""en"",""de"")"),"Fahrzeugtyp")</f>
        <v>Fahrzeugtyp</v>
      </c>
      <c r="J203" s="4" t="str">
        <f>IFERROR(__xludf.DUMMYFUNCTION("GOOGLETRANSLATE(B203,""en"",""ko"")"),"차량 종류")</f>
        <v>차량 종류</v>
      </c>
      <c r="K203" s="4" t="str">
        <f>IFERROR(__xludf.DUMMYFUNCTION("GOOGLETRANSLATE(B203,""en"",""zh"")"),"车辆类型")</f>
        <v>车辆类型</v>
      </c>
      <c r="L203" s="4" t="str">
        <f>IFERROR(__xludf.DUMMYFUNCTION("GOOGLETRANSLATE(B203,""en"",""es"")"),"tipo de vehiculo")</f>
        <v>tipo de vehiculo</v>
      </c>
      <c r="M203" s="4" t="str">
        <f>IFERROR(__xludf.DUMMYFUNCTION("GOOGLETRANSLATE(B203,""en"",""iw"")"),"סוג רכב")</f>
        <v>סוג רכב</v>
      </c>
      <c r="N203" s="4" t="str">
        <f>IFERROR(__xludf.DUMMYFUNCTION("GOOGLETRANSLATE(B203,""en"",""bn"")"),"গাড়ির ধরন")</f>
        <v>গাড়ির ধরন</v>
      </c>
      <c r="O203" s="4" t="str">
        <f>IFERROR(__xludf.DUMMYFUNCTION("GOOGLETRANSLATE(B203,""en"",""pt"")"),"Tipo de Veículo")</f>
        <v>Tipo de Veículo</v>
      </c>
      <c r="P203" s="6"/>
    </row>
    <row r="204">
      <c r="A204" s="7" t="s">
        <v>599</v>
      </c>
      <c r="B204" s="3" t="s">
        <v>124</v>
      </c>
      <c r="C204" s="4" t="str">
        <f>IFERROR(__xludf.DUMMYFUNCTION("GOOGLETRANSLATE(B204,""en"",""hi"")"),"गाडी नंबर")</f>
        <v>गाडी नंबर</v>
      </c>
      <c r="D204" s="6" t="s">
        <v>125</v>
      </c>
      <c r="E204" s="4" t="str">
        <f>IFERROR(__xludf.DUMMYFUNCTION("GOOGLETRANSLATE(B204,""en"",""fr"")"),"Numéro de véhicule")</f>
        <v>Numéro de véhicule</v>
      </c>
      <c r="F204" s="4" t="str">
        <f>IFERROR(__xludf.DUMMYFUNCTION("GOOGLETRANSLATE(B204,""en"",""tr"")"),"Araç numarası")</f>
        <v>Araç numarası</v>
      </c>
      <c r="G204" s="4" t="str">
        <f>IFERROR(__xludf.DUMMYFUNCTION("GOOGLETRANSLATE(B204,""en"",""ru"")"),"Номер автомобиля")</f>
        <v>Номер автомобиля</v>
      </c>
      <c r="H204" s="4" t="str">
        <f>IFERROR(__xludf.DUMMYFUNCTION("GOOGLETRANSLATE(B204,""en"",""it"")"),"Numero del veicolo")</f>
        <v>Numero del veicolo</v>
      </c>
      <c r="I204" s="4" t="str">
        <f>IFERROR(__xludf.DUMMYFUNCTION("GOOGLETRANSLATE(B204,""en"",""de"")"),"Fahrzeugnummer")</f>
        <v>Fahrzeugnummer</v>
      </c>
      <c r="J204" s="4" t="str">
        <f>IFERROR(__xludf.DUMMYFUNCTION("GOOGLETRANSLATE(B204,""en"",""ko"")"),"차량번호")</f>
        <v>차량번호</v>
      </c>
      <c r="K204" s="4" t="str">
        <f>IFERROR(__xludf.DUMMYFUNCTION("GOOGLETRANSLATE(B204,""en"",""zh"")"),"车辆号码")</f>
        <v>车辆号码</v>
      </c>
      <c r="L204" s="4" t="str">
        <f>IFERROR(__xludf.DUMMYFUNCTION("GOOGLETRANSLATE(B204,""en"",""es"")"),"Número de vehículo")</f>
        <v>Número de vehículo</v>
      </c>
      <c r="M204" s="4" t="str">
        <f>IFERROR(__xludf.DUMMYFUNCTION("GOOGLETRANSLATE(B204,""en"",""iw"")"),"מספר רכב")</f>
        <v>מספר רכב</v>
      </c>
      <c r="N204" s="4" t="str">
        <f>IFERROR(__xludf.DUMMYFUNCTION("GOOGLETRANSLATE(B204,""en"",""bn"")"),"গাড়ির নম্বর")</f>
        <v>গাড়ির নম্বর</v>
      </c>
      <c r="O204" s="4" t="str">
        <f>IFERROR(__xludf.DUMMYFUNCTION("GOOGLETRANSLATE(B204,""en"",""pt"")"),"Número do veículo")</f>
        <v>Número do veículo</v>
      </c>
      <c r="P204" s="6"/>
    </row>
    <row r="205">
      <c r="A205" s="7" t="s">
        <v>600</v>
      </c>
      <c r="B205" s="3" t="s">
        <v>601</v>
      </c>
      <c r="C205" s="4" t="str">
        <f>IFERROR(__xludf.DUMMYFUNCTION("GOOGLETRANSLATE(B205,""en"",""hi"")"),"वाहन का रंग")</f>
        <v>वाहन का रंग</v>
      </c>
      <c r="D205" s="6" t="s">
        <v>602</v>
      </c>
      <c r="E205" s="4" t="str">
        <f>IFERROR(__xludf.DUMMYFUNCTION("GOOGLETRANSLATE(B205,""en"",""fr"")"),"Couleur du véhicule")</f>
        <v>Couleur du véhicule</v>
      </c>
      <c r="F205" s="4" t="str">
        <f>IFERROR(__xludf.DUMMYFUNCTION("GOOGLETRANSLATE(B205,""en"",""tr"")"),"Araç Rengi")</f>
        <v>Araç Rengi</v>
      </c>
      <c r="G205" s="4" t="str">
        <f>IFERROR(__xludf.DUMMYFUNCTION("GOOGLETRANSLATE(B205,""en"",""ru"")"),"Цвет автомобиля")</f>
        <v>Цвет автомобиля</v>
      </c>
      <c r="H205" s="4" t="str">
        <f>IFERROR(__xludf.DUMMYFUNCTION("GOOGLETRANSLATE(B205,""en"",""it"")"),"Colore del veicolo")</f>
        <v>Colore del veicolo</v>
      </c>
      <c r="I205" s="4" t="str">
        <f>IFERROR(__xludf.DUMMYFUNCTION("GOOGLETRANSLATE(B205,""en"",""de"")"),"Fahrzeugfarbe")</f>
        <v>Fahrzeugfarbe</v>
      </c>
      <c r="J205" s="4" t="str">
        <f>IFERROR(__xludf.DUMMYFUNCTION("GOOGLETRANSLATE(B205,""en"",""ko"")"),"차량 색상")</f>
        <v>차량 색상</v>
      </c>
      <c r="K205" s="4" t="str">
        <f>IFERROR(__xludf.DUMMYFUNCTION("GOOGLETRANSLATE(B205,""en"",""zh"")"),"车辆颜色")</f>
        <v>车辆颜色</v>
      </c>
      <c r="L205" s="4" t="str">
        <f>IFERROR(__xludf.DUMMYFUNCTION("GOOGLETRANSLATE(B205,""en"",""es"")"),"Color del vehículo")</f>
        <v>Color del vehículo</v>
      </c>
      <c r="M205" s="4" t="str">
        <f>IFERROR(__xludf.DUMMYFUNCTION("GOOGLETRANSLATE(B205,""en"",""iw"")"),"צבע הרכב")</f>
        <v>צבע הרכב</v>
      </c>
      <c r="N205" s="4" t="str">
        <f>IFERROR(__xludf.DUMMYFUNCTION("GOOGLETRANSLATE(B205,""en"",""bn"")"),"গাড়ির রঙ")</f>
        <v>গাড়ির রঙ</v>
      </c>
      <c r="O205" s="4" t="str">
        <f>IFERROR(__xludf.DUMMYFUNCTION("GOOGLETRANSLATE(B205,""en"",""pt"")"),"Cor do Veículo")</f>
        <v>Cor do Veículo</v>
      </c>
      <c r="P205" s="6"/>
    </row>
    <row r="206">
      <c r="A206" s="7" t="s">
        <v>603</v>
      </c>
      <c r="B206" s="3" t="s">
        <v>604</v>
      </c>
      <c r="C206" s="4" t="str">
        <f>IFERROR(__xludf.DUMMYFUNCTION("GOOGLETRANSLATE(B206,""en"",""hi"")"),"अपलोड करने के लिए यहां टैप करें")</f>
        <v>अपलोड करने के लिए यहां टैप करें</v>
      </c>
      <c r="D206" s="6" t="s">
        <v>605</v>
      </c>
      <c r="E206" s="4" t="str">
        <f>IFERROR(__xludf.DUMMYFUNCTION("GOOGLETRANSLATE(B206,""en"",""fr"")"),"Appuyez ici pour télécharger")</f>
        <v>Appuyez ici pour télécharger</v>
      </c>
      <c r="F206" s="4" t="str">
        <f>IFERROR(__xludf.DUMMYFUNCTION("GOOGLETRANSLATE(B206,""en"",""tr"")"),"Yüklemek için buraya dokunun")</f>
        <v>Yüklemek için buraya dokunun</v>
      </c>
      <c r="G206" s="4" t="str">
        <f>IFERROR(__xludf.DUMMYFUNCTION("GOOGLETRANSLATE(B206,""en"",""ru"")"),"Нажмите здесь, чтобы загрузить")</f>
        <v>Нажмите здесь, чтобы загрузить</v>
      </c>
      <c r="H206" s="4" t="str">
        <f>IFERROR(__xludf.DUMMYFUNCTION("GOOGLETRANSLATE(B206,""en"",""it"")"),"Tocca qui per caricare")</f>
        <v>Tocca qui per caricare</v>
      </c>
      <c r="I206" s="4" t="str">
        <f>IFERROR(__xludf.DUMMYFUNCTION("GOOGLETRANSLATE(B206,""en"",""de"")"),"Tippen Sie hier, um es hochzuladen")</f>
        <v>Tippen Sie hier, um es hochzuladen</v>
      </c>
      <c r="J206" s="4" t="str">
        <f>IFERROR(__xludf.DUMMYFUNCTION("GOOGLETRANSLATE(B206,""en"",""ko"")"),"업로드하려면 여기를 탭하세요.")</f>
        <v>업로드하려면 여기를 탭하세요.</v>
      </c>
      <c r="K206" s="4" t="str">
        <f>IFERROR(__xludf.DUMMYFUNCTION("GOOGLETRANSLATE(B206,""en"",""zh"")"),"点击此处上传")</f>
        <v>点击此处上传</v>
      </c>
      <c r="L206" s="4" t="str">
        <f>IFERROR(__xludf.DUMMYFUNCTION("GOOGLETRANSLATE(B206,""en"",""es"")"),"Toca aquí para subir")</f>
        <v>Toca aquí para subir</v>
      </c>
      <c r="M206" s="4" t="str">
        <f>IFERROR(__xludf.DUMMYFUNCTION("GOOGLETRANSLATE(B206,""en"",""iw"")"),"הקש כאן כדי להעלות")</f>
        <v>הקש כאן כדי להעלות</v>
      </c>
      <c r="N206" s="4" t="str">
        <f>IFERROR(__xludf.DUMMYFUNCTION("GOOGLETRANSLATE(B206,""en"",""bn"")"),"আপলোড করতে এখানে আলতো চাপুন")</f>
        <v>আপলোড করতে এখানে আলতো চাপুন</v>
      </c>
      <c r="O206" s="4" t="str">
        <f>IFERROR(__xludf.DUMMYFUNCTION("GOOGLETRANSLATE(B206,""en"",""pt"")"),"Toque aqui para fazer upload")</f>
        <v>Toque aqui para fazer upload</v>
      </c>
      <c r="P206" s="6"/>
    </row>
    <row r="207">
      <c r="A207" s="7" t="s">
        <v>606</v>
      </c>
      <c r="B207" s="3" t="s">
        <v>607</v>
      </c>
      <c r="C207" s="4" t="str">
        <f>IFERROR(__xludf.DUMMYFUNCTION("GOOGLETRANSLATE(B207,""en"",""hi"")"),"आय")</f>
        <v>आय</v>
      </c>
      <c r="D207" s="4" t="str">
        <f>IFERROR(__xludf.DUMMYFUNCTION("GOOGLETRANSLATE(B207,""en"",""ar"")"),"الأرباح")</f>
        <v>الأرباح</v>
      </c>
      <c r="E207" s="4" t="str">
        <f>IFERROR(__xludf.DUMMYFUNCTION("GOOGLETRANSLATE(B207,""en"",""fr"")"),"Gains")</f>
        <v>Gains</v>
      </c>
      <c r="F207" s="4" t="str">
        <f>IFERROR(__xludf.DUMMYFUNCTION("GOOGLETRANSLATE(B207,""en"",""tr"")"),"Kazanç")</f>
        <v>Kazanç</v>
      </c>
      <c r="G207" s="4" t="str">
        <f>IFERROR(__xludf.DUMMYFUNCTION("GOOGLETRANSLATE(B207,""en"",""ru"")"),"Заработок")</f>
        <v>Заработок</v>
      </c>
      <c r="H207" s="4" t="str">
        <f>IFERROR(__xludf.DUMMYFUNCTION("GOOGLETRANSLATE(B207,""en"",""it"")"),"Guadagni")</f>
        <v>Guadagni</v>
      </c>
      <c r="I207" s="4" t="str">
        <f>IFERROR(__xludf.DUMMYFUNCTION("GOOGLETRANSLATE(B207,""en"",""de"")"),"Verdienste")</f>
        <v>Verdienste</v>
      </c>
      <c r="J207" s="4" t="str">
        <f>IFERROR(__xludf.DUMMYFUNCTION("GOOGLETRANSLATE(B207,""en"",""ko"")"),"수입")</f>
        <v>수입</v>
      </c>
      <c r="K207" s="4" t="str">
        <f>IFERROR(__xludf.DUMMYFUNCTION("GOOGLETRANSLATE(B207,""en"",""zh"")"),"收益")</f>
        <v>收益</v>
      </c>
      <c r="L207" s="4" t="str">
        <f>IFERROR(__xludf.DUMMYFUNCTION("GOOGLETRANSLATE(B207,""en"",""es"")"),"Ganancias")</f>
        <v>Ganancias</v>
      </c>
      <c r="M207" s="4" t="str">
        <f>IFERROR(__xludf.DUMMYFUNCTION("GOOGLETRANSLATE(B207,""en"",""iw"")"),"רווחים")</f>
        <v>רווחים</v>
      </c>
      <c r="N207" s="4" t="str">
        <f>IFERROR(__xludf.DUMMYFUNCTION("GOOGLETRANSLATE(B207,""en"",""bn"")"),"আয়")</f>
        <v>আয়</v>
      </c>
      <c r="O207" s="4" t="str">
        <f>IFERROR(__xludf.DUMMYFUNCTION("GOOGLETRANSLATE(B207,""en"",""pt"")"),"Ganhos")</f>
        <v>Ganhos</v>
      </c>
      <c r="P207" s="6"/>
    </row>
    <row r="208">
      <c r="A208" s="7" t="s">
        <v>608</v>
      </c>
      <c r="B208" s="3" t="s">
        <v>609</v>
      </c>
      <c r="C208" s="4" t="str">
        <f>IFERROR(__xludf.DUMMYFUNCTION("GOOGLETRANSLATE(B208,""en"",""hi"")"),"आज")</f>
        <v>आज</v>
      </c>
      <c r="D208" s="4" t="str">
        <f>IFERROR(__xludf.DUMMYFUNCTION("GOOGLETRANSLATE(B208,""en"",""ar"")"),"اليوم")</f>
        <v>اليوم</v>
      </c>
      <c r="E208" s="4" t="str">
        <f>IFERROR(__xludf.DUMMYFUNCTION("GOOGLETRANSLATE(B208,""en"",""fr"")"),"Aujourd'hui")</f>
        <v>Aujourd'hui</v>
      </c>
      <c r="F208" s="4" t="str">
        <f>IFERROR(__xludf.DUMMYFUNCTION("GOOGLETRANSLATE(B208,""en"",""tr"")"),"Bugün")</f>
        <v>Bugün</v>
      </c>
      <c r="G208" s="4" t="str">
        <f>IFERROR(__xludf.DUMMYFUNCTION("GOOGLETRANSLATE(B208,""en"",""ru"")"),"Сегодня")</f>
        <v>Сегодня</v>
      </c>
      <c r="H208" s="4" t="str">
        <f>IFERROR(__xludf.DUMMYFUNCTION("GOOGLETRANSLATE(B208,""en"",""it"")"),"Oggi")</f>
        <v>Oggi</v>
      </c>
      <c r="I208" s="4" t="str">
        <f>IFERROR(__xludf.DUMMYFUNCTION("GOOGLETRANSLATE(B208,""en"",""de"")"),"Heute")</f>
        <v>Heute</v>
      </c>
      <c r="J208" s="4" t="str">
        <f>IFERROR(__xludf.DUMMYFUNCTION("GOOGLETRANSLATE(B208,""en"",""ko"")"),"오늘")</f>
        <v>오늘</v>
      </c>
      <c r="K208" s="4" t="str">
        <f>IFERROR(__xludf.DUMMYFUNCTION("GOOGLETRANSLATE(B208,""en"",""zh"")"),"今天")</f>
        <v>今天</v>
      </c>
      <c r="L208" s="4" t="str">
        <f>IFERROR(__xludf.DUMMYFUNCTION("GOOGLETRANSLATE(B208,""en"",""es"")"),"Hoy")</f>
        <v>Hoy</v>
      </c>
      <c r="M208" s="4" t="str">
        <f>IFERROR(__xludf.DUMMYFUNCTION("GOOGLETRANSLATE(B208,""en"",""iw"")"),"היום")</f>
        <v>היום</v>
      </c>
      <c r="N208" s="4" t="str">
        <f>IFERROR(__xludf.DUMMYFUNCTION("GOOGLETRANSLATE(B208,""en"",""bn"")"),"আজ")</f>
        <v>আজ</v>
      </c>
      <c r="O208" s="4" t="str">
        <f>IFERROR(__xludf.DUMMYFUNCTION("GOOGLETRANSLATE(B208,""en"",""pt"")"),"Hoje")</f>
        <v>Hoje</v>
      </c>
      <c r="P208" s="6"/>
    </row>
    <row r="209">
      <c r="A209" s="7" t="s">
        <v>610</v>
      </c>
      <c r="B209" s="3" t="s">
        <v>611</v>
      </c>
      <c r="C209" s="4" t="str">
        <f>IFERROR(__xludf.DUMMYFUNCTION("GOOGLETRANSLATE(B209,""en"",""hi"")"),"साप्ताहिक")</f>
        <v>साप्ताहिक</v>
      </c>
      <c r="D209" s="4" t="str">
        <f>IFERROR(__xludf.DUMMYFUNCTION("GOOGLETRANSLATE(B209,""en"",""ar"")"),"أسبوعي")</f>
        <v>أسبوعي</v>
      </c>
      <c r="E209" s="4" t="str">
        <f>IFERROR(__xludf.DUMMYFUNCTION("GOOGLETRANSLATE(B209,""en"",""fr"")"),"Hebdomadaire")</f>
        <v>Hebdomadaire</v>
      </c>
      <c r="F209" s="4" t="str">
        <f>IFERROR(__xludf.DUMMYFUNCTION("GOOGLETRANSLATE(B209,""en"",""tr"")"),"Haftalık")</f>
        <v>Haftalık</v>
      </c>
      <c r="G209" s="4" t="str">
        <f>IFERROR(__xludf.DUMMYFUNCTION("GOOGLETRANSLATE(B209,""en"",""ru"")"),"Еженедельно")</f>
        <v>Еженедельно</v>
      </c>
      <c r="H209" s="4" t="str">
        <f>IFERROR(__xludf.DUMMYFUNCTION("GOOGLETRANSLATE(B209,""en"",""it"")"),"settimanalmente")</f>
        <v>settimanalmente</v>
      </c>
      <c r="I209" s="4" t="str">
        <f>IFERROR(__xludf.DUMMYFUNCTION("GOOGLETRANSLATE(B209,""en"",""de"")"),"Wöchentlich")</f>
        <v>Wöchentlich</v>
      </c>
      <c r="J209" s="4" t="str">
        <f>IFERROR(__xludf.DUMMYFUNCTION("GOOGLETRANSLATE(B209,""en"",""ko"")"),"주간")</f>
        <v>주간</v>
      </c>
      <c r="K209" s="4" t="str">
        <f>IFERROR(__xludf.DUMMYFUNCTION("GOOGLETRANSLATE(B209,""en"",""zh"")"),"每周")</f>
        <v>每周</v>
      </c>
      <c r="L209" s="4" t="str">
        <f>IFERROR(__xludf.DUMMYFUNCTION("GOOGLETRANSLATE(B209,""en"",""es"")"),"Semanalmente")</f>
        <v>Semanalmente</v>
      </c>
      <c r="M209" s="4" t="str">
        <f>IFERROR(__xludf.DUMMYFUNCTION("GOOGLETRANSLATE(B209,""en"",""iw"")"),"שְׁבוּעִי")</f>
        <v>שְׁבוּעִי</v>
      </c>
      <c r="N209" s="4" t="str">
        <f>IFERROR(__xludf.DUMMYFUNCTION("GOOGLETRANSLATE(B209,""en"",""bn"")"),"সাপ্তাহিক")</f>
        <v>সাপ্তাহিক</v>
      </c>
      <c r="O209" s="4" t="str">
        <f>IFERROR(__xludf.DUMMYFUNCTION("GOOGLETRANSLATE(B209,""en"",""pt"")"),"Semanalmente")</f>
        <v>Semanalmente</v>
      </c>
      <c r="P209" s="4"/>
    </row>
    <row r="210">
      <c r="A210" s="7" t="s">
        <v>612</v>
      </c>
      <c r="B210" s="3" t="s">
        <v>613</v>
      </c>
      <c r="C210" s="4" t="str">
        <f>IFERROR(__xludf.DUMMYFUNCTION("GOOGLETRANSLATE(B210,""en"",""hi"")"),"महीने के")</f>
        <v>महीने के</v>
      </c>
      <c r="D210" s="6" t="s">
        <v>614</v>
      </c>
      <c r="E210" s="4" t="str">
        <f>IFERROR(__xludf.DUMMYFUNCTION("GOOGLETRANSLATE(B210,""en"",""fr"")"),"Mensuel")</f>
        <v>Mensuel</v>
      </c>
      <c r="F210" s="4" t="str">
        <f>IFERROR(__xludf.DUMMYFUNCTION("GOOGLETRANSLATE(B210,""en"",""tr"")"),"Aylık")</f>
        <v>Aylık</v>
      </c>
      <c r="G210" s="4" t="str">
        <f>IFERROR(__xludf.DUMMYFUNCTION("GOOGLETRANSLATE(B210,""en"",""ru"")"),"Ежемесячно")</f>
        <v>Ежемесячно</v>
      </c>
      <c r="H210" s="4" t="str">
        <f>IFERROR(__xludf.DUMMYFUNCTION("GOOGLETRANSLATE(B210,""en"",""it"")"),"Mensile")</f>
        <v>Mensile</v>
      </c>
      <c r="I210" s="4" t="str">
        <f>IFERROR(__xludf.DUMMYFUNCTION("GOOGLETRANSLATE(B210,""en"",""de"")"),"Monatlich")</f>
        <v>Monatlich</v>
      </c>
      <c r="J210" s="4" t="str">
        <f>IFERROR(__xludf.DUMMYFUNCTION("GOOGLETRANSLATE(B210,""en"",""ko"")"),"월간 간행물")</f>
        <v>월간 간행물</v>
      </c>
      <c r="K210" s="4" t="str">
        <f>IFERROR(__xludf.DUMMYFUNCTION("GOOGLETRANSLATE(B210,""en"",""zh"")"),"每月")</f>
        <v>每月</v>
      </c>
      <c r="L210" s="4" t="str">
        <f>IFERROR(__xludf.DUMMYFUNCTION("GOOGLETRANSLATE(B210,""en"",""es"")"),"Mensual")</f>
        <v>Mensual</v>
      </c>
      <c r="M210" s="4" t="str">
        <f>IFERROR(__xludf.DUMMYFUNCTION("GOOGLETRANSLATE(B210,""en"",""iw"")"),"יַרחוֹן")</f>
        <v>יַרחוֹן</v>
      </c>
      <c r="N210" s="4" t="str">
        <f>IFERROR(__xludf.DUMMYFUNCTION("GOOGLETRANSLATE(B210,""en"",""bn"")"),"মাসিক")</f>
        <v>মাসিক</v>
      </c>
      <c r="O210" s="4" t="str">
        <f>IFERROR(__xludf.DUMMYFUNCTION("GOOGLETRANSLATE(B210,""en"",""pt"")"),"Por mês")</f>
        <v>Por mês</v>
      </c>
      <c r="P210" s="4"/>
    </row>
    <row r="211">
      <c r="A211" s="7" t="s">
        <v>615</v>
      </c>
      <c r="B211" s="3" t="s">
        <v>616</v>
      </c>
      <c r="C211" s="4" t="str">
        <f>IFERROR(__xludf.DUMMYFUNCTION("GOOGLETRANSLATE(B211,""en"",""hi"")"),"ट्रिप्स")</f>
        <v>ट्रिप्स</v>
      </c>
      <c r="D211" s="6" t="s">
        <v>617</v>
      </c>
      <c r="E211" s="4" t="str">
        <f>IFERROR(__xludf.DUMMYFUNCTION("GOOGLETRANSLATE(B211,""en"",""fr"")"),"Voyages")</f>
        <v>Voyages</v>
      </c>
      <c r="F211" s="4" t="str">
        <f>IFERROR(__xludf.DUMMYFUNCTION("GOOGLETRANSLATE(B211,""en"",""tr"")"),"Geziler")</f>
        <v>Geziler</v>
      </c>
      <c r="G211" s="4" t="str">
        <f>IFERROR(__xludf.DUMMYFUNCTION("GOOGLETRANSLATE(B211,""en"",""ru"")"),"Путешествия")</f>
        <v>Путешествия</v>
      </c>
      <c r="H211" s="4" t="str">
        <f>IFERROR(__xludf.DUMMYFUNCTION("GOOGLETRANSLATE(B211,""en"",""it"")"),"Viaggi")</f>
        <v>Viaggi</v>
      </c>
      <c r="I211" s="4" t="str">
        <f>IFERROR(__xludf.DUMMYFUNCTION("GOOGLETRANSLATE(B211,""en"",""de"")"),"Reisen")</f>
        <v>Reisen</v>
      </c>
      <c r="J211" s="4" t="str">
        <f>IFERROR(__xludf.DUMMYFUNCTION("GOOGLETRANSLATE(B211,""en"",""ko"")"),"여행")</f>
        <v>여행</v>
      </c>
      <c r="K211" s="4" t="str">
        <f>IFERROR(__xludf.DUMMYFUNCTION("GOOGLETRANSLATE(B211,""en"",""zh"")"),"行程")</f>
        <v>行程</v>
      </c>
      <c r="L211" s="4" t="str">
        <f>IFERROR(__xludf.DUMMYFUNCTION("GOOGLETRANSLATE(B211,""en"",""es"")"),"Excursiones")</f>
        <v>Excursiones</v>
      </c>
      <c r="M211" s="4" t="str">
        <f>IFERROR(__xludf.DUMMYFUNCTION("GOOGLETRANSLATE(B211,""en"",""iw"")"),"טיולים")</f>
        <v>טיולים</v>
      </c>
      <c r="N211" s="4" t="str">
        <f>IFERROR(__xludf.DUMMYFUNCTION("GOOGLETRANSLATE(B211,""en"",""bn"")"),"ট্রিপ")</f>
        <v>ট্রিপ</v>
      </c>
      <c r="O211" s="4" t="str">
        <f>IFERROR(__xludf.DUMMYFUNCTION("GOOGLETRANSLATE(B211,""en"",""pt"")"),"Viagens")</f>
        <v>Viagens</v>
      </c>
      <c r="P211" s="4"/>
    </row>
    <row r="212">
      <c r="A212" s="7" t="s">
        <v>618</v>
      </c>
      <c r="B212" s="3" t="s">
        <v>619</v>
      </c>
      <c r="C212" s="4" t="str">
        <f>IFERROR(__xludf.DUMMYFUNCTION("GOOGLETRANSLATE(B212,""en"",""hi"")"),"घंटे")</f>
        <v>घंटे</v>
      </c>
      <c r="D212" s="6" t="s">
        <v>620</v>
      </c>
      <c r="E212" s="4" t="str">
        <f>IFERROR(__xludf.DUMMYFUNCTION("GOOGLETRANSLATE(B212,""en"",""fr"")"),"Heures")</f>
        <v>Heures</v>
      </c>
      <c r="F212" s="4" t="str">
        <f>IFERROR(__xludf.DUMMYFUNCTION("GOOGLETRANSLATE(B212,""en"",""tr"")"),"Saat")</f>
        <v>Saat</v>
      </c>
      <c r="G212" s="4" t="str">
        <f>IFERROR(__xludf.DUMMYFUNCTION("GOOGLETRANSLATE(B212,""en"",""ru"")"),"Часы")</f>
        <v>Часы</v>
      </c>
      <c r="H212" s="4" t="str">
        <f>IFERROR(__xludf.DUMMYFUNCTION("GOOGLETRANSLATE(B212,""en"",""it"")"),"Ore")</f>
        <v>Ore</v>
      </c>
      <c r="I212" s="4" t="str">
        <f>IFERROR(__xludf.DUMMYFUNCTION("GOOGLETRANSLATE(B212,""en"",""de"")"),"Std")</f>
        <v>Std</v>
      </c>
      <c r="J212" s="4" t="str">
        <f>IFERROR(__xludf.DUMMYFUNCTION("GOOGLETRANSLATE(B212,""en"",""ko"")"),"시간")</f>
        <v>시간</v>
      </c>
      <c r="K212" s="4" t="str">
        <f>IFERROR(__xludf.DUMMYFUNCTION("GOOGLETRANSLATE(B212,""en"",""zh"")"),"小时")</f>
        <v>小时</v>
      </c>
      <c r="L212" s="4" t="str">
        <f>IFERROR(__xludf.DUMMYFUNCTION("GOOGLETRANSLATE(B212,""en"",""es"")"),"Horas")</f>
        <v>Horas</v>
      </c>
      <c r="M212" s="4" t="str">
        <f>IFERROR(__xludf.DUMMYFUNCTION("GOOGLETRANSLATE(B212,""en"",""iw"")"),"שעה (ות")</f>
        <v>שעה (ות</v>
      </c>
      <c r="N212" s="4" t="str">
        <f>IFERROR(__xludf.DUMMYFUNCTION("GOOGLETRANSLATE(B212,""en"",""bn"")"),"ঘন্টার")</f>
        <v>ঘন্টার</v>
      </c>
      <c r="O212" s="4" t="str">
        <f>IFERROR(__xludf.DUMMYFUNCTION("GOOGLETRANSLATE(B212,""en"",""pt"")"),"Horas")</f>
        <v>Horas</v>
      </c>
      <c r="P212" s="6"/>
    </row>
    <row r="213">
      <c r="A213" s="7" t="s">
        <v>621</v>
      </c>
      <c r="B213" s="3" t="s">
        <v>622</v>
      </c>
      <c r="C213" s="4" t="str">
        <f>IFERROR(__xludf.DUMMYFUNCTION("GOOGLETRANSLATE(B213,""en"",""hi"")"),"यात्रा कि.मी")</f>
        <v>यात्रा कि.मी</v>
      </c>
      <c r="D213" s="6" t="s">
        <v>623</v>
      </c>
      <c r="E213" s="4" t="str">
        <f>IFERROR(__xludf.DUMMYFUNCTION("GOOGLETRANSLATE(B213,""en"",""fr"")"),"Kms du trajet")</f>
        <v>Kms du trajet</v>
      </c>
      <c r="F213" s="4" t="str">
        <f>IFERROR(__xludf.DUMMYFUNCTION("GOOGLETRANSLATE(B213,""en"",""tr"")"),"Yolculuk Km'si")</f>
        <v>Yolculuk Km'si</v>
      </c>
      <c r="G213" s="4" t="str">
        <f>IFERROR(__xludf.DUMMYFUNCTION("GOOGLETRANSLATE(B213,""en"",""ru"")"),"Поездка в км")</f>
        <v>Поездка в км</v>
      </c>
      <c r="H213" s="4" t="str">
        <f>IFERROR(__xludf.DUMMYFUNCTION("GOOGLETRANSLATE(B213,""en"",""it"")"),"Km di viaggio")</f>
        <v>Km di viaggio</v>
      </c>
      <c r="I213" s="4" t="str">
        <f>IFERROR(__xludf.DUMMYFUNCTION("GOOGLETRANSLATE(B213,""en"",""de"")"),"Reisekilometer")</f>
        <v>Reisekilometer</v>
      </c>
      <c r="J213" s="4" t="str">
        <f>IFERROR(__xludf.DUMMYFUNCTION("GOOGLETRANSLATE(B213,""en"",""ko"")"),"여행 KMS")</f>
        <v>여행 KMS</v>
      </c>
      <c r="K213" s="4" t="str">
        <f>IFERROR(__xludf.DUMMYFUNCTION("GOOGLETRANSLATE(B213,""en"",""zh"")"),"行程公里数")</f>
        <v>行程公里数</v>
      </c>
      <c r="L213" s="4" t="str">
        <f>IFERROR(__xludf.DUMMYFUNCTION("GOOGLETRANSLATE(B213,""en"",""es"")"),"Kms de viaje")</f>
        <v>Kms de viaje</v>
      </c>
      <c r="M213" s="4" t="str">
        <f>IFERROR(__xludf.DUMMYFUNCTION("GOOGLETRANSLATE(B213,""en"",""iw"")"),"טיול ק""מ")</f>
        <v>טיול ק"מ</v>
      </c>
      <c r="N213" s="4" t="str">
        <f>IFERROR(__xludf.DUMMYFUNCTION("GOOGLETRANSLATE(B213,""en"",""bn"")"),"ট্রিপ কিমি")</f>
        <v>ট্রিপ কিমি</v>
      </c>
      <c r="O213" s="4" t="str">
        <f>IFERROR(__xludf.DUMMYFUNCTION("GOOGLETRANSLATE(B213,""en"",""pt"")"),"Kms de viagem")</f>
        <v>Kms de viagem</v>
      </c>
      <c r="P213" s="6"/>
    </row>
    <row r="214">
      <c r="A214" s="7" t="s">
        <v>624</v>
      </c>
      <c r="B214" s="3" t="s">
        <v>625</v>
      </c>
      <c r="C214" s="4" t="str">
        <f>IFERROR(__xludf.DUMMYFUNCTION("GOOGLETRANSLATE(B214,""en"",""hi"")"),"वॉलेट भुगतान")</f>
        <v>वॉलेट भुगतान</v>
      </c>
      <c r="D214" s="6" t="s">
        <v>626</v>
      </c>
      <c r="E214" s="4" t="str">
        <f>IFERROR(__xludf.DUMMYFUNCTION("GOOGLETRANSLATE(B214,""en"",""fr"")"),"Paiement par portefeuille")</f>
        <v>Paiement par portefeuille</v>
      </c>
      <c r="F214" s="4" t="str">
        <f>IFERROR(__xludf.DUMMYFUNCTION("GOOGLETRANSLATE(B214,""en"",""tr"")"),"Cüzdan Ödemesi")</f>
        <v>Cüzdan Ödemesi</v>
      </c>
      <c r="G214" s="4" t="str">
        <f>IFERROR(__xludf.DUMMYFUNCTION("GOOGLETRANSLATE(B214,""en"",""ru"")"),"Оплата кошельком")</f>
        <v>Оплата кошельком</v>
      </c>
      <c r="H214" s="4" t="str">
        <f>IFERROR(__xludf.DUMMYFUNCTION("GOOGLETRANSLATE(B214,""en"",""it"")"),"Pagamento con portafoglio")</f>
        <v>Pagamento con portafoglio</v>
      </c>
      <c r="I214" s="4" t="str">
        <f>IFERROR(__xludf.DUMMYFUNCTION("GOOGLETRANSLATE(B214,""en"",""de"")"),"Wallet-Zahlung")</f>
        <v>Wallet-Zahlung</v>
      </c>
      <c r="J214" s="4" t="str">
        <f>IFERROR(__xludf.DUMMYFUNCTION("GOOGLETRANSLATE(B214,""en"",""ko"")"),"월렛 결제")</f>
        <v>월렛 결제</v>
      </c>
      <c r="K214" s="4" t="str">
        <f>IFERROR(__xludf.DUMMYFUNCTION("GOOGLETRANSLATE(B214,""en"",""zh"")"),"钱包支付")</f>
        <v>钱包支付</v>
      </c>
      <c r="L214" s="4" t="str">
        <f>IFERROR(__xludf.DUMMYFUNCTION("GOOGLETRANSLATE(B214,""en"",""es"")"),"Pago de billetera")</f>
        <v>Pago de billetera</v>
      </c>
      <c r="M214" s="4" t="str">
        <f>IFERROR(__xludf.DUMMYFUNCTION("GOOGLETRANSLATE(B214,""en"",""iw"")"),"תשלום בארנק")</f>
        <v>תשלום בארנק</v>
      </c>
      <c r="N214" s="4" t="str">
        <f>IFERROR(__xludf.DUMMYFUNCTION("GOOGLETRANSLATE(B214,""en"",""bn"")"),"ওয়ালেট পেমেন্ট")</f>
        <v>ওয়ালেট পেমেন্ট</v>
      </c>
      <c r="O214" s="4" t="str">
        <f>IFERROR(__xludf.DUMMYFUNCTION("GOOGLETRANSLATE(B214,""en"",""pt"")"),"Pagamento de carteira")</f>
        <v>Pagamento de carteira</v>
      </c>
      <c r="P214" s="6"/>
    </row>
    <row r="215">
      <c r="A215" s="7" t="s">
        <v>627</v>
      </c>
      <c r="B215" s="3" t="s">
        <v>628</v>
      </c>
      <c r="C215" s="4" t="str">
        <f>IFERROR(__xludf.DUMMYFUNCTION("GOOGLETRANSLATE(B215,""en"",""hi"")"),"नकद भुगतान")</f>
        <v>नकद भुगतान</v>
      </c>
      <c r="D215" s="6" t="s">
        <v>629</v>
      </c>
      <c r="E215" s="4" t="str">
        <f>IFERROR(__xludf.DUMMYFUNCTION("GOOGLETRANSLATE(B215,""en"",""fr"")"),"Paiement en espèces")</f>
        <v>Paiement en espèces</v>
      </c>
      <c r="F215" s="4" t="str">
        <f>IFERROR(__xludf.DUMMYFUNCTION("GOOGLETRANSLATE(B215,""en"",""tr"")"),"Nakit ödeme")</f>
        <v>Nakit ödeme</v>
      </c>
      <c r="G215" s="4" t="str">
        <f>IFERROR(__xludf.DUMMYFUNCTION("GOOGLETRANSLATE(B215,""en"",""ru"")"),"Наличный расчет")</f>
        <v>Наличный расчет</v>
      </c>
      <c r="H215" s="4" t="str">
        <f>IFERROR(__xludf.DUMMYFUNCTION("GOOGLETRANSLATE(B215,""en"",""it"")"),"Pagamento in contanti")</f>
        <v>Pagamento in contanti</v>
      </c>
      <c r="I215" s="4" t="str">
        <f>IFERROR(__xludf.DUMMYFUNCTION("GOOGLETRANSLATE(B215,""en"",""de"")"),"Barzahlung")</f>
        <v>Barzahlung</v>
      </c>
      <c r="J215" s="4" t="str">
        <f>IFERROR(__xludf.DUMMYFUNCTION("GOOGLETRANSLATE(B215,""en"",""ko"")"),"현금 결제")</f>
        <v>현금 결제</v>
      </c>
      <c r="K215" s="4" t="str">
        <f>IFERROR(__xludf.DUMMYFUNCTION("GOOGLETRANSLATE(B215,""en"",""zh"")"),"现金支付")</f>
        <v>现金支付</v>
      </c>
      <c r="L215" s="4" t="str">
        <f>IFERROR(__xludf.DUMMYFUNCTION("GOOGLETRANSLATE(B215,""en"",""es"")"),"Pago en efectivo")</f>
        <v>Pago en efectivo</v>
      </c>
      <c r="M215" s="4" t="str">
        <f>IFERROR(__xludf.DUMMYFUNCTION("GOOGLETRANSLATE(B215,""en"",""iw"")"),"תשלום במזומן")</f>
        <v>תשלום במזומן</v>
      </c>
      <c r="N215" s="4" t="str">
        <f>IFERROR(__xludf.DUMMYFUNCTION("GOOGLETRANSLATE(B215,""en"",""bn"")"),"নগদে টাকা প্রদান")</f>
        <v>নগদে টাকা প্রদান</v>
      </c>
      <c r="O215" s="4" t="str">
        <f>IFERROR(__xludf.DUMMYFUNCTION("GOOGLETRANSLATE(B215,""en"",""pt"")"),"Pagamento em dinheiro")</f>
        <v>Pagamento em dinheiro</v>
      </c>
      <c r="P215" s="6"/>
    </row>
    <row r="216">
      <c r="A216" s="7" t="s">
        <v>630</v>
      </c>
      <c r="B216" s="3" t="s">
        <v>631</v>
      </c>
      <c r="C216" s="4" t="str">
        <f>IFERROR(__xludf.DUMMYFUNCTION("GOOGLETRANSLATE(B216,""en"",""hi"")"),"कुल कमाई")</f>
        <v>कुल कमाई</v>
      </c>
      <c r="D216" s="4" t="str">
        <f>IFERROR(__xludf.DUMMYFUNCTION("GOOGLETRANSLATE(B216,""en"",""ar"")"),"الأرباح الكلية")</f>
        <v>الأرباح الكلية</v>
      </c>
      <c r="E216" s="4" t="str">
        <f>IFERROR(__xludf.DUMMYFUNCTION("GOOGLETRANSLATE(B216,""en"",""fr"")"),"Total des gains")</f>
        <v>Total des gains</v>
      </c>
      <c r="F216" s="4" t="str">
        <f>IFERROR(__xludf.DUMMYFUNCTION("GOOGLETRANSLATE(B216,""en"",""tr"")"),"toplam kazanç")</f>
        <v>toplam kazanç</v>
      </c>
      <c r="G216" s="4" t="str">
        <f>IFERROR(__xludf.DUMMYFUNCTION("GOOGLETRANSLATE(B216,""en"",""ru"")"),"Общий доход")</f>
        <v>Общий доход</v>
      </c>
      <c r="H216" s="4" t="str">
        <f>IFERROR(__xludf.DUMMYFUNCTION("GOOGLETRANSLATE(B216,""en"",""it"")"),"Guadagni complessivi")</f>
        <v>Guadagni complessivi</v>
      </c>
      <c r="I216" s="4" t="str">
        <f>IFERROR(__xludf.DUMMYFUNCTION("GOOGLETRANSLATE(B216,""en"",""de"")"),"Gesamteinnahmen")</f>
        <v>Gesamteinnahmen</v>
      </c>
      <c r="J216" s="4" t="str">
        <f>IFERROR(__xludf.DUMMYFUNCTION("GOOGLETRANSLATE(B216,""en"",""ko"")"),"전체 수익")</f>
        <v>전체 수익</v>
      </c>
      <c r="K216" s="4" t="str">
        <f>IFERROR(__xludf.DUMMYFUNCTION("GOOGLETRANSLATE(B216,""en"",""zh"")"),"总收入")</f>
        <v>总收入</v>
      </c>
      <c r="L216" s="4" t="str">
        <f>IFERROR(__xludf.DUMMYFUNCTION("GOOGLETRANSLATE(B216,""en"",""es"")"),"Ganancias Totales")</f>
        <v>Ganancias Totales</v>
      </c>
      <c r="M216" s="4" t="str">
        <f>IFERROR(__xludf.DUMMYFUNCTION("GOOGLETRANSLATE(B216,""en"",""iw"")"),"סך ההכנסות")</f>
        <v>סך ההכנסות</v>
      </c>
      <c r="N216" s="4" t="str">
        <f>IFERROR(__xludf.DUMMYFUNCTION("GOOGLETRANSLATE(B216,""en"",""bn"")"),"মোট উপার্জন")</f>
        <v>মোট উপার্জন</v>
      </c>
      <c r="O216" s="4" t="str">
        <f>IFERROR(__xludf.DUMMYFUNCTION("GOOGLETRANSLATE(B216,""en"",""pt"")"),"Ganhos totais")</f>
        <v>Ganhos totais</v>
      </c>
      <c r="P216" s="6"/>
    </row>
    <row r="217">
      <c r="A217" s="7" t="s">
        <v>632</v>
      </c>
      <c r="B217" s="9" t="s">
        <v>633</v>
      </c>
      <c r="C217" s="4" t="str">
        <f>IFERROR(__xludf.DUMMYFUNCTION("GOOGLETRANSLATE(B217,""en"",""hi"")"),"प्रतिवेदन")</f>
        <v>प्रतिवेदन</v>
      </c>
      <c r="D217" s="4" t="str">
        <f>IFERROR(__xludf.DUMMYFUNCTION("GOOGLETRANSLATE(B217,""en"",""ar"")"),"تقرير")</f>
        <v>تقرير</v>
      </c>
      <c r="E217" s="4" t="str">
        <f>IFERROR(__xludf.DUMMYFUNCTION("GOOGLETRANSLATE(B217,""en"",""fr"")"),"Rapport")</f>
        <v>Rapport</v>
      </c>
      <c r="F217" s="4" t="str">
        <f>IFERROR(__xludf.DUMMYFUNCTION("GOOGLETRANSLATE(B217,""en"",""tr"")"),"Rapor")</f>
        <v>Rapor</v>
      </c>
      <c r="G217" s="4" t="str">
        <f>IFERROR(__xludf.DUMMYFUNCTION("GOOGLETRANSLATE(B217,""en"",""ru"")"),"Отчет")</f>
        <v>Отчет</v>
      </c>
      <c r="H217" s="4" t="str">
        <f>IFERROR(__xludf.DUMMYFUNCTION("GOOGLETRANSLATE(B217,""en"",""it"")"),"Rapporto")</f>
        <v>Rapporto</v>
      </c>
      <c r="I217" s="4" t="str">
        <f>IFERROR(__xludf.DUMMYFUNCTION("GOOGLETRANSLATE(B217,""en"",""de"")"),"Bericht")</f>
        <v>Bericht</v>
      </c>
      <c r="J217" s="4" t="str">
        <f>IFERROR(__xludf.DUMMYFUNCTION("GOOGLETRANSLATE(B217,""en"",""ko"")"),"보고서")</f>
        <v>보고서</v>
      </c>
      <c r="K217" s="4" t="str">
        <f>IFERROR(__xludf.DUMMYFUNCTION("GOOGLETRANSLATE(B217,""en"",""zh"")"),"报告")</f>
        <v>报告</v>
      </c>
      <c r="L217" s="4" t="str">
        <f>IFERROR(__xludf.DUMMYFUNCTION("GOOGLETRANSLATE(B217,""en"",""es"")"),"Informe")</f>
        <v>Informe</v>
      </c>
      <c r="M217" s="4" t="str">
        <f>IFERROR(__xludf.DUMMYFUNCTION("GOOGLETRANSLATE(B217,""en"",""iw"")"),"להגיש תלונה")</f>
        <v>להגיש תלונה</v>
      </c>
      <c r="N217" s="4" t="str">
        <f>IFERROR(__xludf.DUMMYFUNCTION("GOOGLETRANSLATE(B217,""en"",""bn"")"),"রিপোর্ট")</f>
        <v>রিপোর্ট</v>
      </c>
      <c r="O217" s="4" t="str">
        <f>IFERROR(__xludf.DUMMYFUNCTION("GOOGLETRANSLATE(B217,""en"",""pt"")"),"Relatório")</f>
        <v>Relatório</v>
      </c>
      <c r="P217" s="6"/>
    </row>
    <row r="218">
      <c r="A218" s="7" t="s">
        <v>634</v>
      </c>
      <c r="B218" s="9" t="s">
        <v>635</v>
      </c>
      <c r="C218" s="4" t="str">
        <f>IFERROR(__xludf.DUMMYFUNCTION("GOOGLETRANSLATE(B218,""en"",""hi"")"),"की तिथि से")</f>
        <v>की तिथि से</v>
      </c>
      <c r="D218" s="6" t="s">
        <v>636</v>
      </c>
      <c r="E218" s="4" t="str">
        <f>IFERROR(__xludf.DUMMYFUNCTION("GOOGLETRANSLATE(B218,""en"",""fr"")"),"Partir de la date")</f>
        <v>Partir de la date</v>
      </c>
      <c r="F218" s="4" t="str">
        <f>IFERROR(__xludf.DUMMYFUNCTION("GOOGLETRANSLATE(B218,""en"",""tr"")"),"İtibaren")</f>
        <v>İtibaren</v>
      </c>
      <c r="G218" s="4" t="str">
        <f>IFERROR(__xludf.DUMMYFUNCTION("GOOGLETRANSLATE(B218,""en"",""ru"")"),"С даты")</f>
        <v>С даты</v>
      </c>
      <c r="H218" s="4" t="str">
        <f>IFERROR(__xludf.DUMMYFUNCTION("GOOGLETRANSLATE(B218,""en"",""it"")"),"Dalla data")</f>
        <v>Dalla data</v>
      </c>
      <c r="I218" s="4" t="str">
        <f>IFERROR(__xludf.DUMMYFUNCTION("GOOGLETRANSLATE(B218,""en"",""de"")"),"Ab Datum")</f>
        <v>Ab Datum</v>
      </c>
      <c r="J218" s="4" t="str">
        <f>IFERROR(__xludf.DUMMYFUNCTION("GOOGLETRANSLATE(B218,""en"",""ko"")"),"시작 날짜")</f>
        <v>시작 날짜</v>
      </c>
      <c r="K218" s="4" t="str">
        <f>IFERROR(__xludf.DUMMYFUNCTION("GOOGLETRANSLATE(B218,""en"",""zh"")"),"从日期")</f>
        <v>从日期</v>
      </c>
      <c r="L218" s="4" t="str">
        <f>IFERROR(__xludf.DUMMYFUNCTION("GOOGLETRANSLATE(B218,""en"",""es"")"),"Partir de la fecha")</f>
        <v>Partir de la fecha</v>
      </c>
      <c r="M218" s="4" t="str">
        <f>IFERROR(__xludf.DUMMYFUNCTION("GOOGLETRANSLATE(B218,""en"",""iw"")"),"מתאריך")</f>
        <v>מתאריך</v>
      </c>
      <c r="N218" s="4" t="str">
        <f>IFERROR(__xludf.DUMMYFUNCTION("GOOGLETRANSLATE(B218,""en"",""bn"")"),"তারিখ হইতে")</f>
        <v>তারিখ হইতে</v>
      </c>
      <c r="O218" s="4" t="str">
        <f>IFERROR(__xludf.DUMMYFUNCTION("GOOGLETRANSLATE(B218,""en"",""pt"")"),"Da data")</f>
        <v>Da data</v>
      </c>
      <c r="P218" s="4"/>
    </row>
    <row r="219">
      <c r="A219" s="7" t="s">
        <v>637</v>
      </c>
      <c r="B219" s="9" t="s">
        <v>638</v>
      </c>
      <c r="C219" s="4" t="str">
        <f>IFERROR(__xludf.DUMMYFUNCTION("GOOGLETRANSLATE(B219,""en"",""hi"")"),"तारीख तक")</f>
        <v>तारीख तक</v>
      </c>
      <c r="D219" s="6" t="s">
        <v>639</v>
      </c>
      <c r="E219" s="4" t="str">
        <f>IFERROR(__xludf.DUMMYFUNCTION("GOOGLETRANSLATE(B219,""en"",""fr"")"),"À ce jour")</f>
        <v>À ce jour</v>
      </c>
      <c r="F219" s="4" t="str">
        <f>IFERROR(__xludf.DUMMYFUNCTION("GOOGLETRANSLATE(B219,""en"",""tr"")"),"Bugüne kadar")</f>
        <v>Bugüne kadar</v>
      </c>
      <c r="G219" s="4" t="str">
        <f>IFERROR(__xludf.DUMMYFUNCTION("GOOGLETRANSLATE(B219,""en"",""ru"")"),"На сегодняшний день")</f>
        <v>На сегодняшний день</v>
      </c>
      <c r="H219" s="4" t="str">
        <f>IFERROR(__xludf.DUMMYFUNCTION("GOOGLETRANSLATE(B219,""en"",""it"")"),"Ad oggi")</f>
        <v>Ad oggi</v>
      </c>
      <c r="I219" s="4" t="str">
        <f>IFERROR(__xludf.DUMMYFUNCTION("GOOGLETRANSLATE(B219,""en"",""de"")"),"Miteinander ausgehen")</f>
        <v>Miteinander ausgehen</v>
      </c>
      <c r="J219" s="4" t="str">
        <f>IFERROR(__xludf.DUMMYFUNCTION("GOOGLETRANSLATE(B219,""en"",""ko"")"),"현재까지")</f>
        <v>현재까지</v>
      </c>
      <c r="K219" s="4" t="str">
        <f>IFERROR(__xludf.DUMMYFUNCTION("GOOGLETRANSLATE(B219,""en"",""zh"")"),"迄今为止")</f>
        <v>迄今为止</v>
      </c>
      <c r="L219" s="4" t="str">
        <f>IFERROR(__xludf.DUMMYFUNCTION("GOOGLETRANSLATE(B219,""en"",""es"")"),"Hasta la fecha")</f>
        <v>Hasta la fecha</v>
      </c>
      <c r="M219" s="4" t="str">
        <f>IFERROR(__xludf.DUMMYFUNCTION("GOOGLETRANSLATE(B219,""en"",""iw"")"),"עד היום")</f>
        <v>עד היום</v>
      </c>
      <c r="N219" s="4" t="str">
        <f>IFERROR(__xludf.DUMMYFUNCTION("GOOGLETRANSLATE(B219,""en"",""bn"")"),"এখন পর্যন্ত")</f>
        <v>এখন পর্যন্ত</v>
      </c>
      <c r="O219" s="4" t="str">
        <f>IFERROR(__xludf.DUMMYFUNCTION("GOOGLETRANSLATE(B219,""en"",""pt"")"),"A data")</f>
        <v>A data</v>
      </c>
      <c r="P219" s="4"/>
    </row>
    <row r="220">
      <c r="A220" s="7" t="s">
        <v>640</v>
      </c>
      <c r="B220" s="9" t="s">
        <v>641</v>
      </c>
      <c r="C220" s="4" t="str">
        <f>IFERROR(__xludf.DUMMYFUNCTION("GOOGLETRANSLATE(B220,""en"",""hi"")"),"निकालना")</f>
        <v>निकालना</v>
      </c>
      <c r="D220" s="6" t="s">
        <v>642</v>
      </c>
      <c r="E220" s="4" t="str">
        <f>IFERROR(__xludf.DUMMYFUNCTION("GOOGLETRANSLATE(B220,""en"",""fr"")"),"Retirer")</f>
        <v>Retirer</v>
      </c>
      <c r="F220" s="4" t="str">
        <f>IFERROR(__xludf.DUMMYFUNCTION("GOOGLETRANSLATE(B220,""en"",""tr"")"),"Geri çekilmek")</f>
        <v>Geri çekilmek</v>
      </c>
      <c r="G220" s="4" t="str">
        <f>IFERROR(__xludf.DUMMYFUNCTION("GOOGLETRANSLATE(B220,""en"",""ru"")"),"Отзывать")</f>
        <v>Отзывать</v>
      </c>
      <c r="H220" s="4" t="str">
        <f>IFERROR(__xludf.DUMMYFUNCTION("GOOGLETRANSLATE(B220,""en"",""it"")"),"Ritirare")</f>
        <v>Ritirare</v>
      </c>
      <c r="I220" s="4" t="str">
        <f>IFERROR(__xludf.DUMMYFUNCTION("GOOGLETRANSLATE(B220,""en"",""de"")"),"Zurückziehen")</f>
        <v>Zurückziehen</v>
      </c>
      <c r="J220" s="4" t="str">
        <f>IFERROR(__xludf.DUMMYFUNCTION("GOOGLETRANSLATE(B220,""en"",""ko"")"),"철회하다")</f>
        <v>철회하다</v>
      </c>
      <c r="K220" s="4" t="str">
        <f>IFERROR(__xludf.DUMMYFUNCTION("GOOGLETRANSLATE(B220,""en"",""zh"")"),"提取")</f>
        <v>提取</v>
      </c>
      <c r="L220" s="4" t="str">
        <f>IFERROR(__xludf.DUMMYFUNCTION("GOOGLETRANSLATE(B220,""en"",""es"")"),"Retirar")</f>
        <v>Retirar</v>
      </c>
      <c r="M220" s="4" t="str">
        <f>IFERROR(__xludf.DUMMYFUNCTION("GOOGLETRANSLATE(B220,""en"",""iw"")"),"לָסֶגֶת")</f>
        <v>לָסֶגֶת</v>
      </c>
      <c r="N220" s="4" t="str">
        <f>IFERROR(__xludf.DUMMYFUNCTION("GOOGLETRANSLATE(B220,""en"",""bn"")"),"প্রত্যাহার করুন")</f>
        <v>প্রত্যাহার করুন</v>
      </c>
      <c r="O220" s="4" t="str">
        <f>IFERROR(__xludf.DUMMYFUNCTION("GOOGLETRANSLATE(B220,""en"",""pt"")"),"Retirar")</f>
        <v>Retirar</v>
      </c>
      <c r="P220" s="6"/>
    </row>
    <row r="221">
      <c r="A221" s="7" t="s">
        <v>643</v>
      </c>
      <c r="B221" s="9" t="s">
        <v>644</v>
      </c>
      <c r="C221" s="4" t="str">
        <f>IFERROR(__xludf.DUMMYFUNCTION("GOOGLETRANSLATE(B221,""en"",""hi"")"),"इतिहास वापस लें")</f>
        <v>इतिहास वापस लें</v>
      </c>
      <c r="D221" s="6" t="s">
        <v>645</v>
      </c>
      <c r="E221" s="4" t="str">
        <f>IFERROR(__xludf.DUMMYFUNCTION("GOOGLETRANSLATE(B221,""en"",""fr"")"),"Retirer l'historique")</f>
        <v>Retirer l'historique</v>
      </c>
      <c r="F221" s="4" t="str">
        <f>IFERROR(__xludf.DUMMYFUNCTION("GOOGLETRANSLATE(B221,""en"",""tr"")"),"Geri Çekme Geçmişi")</f>
        <v>Geri Çekme Geçmişi</v>
      </c>
      <c r="G221" s="4" t="str">
        <f>IFERROR(__xludf.DUMMYFUNCTION("GOOGLETRANSLATE(B221,""en"",""ru"")"),"Вывести историю")</f>
        <v>Вывести историю</v>
      </c>
      <c r="H221" s="4" t="str">
        <f>IFERROR(__xludf.DUMMYFUNCTION("GOOGLETRANSLATE(B221,""en"",""it"")"),"Ritirare la Storia")</f>
        <v>Ritirare la Storia</v>
      </c>
      <c r="I221" s="4" t="str">
        <f>IFERROR(__xludf.DUMMYFUNCTION("GOOGLETRANSLATE(B221,""en"",""de"")"),"Verlauf zurückziehen")</f>
        <v>Verlauf zurückziehen</v>
      </c>
      <c r="J221" s="4" t="str">
        <f>IFERROR(__xludf.DUMMYFUNCTION("GOOGLETRANSLATE(B221,""en"",""ko"")"),"출금 내역")</f>
        <v>출금 내역</v>
      </c>
      <c r="K221" s="4" t="str">
        <f>IFERROR(__xludf.DUMMYFUNCTION("GOOGLETRANSLATE(B221,""en"",""zh"")"),"提现历史")</f>
        <v>提现历史</v>
      </c>
      <c r="L221" s="4" t="str">
        <f>IFERROR(__xludf.DUMMYFUNCTION("GOOGLETRANSLATE(B221,""en"",""es"")"),"Retirar historial")</f>
        <v>Retirar historial</v>
      </c>
      <c r="M221" s="4" t="str">
        <f>IFERROR(__xludf.DUMMYFUNCTION("GOOGLETRANSLATE(B221,""en"",""iw"")"),"למשוך את ההיסטוריה")</f>
        <v>למשוך את ההיסטוריה</v>
      </c>
      <c r="N221" s="4" t="str">
        <f>IFERROR(__xludf.DUMMYFUNCTION("GOOGLETRANSLATE(B221,""en"",""bn"")"),"ইতিহাস প্রত্যাহার করুন")</f>
        <v>ইতিহাস প্রত্যাহার করুন</v>
      </c>
      <c r="O221" s="4" t="str">
        <f>IFERROR(__xludf.DUMMYFUNCTION("GOOGLETRANSLATE(B221,""en"",""pt"")"),"Histórico de retiradas")</f>
        <v>Histórico de retiradas</v>
      </c>
      <c r="P221" s="6"/>
    </row>
    <row r="222">
      <c r="A222" s="7" t="s">
        <v>646</v>
      </c>
      <c r="B222" s="9" t="s">
        <v>647</v>
      </c>
      <c r="C222" s="4" t="str">
        <f>IFERROR(__xludf.DUMMYFUNCTION("GOOGLETRANSLATE(B222,""en"",""hi"")"),"अनुरोध वापस लें")</f>
        <v>अनुरोध वापस लें</v>
      </c>
      <c r="D222" s="6" t="s">
        <v>648</v>
      </c>
      <c r="E222" s="4" t="str">
        <f>IFERROR(__xludf.DUMMYFUNCTION("GOOGLETRANSLATE(B222,""en"",""fr"")"),"Retirer la demande à")</f>
        <v>Retirer la demande à</v>
      </c>
      <c r="F222" s="4" t="str">
        <f>IFERROR(__xludf.DUMMYFUNCTION("GOOGLETRANSLATE(B222,""en"",""tr"")"),"Talebin Çekilme Tarihi:")</f>
        <v>Talebin Çekilme Tarihi:</v>
      </c>
      <c r="G222" s="4" t="str">
        <f>IFERROR(__xludf.DUMMYFUNCTION("GOOGLETRANSLATE(B222,""en"",""ru"")"),"Запрос на отзыв на")</f>
        <v>Запрос на отзыв на</v>
      </c>
      <c r="H222" s="4" t="str">
        <f>IFERROR(__xludf.DUMMYFUNCTION("GOOGLETRANSLATE(B222,""en"",""it"")"),"Ritira richiesta a")</f>
        <v>Ritira richiesta a</v>
      </c>
      <c r="I222" s="4" t="str">
        <f>IFERROR(__xludf.DUMMYFUNCTION("GOOGLETRANSLATE(B222,""en"",""de"")"),"Antrag zurückziehen unter")</f>
        <v>Antrag zurückziehen unter</v>
      </c>
      <c r="J222" s="4" t="str">
        <f>IFERROR(__xludf.DUMMYFUNCTION("GOOGLETRANSLATE(B222,""en"",""ko"")"),"철회 요청 시간")</f>
        <v>철회 요청 시간</v>
      </c>
      <c r="K222" s="4" t="str">
        <f>IFERROR(__xludf.DUMMYFUNCTION("GOOGLETRANSLATE(B222,""en"",""zh"")"),"提款请求于")</f>
        <v>提款请求于</v>
      </c>
      <c r="L222" s="4" t="str">
        <f>IFERROR(__xludf.DUMMYFUNCTION("GOOGLETRANSLATE(B222,""en"",""es"")"),"Solicitud de retiro en")</f>
        <v>Solicitud de retiro en</v>
      </c>
      <c r="M222" s="4" t="str">
        <f>IFERROR(__xludf.DUMMYFUNCTION("GOOGLETRANSLATE(B222,""en"",""iw"")"),"בטל את הבקשה ב")</f>
        <v>בטל את הבקשה ב</v>
      </c>
      <c r="N222" s="4" t="str">
        <f>IFERROR(__xludf.DUMMYFUNCTION("GOOGLETRANSLATE(B222,""en"",""bn"")"),"প্রত্যাহারের অনুরোধ এ")</f>
        <v>প্রত্যাহারের অনুরোধ এ</v>
      </c>
      <c r="O222" s="4" t="str">
        <f>IFERROR(__xludf.DUMMYFUNCTION("GOOGLETRANSLATE(B222,""en"",""pt"")"),"Solicitação de retirada em")</f>
        <v>Solicitação de retirada em</v>
      </c>
      <c r="P222" s="6"/>
    </row>
    <row r="223">
      <c r="A223" s="7" t="s">
        <v>649</v>
      </c>
      <c r="B223" s="9" t="s">
        <v>650</v>
      </c>
      <c r="C223" s="4" t="str">
        <f>IFERROR(__xludf.DUMMYFUNCTION("GOOGLETRANSLATE(B223,""en"",""hi"")"),"बैंक विवरण")</f>
        <v>बैंक विवरण</v>
      </c>
      <c r="D223" s="6" t="s">
        <v>651</v>
      </c>
      <c r="E223" s="4" t="str">
        <f>IFERROR(__xludf.DUMMYFUNCTION("GOOGLETRANSLATE(B223,""en"",""fr"")"),"Coordonnées bancaires")</f>
        <v>Coordonnées bancaires</v>
      </c>
      <c r="F223" s="4" t="str">
        <f>IFERROR(__xludf.DUMMYFUNCTION("GOOGLETRANSLATE(B223,""en"",""tr"")"),"Banka detayları")</f>
        <v>Banka detayları</v>
      </c>
      <c r="G223" s="4" t="str">
        <f>IFERROR(__xludf.DUMMYFUNCTION("GOOGLETRANSLATE(B223,""en"",""ru"")"),"Банковские реквизиты")</f>
        <v>Банковские реквизиты</v>
      </c>
      <c r="H223" s="4" t="str">
        <f>IFERROR(__xludf.DUMMYFUNCTION("GOOGLETRANSLATE(B223,""en"",""it"")"),"Coordinate bancarie")</f>
        <v>Coordinate bancarie</v>
      </c>
      <c r="I223" s="4" t="str">
        <f>IFERROR(__xludf.DUMMYFUNCTION("GOOGLETRANSLATE(B223,""en"",""de"")"),"Bankdaten")</f>
        <v>Bankdaten</v>
      </c>
      <c r="J223" s="4" t="str">
        <f>IFERROR(__xludf.DUMMYFUNCTION("GOOGLETRANSLATE(B223,""en"",""ko"")"),"은행 계좌 정보")</f>
        <v>은행 계좌 정보</v>
      </c>
      <c r="K223" s="4" t="str">
        <f>IFERROR(__xludf.DUMMYFUNCTION("GOOGLETRANSLATE(B223,""en"",""zh"")"),"银行明细")</f>
        <v>银行明细</v>
      </c>
      <c r="L223" s="4" t="str">
        <f>IFERROR(__xludf.DUMMYFUNCTION("GOOGLETRANSLATE(B223,""en"",""es"")"),"Detalles del banco")</f>
        <v>Detalles del banco</v>
      </c>
      <c r="M223" s="4" t="str">
        <f>IFERROR(__xludf.DUMMYFUNCTION("GOOGLETRANSLATE(B223,""en"",""iw"")"),"פרטי בנק")</f>
        <v>פרטי בנק</v>
      </c>
      <c r="N223" s="4" t="str">
        <f>IFERROR(__xludf.DUMMYFUNCTION("GOOGLETRANSLATE(B223,""en"",""bn"")"),"ব্যাংক বিবরণ")</f>
        <v>ব্যাংক বিবরণ</v>
      </c>
      <c r="O223" s="4" t="str">
        <f>IFERROR(__xludf.DUMMYFUNCTION("GOOGLETRANSLATE(B223,""en"",""pt"")"),"Detalhes bancários")</f>
        <v>Detalhes bancários</v>
      </c>
      <c r="P223" s="6"/>
    </row>
    <row r="224">
      <c r="A224" s="7" t="s">
        <v>652</v>
      </c>
      <c r="B224" s="9" t="s">
        <v>653</v>
      </c>
      <c r="C224" s="4" t="str">
        <f>IFERROR(__xludf.DUMMYFUNCTION("GOOGLETRANSLATE(B224,""en"",""hi"")"),"खाता धारक का नाम")</f>
        <v>खाता धारक का नाम</v>
      </c>
      <c r="D224" s="4" t="str">
        <f>IFERROR(__xludf.DUMMYFUNCTION("GOOGLETRANSLATE(B224,""en"",""ar"")"),"اسم صاحب الحساب")</f>
        <v>اسم صاحب الحساب</v>
      </c>
      <c r="E224" s="4" t="str">
        <f>IFERROR(__xludf.DUMMYFUNCTION("GOOGLETRANSLATE(B224,""en"",""fr"")"),"Nom du titulaire du compte")</f>
        <v>Nom du titulaire du compte</v>
      </c>
      <c r="F224" s="4" t="str">
        <f>IFERROR(__xludf.DUMMYFUNCTION("GOOGLETRANSLATE(B224,""en"",""tr"")"),"Hesap Sahibinin Adı")</f>
        <v>Hesap Sahibinin Adı</v>
      </c>
      <c r="G224" s="4" t="str">
        <f>IFERROR(__xludf.DUMMYFUNCTION("GOOGLETRANSLATE(B224,""en"",""ru"")"),"имя владельца счета")</f>
        <v>имя владельца счета</v>
      </c>
      <c r="H224" s="4" t="str">
        <f>IFERROR(__xludf.DUMMYFUNCTION("GOOGLETRANSLATE(B224,""en"",""it"")"),"Nome del titolare")</f>
        <v>Nome del titolare</v>
      </c>
      <c r="I224" s="4" t="str">
        <f>IFERROR(__xludf.DUMMYFUNCTION("GOOGLETRANSLATE(B224,""en"",""de"")"),"Name des Kontoinhabers")</f>
        <v>Name des Kontoinhabers</v>
      </c>
      <c r="J224" s="4" t="str">
        <f>IFERROR(__xludf.DUMMYFUNCTION("GOOGLETRANSLATE(B224,""en"",""ko"")"),"계좌 소유자 이름")</f>
        <v>계좌 소유자 이름</v>
      </c>
      <c r="K224" s="4" t="str">
        <f>IFERROR(__xludf.DUMMYFUNCTION("GOOGLETRANSLATE(B224,""en"",""zh"")"),"账户持有人姓名")</f>
        <v>账户持有人姓名</v>
      </c>
      <c r="L224" s="4" t="str">
        <f>IFERROR(__xludf.DUMMYFUNCTION("GOOGLETRANSLATE(B224,""en"",""es"")"),"nombre del titular de la cuenta")</f>
        <v>nombre del titular de la cuenta</v>
      </c>
      <c r="M224" s="4" t="str">
        <f>IFERROR(__xludf.DUMMYFUNCTION("GOOGLETRANSLATE(B224,""en"",""iw"")"),"שם בעל החשבון")</f>
        <v>שם בעל החשבון</v>
      </c>
      <c r="N224" s="4" t="str">
        <f>IFERROR(__xludf.DUMMYFUNCTION("GOOGLETRANSLATE(B224,""en"",""bn"")"),"হিসাব দাতার নাম")</f>
        <v>হিসাব দাতার নাম</v>
      </c>
      <c r="O224" s="4" t="str">
        <f>IFERROR(__xludf.DUMMYFUNCTION("GOOGLETRANSLATE(B224,""en"",""pt"")"),"nome do titular da conta")</f>
        <v>nome do titular da conta</v>
      </c>
      <c r="P224" s="6"/>
    </row>
    <row r="225">
      <c r="A225" s="7" t="s">
        <v>654</v>
      </c>
      <c r="B225" s="9" t="s">
        <v>655</v>
      </c>
      <c r="C225" s="4" t="str">
        <f>IFERROR(__xludf.DUMMYFUNCTION("GOOGLETRANSLATE(B225,""en"",""hi"")"),"खाता संख्या")</f>
        <v>खाता संख्या</v>
      </c>
      <c r="D225" s="6" t="s">
        <v>656</v>
      </c>
      <c r="E225" s="4" t="str">
        <f>IFERROR(__xludf.DUMMYFUNCTION("GOOGLETRANSLATE(B225,""en"",""fr"")"),"Numéro de compte")</f>
        <v>Numéro de compte</v>
      </c>
      <c r="F225" s="4" t="str">
        <f>IFERROR(__xludf.DUMMYFUNCTION("GOOGLETRANSLATE(B225,""en"",""tr"")"),"Hesap numarası")</f>
        <v>Hesap numarası</v>
      </c>
      <c r="G225" s="4" t="str">
        <f>IFERROR(__xludf.DUMMYFUNCTION("GOOGLETRANSLATE(B225,""en"",""ru"")"),"Номер счета")</f>
        <v>Номер счета</v>
      </c>
      <c r="H225" s="4" t="str">
        <f>IFERROR(__xludf.DUMMYFUNCTION("GOOGLETRANSLATE(B225,""en"",""it"")"),"Numero di conto")</f>
        <v>Numero di conto</v>
      </c>
      <c r="I225" s="4" t="str">
        <f>IFERROR(__xludf.DUMMYFUNCTION("GOOGLETRANSLATE(B225,""en"",""de"")"),"Accountnummer")</f>
        <v>Accountnummer</v>
      </c>
      <c r="J225" s="4" t="str">
        <f>IFERROR(__xludf.DUMMYFUNCTION("GOOGLETRANSLATE(B225,""en"",""ko"")"),"계좌 번호")</f>
        <v>계좌 번호</v>
      </c>
      <c r="K225" s="4" t="str">
        <f>IFERROR(__xludf.DUMMYFUNCTION("GOOGLETRANSLATE(B225,""en"",""zh"")"),"帐号")</f>
        <v>帐号</v>
      </c>
      <c r="L225" s="4" t="str">
        <f>IFERROR(__xludf.DUMMYFUNCTION("GOOGLETRANSLATE(B225,""en"",""es"")"),"Número de cuenta")</f>
        <v>Número de cuenta</v>
      </c>
      <c r="M225" s="4" t="str">
        <f>IFERROR(__xludf.DUMMYFUNCTION("GOOGLETRANSLATE(B225,""en"",""iw"")"),"מספר חשבון")</f>
        <v>מספר חשבון</v>
      </c>
      <c r="N225" s="4" t="str">
        <f>IFERROR(__xludf.DUMMYFUNCTION("GOOGLETRANSLATE(B225,""en"",""bn"")"),"হিসাব নাম্বার")</f>
        <v>হিসাব নাম্বার</v>
      </c>
      <c r="O225" s="4" t="str">
        <f>IFERROR(__xludf.DUMMYFUNCTION("GOOGLETRANSLATE(B225,""en"",""pt"")"),"Número de conta")</f>
        <v>Número de conta</v>
      </c>
      <c r="P225" s="6"/>
    </row>
    <row r="226">
      <c r="A226" s="7" t="s">
        <v>657</v>
      </c>
      <c r="B226" s="9" t="s">
        <v>658</v>
      </c>
      <c r="C226" s="4" t="str">
        <f>IFERROR(__xludf.DUMMYFUNCTION("GOOGLETRANSLATE(B226,""en"",""hi"")"),"बैंक का सांकेतिक अंक")</f>
        <v>बैंक का सांकेतिक अंक</v>
      </c>
      <c r="D226" s="6" t="s">
        <v>659</v>
      </c>
      <c r="E226" s="4" t="str">
        <f>IFERROR(__xludf.DUMMYFUNCTION("GOOGLETRANSLATE(B226,""en"",""fr"")"),"Code bancaire")</f>
        <v>Code bancaire</v>
      </c>
      <c r="F226" s="4" t="str">
        <f>IFERROR(__xludf.DUMMYFUNCTION("GOOGLETRANSLATE(B226,""en"",""tr"")"),"Banka kodu")</f>
        <v>Banka kodu</v>
      </c>
      <c r="G226" s="4" t="str">
        <f>IFERROR(__xludf.DUMMYFUNCTION("GOOGLETRANSLATE(B226,""en"",""ru"")"),"Код банка")</f>
        <v>Код банка</v>
      </c>
      <c r="H226" s="4" t="str">
        <f>IFERROR(__xludf.DUMMYFUNCTION("GOOGLETRANSLATE(B226,""en"",""it"")"),"Codice bancario")</f>
        <v>Codice bancario</v>
      </c>
      <c r="I226" s="4" t="str">
        <f>IFERROR(__xludf.DUMMYFUNCTION("GOOGLETRANSLATE(B226,""en"",""de"")"),"Bankleitzahl")</f>
        <v>Bankleitzahl</v>
      </c>
      <c r="J226" s="4" t="str">
        <f>IFERROR(__xludf.DUMMYFUNCTION("GOOGLETRANSLATE(B226,""en"",""ko"")"),"은행 코드")</f>
        <v>은행 코드</v>
      </c>
      <c r="K226" s="4" t="str">
        <f>IFERROR(__xludf.DUMMYFUNCTION("GOOGLETRANSLATE(B226,""en"",""zh"")"),"银行代码")</f>
        <v>银行代码</v>
      </c>
      <c r="L226" s="4" t="str">
        <f>IFERROR(__xludf.DUMMYFUNCTION("GOOGLETRANSLATE(B226,""en"",""es"")"),"Codigo bancario")</f>
        <v>Codigo bancario</v>
      </c>
      <c r="M226" s="4" t="str">
        <f>IFERROR(__xludf.DUMMYFUNCTION("GOOGLETRANSLATE(B226,""en"",""iw"")"),"קוד בנק")</f>
        <v>קוד בנק</v>
      </c>
      <c r="N226" s="4" t="str">
        <f>IFERROR(__xludf.DUMMYFUNCTION("GOOGLETRANSLATE(B226,""en"",""bn"")"),"ব্যাংেকর সংকেতলিপি")</f>
        <v>ব্যাংেকর সংকেতলিপি</v>
      </c>
      <c r="O226" s="4" t="str">
        <f>IFERROR(__xludf.DUMMYFUNCTION("GOOGLETRANSLATE(B226,""en"",""pt"")"),"Código bancário")</f>
        <v>Código bancário</v>
      </c>
      <c r="P226" s="4"/>
    </row>
    <row r="227">
      <c r="A227" s="7" t="s">
        <v>660</v>
      </c>
      <c r="B227" s="9" t="s">
        <v>661</v>
      </c>
      <c r="C227" s="4" t="str">
        <f>IFERROR(__xludf.DUMMYFUNCTION("GOOGLETRANSLATE(B227,""en"",""hi"")"),"बैंक का नाम")</f>
        <v>बैंक का नाम</v>
      </c>
      <c r="D227" s="6" t="s">
        <v>662</v>
      </c>
      <c r="E227" s="4" t="str">
        <f>IFERROR(__xludf.DUMMYFUNCTION("GOOGLETRANSLATE(B227,""en"",""fr"")"),"Nom de banque")</f>
        <v>Nom de banque</v>
      </c>
      <c r="F227" s="4" t="str">
        <f>IFERROR(__xludf.DUMMYFUNCTION("GOOGLETRANSLATE(B227,""en"",""tr"")"),"Banka adı")</f>
        <v>Banka adı</v>
      </c>
      <c r="G227" s="4" t="str">
        <f>IFERROR(__xludf.DUMMYFUNCTION("GOOGLETRANSLATE(B227,""en"",""ru"")"),"Название банка")</f>
        <v>Название банка</v>
      </c>
      <c r="H227" s="4" t="str">
        <f>IFERROR(__xludf.DUMMYFUNCTION("GOOGLETRANSLATE(B227,""en"",""it"")"),"Nome della banca")</f>
        <v>Nome della banca</v>
      </c>
      <c r="I227" s="4" t="str">
        <f>IFERROR(__xludf.DUMMYFUNCTION("GOOGLETRANSLATE(B227,""en"",""de"")"),"Bank Name")</f>
        <v>Bank Name</v>
      </c>
      <c r="J227" s="4" t="str">
        <f>IFERROR(__xludf.DUMMYFUNCTION("GOOGLETRANSLATE(B227,""en"",""ko"")"),"은행 이름")</f>
        <v>은행 이름</v>
      </c>
      <c r="K227" s="4" t="str">
        <f>IFERROR(__xludf.DUMMYFUNCTION("GOOGLETRANSLATE(B227,""en"",""zh"")"),"银行名")</f>
        <v>银行名</v>
      </c>
      <c r="L227" s="4" t="str">
        <f>IFERROR(__xludf.DUMMYFUNCTION("GOOGLETRANSLATE(B227,""en"",""es"")"),"Nombre del banco")</f>
        <v>Nombre del banco</v>
      </c>
      <c r="M227" s="4" t="str">
        <f>IFERROR(__xludf.DUMMYFUNCTION("GOOGLETRANSLATE(B227,""en"",""iw"")"),"שם הבנק")</f>
        <v>שם הבנק</v>
      </c>
      <c r="N227" s="4" t="str">
        <f>IFERROR(__xludf.DUMMYFUNCTION("GOOGLETRANSLATE(B227,""en"",""bn"")"),"ব্যাংকের নাম")</f>
        <v>ব্যাংকের নাম</v>
      </c>
      <c r="O227" s="4" t="str">
        <f>IFERROR(__xludf.DUMMYFUNCTION("GOOGLETRANSLATE(B227,""en"",""pt"")"),"Nome do banco")</f>
        <v>Nome do banco</v>
      </c>
      <c r="P227" s="6"/>
    </row>
    <row r="228">
      <c r="A228" s="7" t="s">
        <v>663</v>
      </c>
      <c r="B228" s="9" t="s">
        <v>664</v>
      </c>
      <c r="C228" s="4" t="str">
        <f>IFERROR(__xludf.DUMMYFUNCTION("GOOGLETRANSLATE(B228,""en"",""hi"")"),"बैंक जानकारी अपडेट करें")</f>
        <v>बैंक जानकारी अपडेट करें</v>
      </c>
      <c r="D228" s="4" t="str">
        <f>IFERROR(__xludf.DUMMYFUNCTION("GOOGLETRANSLATE(B228,""en"",""ar"")"),"تحديث معلومات البنك")</f>
        <v>تحديث معلومات البنك</v>
      </c>
      <c r="E228" s="4" t="str">
        <f>IFERROR(__xludf.DUMMYFUNCTION("GOOGLETRANSLATE(B228,""en"",""fr"")"),"Mettre à jour les informations bancaires")</f>
        <v>Mettre à jour les informations bancaires</v>
      </c>
      <c r="F228" s="4" t="str">
        <f>IFERROR(__xludf.DUMMYFUNCTION("GOOGLETRANSLATE(B228,""en"",""tr"")"),"Banka Bilgilerini Güncelle")</f>
        <v>Banka Bilgilerini Güncelle</v>
      </c>
      <c r="G228" s="4" t="str">
        <f>IFERROR(__xludf.DUMMYFUNCTION("GOOGLETRANSLATE(B228,""en"",""ru"")"),"Обновить банковскую информацию")</f>
        <v>Обновить банковскую информацию</v>
      </c>
      <c r="H228" s="4" t="str">
        <f>IFERROR(__xludf.DUMMYFUNCTION("GOOGLETRANSLATE(B228,""en"",""it"")"),"Aggiorna informazioni bancarie")</f>
        <v>Aggiorna informazioni bancarie</v>
      </c>
      <c r="I228" s="4" t="str">
        <f>IFERROR(__xludf.DUMMYFUNCTION("GOOGLETRANSLATE(B228,""en"",""de"")"),"Bankdaten aktualisieren")</f>
        <v>Bankdaten aktualisieren</v>
      </c>
      <c r="J228" s="4" t="str">
        <f>IFERROR(__xludf.DUMMYFUNCTION("GOOGLETRANSLATE(B228,""en"",""ko"")"),"은행 정보 업데이트")</f>
        <v>은행 정보 업데이트</v>
      </c>
      <c r="K228" s="4" t="str">
        <f>IFERROR(__xludf.DUMMYFUNCTION("GOOGLETRANSLATE(B228,""en"",""zh"")"),"更新银行信息")</f>
        <v>更新银行信息</v>
      </c>
      <c r="L228" s="4" t="str">
        <f>IFERROR(__xludf.DUMMYFUNCTION("GOOGLETRANSLATE(B228,""en"",""es"")"),"Actualizar información bancaria")</f>
        <v>Actualizar información bancaria</v>
      </c>
      <c r="M228" s="4" t="str">
        <f>IFERROR(__xludf.DUMMYFUNCTION("GOOGLETRANSLATE(B228,""en"",""iw"")"),"עדכן את פרטי הבנק")</f>
        <v>עדכן את פרטי הבנק</v>
      </c>
      <c r="N228" s="4" t="str">
        <f>IFERROR(__xludf.DUMMYFUNCTION("GOOGLETRANSLATE(B228,""en"",""bn"")"),"ব্যাঙ্কের তথ্য আপডেট করুন")</f>
        <v>ব্যাঙ্কের তথ্য আপডেট করুন</v>
      </c>
      <c r="O228" s="4" t="str">
        <f>IFERROR(__xludf.DUMMYFUNCTION("GOOGLETRANSLATE(B228,""en"",""pt"")"),"Atualizar informações bancárias")</f>
        <v>Atualizar informações bancárias</v>
      </c>
      <c r="P228" s="6"/>
    </row>
    <row r="229">
      <c r="A229" s="7" t="s">
        <v>665</v>
      </c>
      <c r="B229" s="9" t="s">
        <v>666</v>
      </c>
      <c r="C229" s="4" t="str">
        <f>IFERROR(__xludf.DUMMYFUNCTION("GOOGLETRANSLATE(B229,""en"",""hi"")"),"क्या आप वाकई लॉगआउट करना चाहते हैं?")</f>
        <v>क्या आप वाकई लॉगआउट करना चाहते हैं?</v>
      </c>
      <c r="D229" s="6" t="s">
        <v>667</v>
      </c>
      <c r="E229" s="4" t="str">
        <f>IFERROR(__xludf.DUMMYFUNCTION("GOOGLETRANSLATE(B229,""en"",""fr"")"),"Êtes-vous sûr de vouloir vous déconnecter")</f>
        <v>Êtes-vous sûr de vouloir vous déconnecter</v>
      </c>
      <c r="F229" s="4" t="str">
        <f>IFERROR(__xludf.DUMMYFUNCTION("GOOGLETRANSLATE(B229,""en"",""tr"")"),"Oturumu kapatmak istediğinizden emin misiniz?")</f>
        <v>Oturumu kapatmak istediğinizden emin misiniz?</v>
      </c>
      <c r="G229" s="4" t="str">
        <f>IFERROR(__xludf.DUMMYFUNCTION("GOOGLETRANSLATE(B229,""en"",""ru"")"),"Вы уверены, что хотите выйти из системы?")</f>
        <v>Вы уверены, что хотите выйти из системы?</v>
      </c>
      <c r="H229" s="4" t="str">
        <f>IFERROR(__xludf.DUMMYFUNCTION("GOOGLETRANSLATE(B229,""en"",""it"")"),"Sei sicuro di voler uscire?")</f>
        <v>Sei sicuro di voler uscire?</v>
      </c>
      <c r="I229" s="4" t="str">
        <f>IFERROR(__xludf.DUMMYFUNCTION("GOOGLETRANSLATE(B229,""en"",""de"")"),"Möchten Sie sich wirklich abmelden?")</f>
        <v>Möchten Sie sich wirklich abmelden?</v>
      </c>
      <c r="J229" s="4" t="str">
        <f>IFERROR(__xludf.DUMMYFUNCTION("GOOGLETRANSLATE(B229,""en"",""ko"")"),"정말로 로그아웃하시겠습니까?")</f>
        <v>정말로 로그아웃하시겠습니까?</v>
      </c>
      <c r="K229" s="4" t="str">
        <f>IFERROR(__xludf.DUMMYFUNCTION("GOOGLETRANSLATE(B229,""en"",""zh"")"),"您确定要退出吗")</f>
        <v>您确定要退出吗</v>
      </c>
      <c r="L229" s="4" t="str">
        <f>IFERROR(__xludf.DUMMYFUNCTION("GOOGLETRANSLATE(B229,""en"",""es"")"),"¿Estás seguro de que quieres cerrar sesión?")</f>
        <v>¿Estás seguro de que quieres cerrar sesión?</v>
      </c>
      <c r="M229" s="4" t="str">
        <f>IFERROR(__xludf.DUMMYFUNCTION("GOOGLETRANSLATE(B229,""en"",""iw"")"),"האם אתה בטוח רוצה להתנתק")</f>
        <v>האם אתה בטוח רוצה להתנתק</v>
      </c>
      <c r="N229" s="4" t="str">
        <f>IFERROR(__xludf.DUMMYFUNCTION("GOOGLETRANSLATE(B229,""en"",""bn"")"),"আপনি কি নিশ্চিত লগআউট করতে চান?")</f>
        <v>আপনি কি নিশ্চিত লগআউট করতে চান?</v>
      </c>
      <c r="O229" s="4" t="str">
        <f>IFERROR(__xludf.DUMMYFUNCTION("GOOGLETRANSLATE(B229,""en"",""pt"")"),"Tem certeza de que deseja sair")</f>
        <v>Tem certeza de que deseja sair</v>
      </c>
      <c r="P229" s="6"/>
    </row>
    <row r="230">
      <c r="A230" s="7" t="s">
        <v>668</v>
      </c>
      <c r="B230" s="9" t="s">
        <v>247</v>
      </c>
      <c r="C230" s="4" t="str">
        <f>IFERROR(__xludf.DUMMYFUNCTION("GOOGLETRANSLATE(B230,""en"",""hi"")"),"बटुआ")</f>
        <v>बटुआ</v>
      </c>
      <c r="D230" s="6" t="s">
        <v>248</v>
      </c>
      <c r="E230" s="4" t="str">
        <f>IFERROR(__xludf.DUMMYFUNCTION("GOOGLETRANSLATE(B230,""en"",""fr"")"),"Portefeuille")</f>
        <v>Portefeuille</v>
      </c>
      <c r="F230" s="4" t="str">
        <f>IFERROR(__xludf.DUMMYFUNCTION("GOOGLETRANSLATE(B230,""en"",""tr"")"),"Cüzdan")</f>
        <v>Cüzdan</v>
      </c>
      <c r="G230" s="4" t="str">
        <f>IFERROR(__xludf.DUMMYFUNCTION("GOOGLETRANSLATE(B230,""en"",""ru"")"),"Кошелек")</f>
        <v>Кошелек</v>
      </c>
      <c r="H230" s="4" t="str">
        <f>IFERROR(__xludf.DUMMYFUNCTION("GOOGLETRANSLATE(B230,""en"",""it"")"),"Portafoglio")</f>
        <v>Portafoglio</v>
      </c>
      <c r="I230" s="4" t="str">
        <f>IFERROR(__xludf.DUMMYFUNCTION("GOOGLETRANSLATE(B230,""en"",""de"")"),"Geldbörse")</f>
        <v>Geldbörse</v>
      </c>
      <c r="J230" s="4" t="str">
        <f>IFERROR(__xludf.DUMMYFUNCTION("GOOGLETRANSLATE(B230,""en"",""ko"")"),"지갑")</f>
        <v>지갑</v>
      </c>
      <c r="K230" s="4" t="str">
        <f>IFERROR(__xludf.DUMMYFUNCTION("GOOGLETRANSLATE(B230,""en"",""zh"")"),"钱包")</f>
        <v>钱包</v>
      </c>
      <c r="L230" s="4" t="str">
        <f>IFERROR(__xludf.DUMMYFUNCTION("GOOGLETRANSLATE(B230,""en"",""es"")"),"Billetera")</f>
        <v>Billetera</v>
      </c>
      <c r="M230" s="4" t="str">
        <f>IFERROR(__xludf.DUMMYFUNCTION("GOOGLETRANSLATE(B230,""en"",""iw"")"),"ארנק")</f>
        <v>ארנק</v>
      </c>
      <c r="N230" s="4" t="str">
        <f>IFERROR(__xludf.DUMMYFUNCTION("GOOGLETRANSLATE(B230,""en"",""bn"")"),"ওয়ালেট")</f>
        <v>ওয়ালেট</v>
      </c>
      <c r="O230" s="4" t="str">
        <f>IFERROR(__xludf.DUMMYFUNCTION("GOOGLETRANSLATE(B230,""en"",""pt"")"),"Carteira")</f>
        <v>Carteira</v>
      </c>
      <c r="P230" s="4"/>
    </row>
    <row r="231">
      <c r="A231" s="7" t="s">
        <v>669</v>
      </c>
      <c r="B231" s="9" t="s">
        <v>670</v>
      </c>
      <c r="C231" s="4" t="str">
        <f>IFERROR(__xludf.DUMMYFUNCTION("GOOGLETRANSLATE(B231,""en"",""hi"")"),"ओटीपी के साथ यात्रा शुरू करें")</f>
        <v>ओटीपी के साथ यात्रा शुरू करें</v>
      </c>
      <c r="D231" s="6" t="s">
        <v>671</v>
      </c>
      <c r="E231" s="4" t="str">
        <f>IFERROR(__xludf.DUMMYFUNCTION("GOOGLETRANSLATE(B231,""en"",""fr"")"),"Commencer à rouler avec OTP")</f>
        <v>Commencer à rouler avec OTP</v>
      </c>
      <c r="F231" s="4" t="str">
        <f>IFERROR(__xludf.DUMMYFUNCTION("GOOGLETRANSLATE(B231,""en"",""tr"")"),"OTP ile Sürüşe Başlayın")</f>
        <v>OTP ile Sürüşe Başlayın</v>
      </c>
      <c r="G231" s="4" t="str">
        <f>IFERROR(__xludf.DUMMYFUNCTION("GOOGLETRANSLATE(B231,""en"",""ru"")"),"Начать поездку с OTP")</f>
        <v>Начать поездку с OTP</v>
      </c>
      <c r="H231" s="4" t="str">
        <f>IFERROR(__xludf.DUMMYFUNCTION("GOOGLETRANSLATE(B231,""en"",""it"")"),"Inizia il giro con OTP")</f>
        <v>Inizia il giro con OTP</v>
      </c>
      <c r="I231" s="4" t="str">
        <f>IFERROR(__xludf.DUMMYFUNCTION("GOOGLETRANSLATE(B231,""en"",""de"")"),"Starten Sie die Fahrt mit OTP")</f>
        <v>Starten Sie die Fahrt mit OTP</v>
      </c>
      <c r="J231" s="4" t="str">
        <f>IFERROR(__xludf.DUMMYFUNCTION("GOOGLETRANSLATE(B231,""en"",""ko"")"),"OTP로 라이드 시작하기")</f>
        <v>OTP로 라이드 시작하기</v>
      </c>
      <c r="K231" s="4" t="str">
        <f>IFERROR(__xludf.DUMMYFUNCTION("GOOGLETRANSLATE(B231,""en"",""zh"")"),"使用 OTP 开始骑行")</f>
        <v>使用 OTP 开始骑行</v>
      </c>
      <c r="L231" s="4" t="str">
        <f>IFERROR(__xludf.DUMMYFUNCTION("GOOGLETRANSLATE(B231,""en"",""es"")"),"Iniciar viaje con OTP")</f>
        <v>Iniciar viaje con OTP</v>
      </c>
      <c r="M231" s="4" t="str">
        <f>IFERROR(__xludf.DUMMYFUNCTION("GOOGLETRANSLATE(B231,""en"",""iw"")"),"התחל רכיבה עם OTP")</f>
        <v>התחל רכיבה עם OTP</v>
      </c>
      <c r="N231" s="4" t="str">
        <f>IFERROR(__xludf.DUMMYFUNCTION("GOOGLETRANSLATE(B231,""en"",""bn"")"),"OTP দিয়ে রাইড শুরু করুন")</f>
        <v>OTP দিয়ে রাইড শুরু করুন</v>
      </c>
      <c r="O231" s="4" t="str">
        <f>IFERROR(__xludf.DUMMYFUNCTION("GOOGLETRANSLATE(B231,""en"",""pt"")"),"Comece a andar com OTP")</f>
        <v>Comece a andar com OTP</v>
      </c>
      <c r="P231" s="6"/>
    </row>
    <row r="232">
      <c r="A232" s="7" t="s">
        <v>672</v>
      </c>
      <c r="B232" s="9" t="s">
        <v>673</v>
      </c>
      <c r="C232" s="4" t="str">
        <f>IFERROR(__xludf.DUMMYFUNCTION("GOOGLETRANSLATE(B232,""en"",""hi"")"),"स्थानीयकरण लोड हो रहा है")</f>
        <v>स्थानीयकरण लोड हो रहा है</v>
      </c>
      <c r="D232" s="6" t="s">
        <v>674</v>
      </c>
      <c r="E232" s="4" t="str">
        <f>IFERROR(__xludf.DUMMYFUNCTION("GOOGLETRANSLATE(B232,""en"",""fr"")"),"Chargement de la localisation")</f>
        <v>Chargement de la localisation</v>
      </c>
      <c r="F232" s="4" t="str">
        <f>IFERROR(__xludf.DUMMYFUNCTION("GOOGLETRANSLATE(B232,""en"",""tr"")"),"Yerelleştirme Yükleniyor")</f>
        <v>Yerelleştirme Yükleniyor</v>
      </c>
      <c r="G232" s="4" t="str">
        <f>IFERROR(__xludf.DUMMYFUNCTION("GOOGLETRANSLATE(B232,""en"",""ru"")"),"Загрузка локализации")</f>
        <v>Загрузка локализации</v>
      </c>
      <c r="H232" s="4" t="str">
        <f>IFERROR(__xludf.DUMMYFUNCTION("GOOGLETRANSLATE(B232,""en"",""it"")"),"Caricamento localizzazione")</f>
        <v>Caricamento localizzazione</v>
      </c>
      <c r="I232" s="4" t="str">
        <f>IFERROR(__xludf.DUMMYFUNCTION("GOOGLETRANSLATE(B232,""en"",""de"")"),"Lokalisierung wird geladen")</f>
        <v>Lokalisierung wird geladen</v>
      </c>
      <c r="J232" s="4" t="str">
        <f>IFERROR(__xludf.DUMMYFUNCTION("GOOGLETRANSLATE(B232,""en"",""ko"")"),"현지화 로드 중")</f>
        <v>현지화 로드 중</v>
      </c>
      <c r="K232" s="4" t="str">
        <f>IFERROR(__xludf.DUMMYFUNCTION("GOOGLETRANSLATE(B232,""en"",""zh"")"),"加载本地化")</f>
        <v>加载本地化</v>
      </c>
      <c r="L232" s="4" t="str">
        <f>IFERROR(__xludf.DUMMYFUNCTION("GOOGLETRANSLATE(B232,""en"",""es"")"),"Cargando localización")</f>
        <v>Cargando localización</v>
      </c>
      <c r="M232" s="4" t="str">
        <f>IFERROR(__xludf.DUMMYFUNCTION("GOOGLETRANSLATE(B232,""en"",""iw"")"),"טוען לוקליזציה")</f>
        <v>טוען לוקליזציה</v>
      </c>
      <c r="N232" s="4" t="str">
        <f>IFERROR(__xludf.DUMMYFUNCTION("GOOGLETRANSLATE(B232,""en"",""bn"")"),"স্থানীয়করণ লোড হচ্ছে")</f>
        <v>স্থানীয়করণ লোড হচ্ছে</v>
      </c>
      <c r="O232" s="4" t="str">
        <f>IFERROR(__xludf.DUMMYFUNCTION("GOOGLETRANSLATE(B232,""en"",""pt"")"),"Carregando localização")</f>
        <v>Carregando localização</v>
      </c>
      <c r="P232" s="6"/>
    </row>
    <row r="233">
      <c r="A233" s="7" t="s">
        <v>675</v>
      </c>
      <c r="B233" s="9" t="s">
        <v>676</v>
      </c>
      <c r="C233" s="4" t="str">
        <f>IFERROR(__xludf.DUMMYFUNCTION("GOOGLETRANSLATE(B233,""en"",""hi"")"),"पृष्ठभूमि स्थान सक्षम करें - भले ही आपका ऐप पृष्ठभूमि में हो, आपको सवारी अनुरोध देने के लिए")</f>
        <v>पृष्ठभूमि स्थान सक्षम करें - भले ही आपका ऐप पृष्ठभूमि में हो, आपको सवारी अनुरोध देने के लिए</v>
      </c>
      <c r="D233" s="6" t="s">
        <v>677</v>
      </c>
      <c r="E233" s="4" t="str">
        <f>IFERROR(__xludf.DUMMYFUNCTION("GOOGLETRANSLATE(B233,""en"",""fr"")"),"Activer la localisation en arrière-plan - pour vous donner une demande de trajet même si votre application est en arrière-plan")</f>
        <v>Activer la localisation en arrière-plan - pour vous donner une demande de trajet même si votre application est en arrière-plan</v>
      </c>
      <c r="F233" s="4" t="str">
        <f>IFERROR(__xludf.DUMMYFUNCTION("GOOGLETRANSLATE(B233,""en"",""tr"")"),"Arka Plan Konumunu Etkinleştir - uygulamanız arka planda olsa bile size yolculuk isteği vermek için")</f>
        <v>Arka Plan Konumunu Etkinleştir - uygulamanız arka planda olsa bile size yolculuk isteği vermek için</v>
      </c>
      <c r="G233" s="4" t="str">
        <f>IFERROR(__xludf.DUMMYFUNCTION("GOOGLETRANSLATE(B233,""en"",""ru"")"),"Включить фоновое местоположение — чтобы вы могли запросить поездку, даже если ваше приложение находится в фоновом режиме.")</f>
        <v>Включить фоновое местоположение — чтобы вы могли запросить поездку, даже если ваше приложение находится в фоновом режиме.</v>
      </c>
      <c r="H233" s="4" t="str">
        <f>IFERROR(__xludf.DUMMYFUNCTION("GOOGLETRANSLATE(B233,""en"",""it"")"),"Abilita posizione in background: per fornirti richieste di corsa anche se la tua app è in background")</f>
        <v>Abilita posizione in background: per fornirti richieste di corsa anche se la tua app è in background</v>
      </c>
      <c r="I233" s="4" t="str">
        <f>IFERROR(__xludf.DUMMYFUNCTION("GOOGLETRANSLATE(B233,""en"",""de"")"),"Hintergrundstandort aktivieren – um Ihnen eine Fahrtanfrage zu geben, auch wenn Ihre App im Hintergrund läuft")</f>
        <v>Hintergrundstandort aktivieren – um Ihnen eine Fahrtanfrage zu geben, auch wenn Ihre App im Hintergrund läuft</v>
      </c>
      <c r="J233" s="4" t="str">
        <f>IFERROR(__xludf.DUMMYFUNCTION("GOOGLETRANSLATE(B233,""en"",""ko"")"),"백그라운드 위치 활성화 - 앱이 백그라운드에 있는 경우에도 차량 서비스 요청을 제공합니다.")</f>
        <v>백그라운드 위치 활성화 - 앱이 백그라운드에 있는 경우에도 차량 서비스 요청을 제공합니다.</v>
      </c>
      <c r="K233" s="4" t="str">
        <f>IFERROR(__xludf.DUMMYFUNCTION("GOOGLETRANSLATE(B233,""en"",""zh"")"),"启用后台位置 - 即使您的应用程序处于后台，也可以向您发出乘车请求")</f>
        <v>启用后台位置 - 即使您的应用程序处于后台，也可以向您发出乘车请求</v>
      </c>
      <c r="L233" s="4" t="str">
        <f>IFERROR(__xludf.DUMMYFUNCTION("GOOGLETRANSLATE(B233,""en"",""es"")"),"Habilite la ubicación en segundo plano: para brindarle una solicitud de viaje incluso si su aplicación está en segundo plano")</f>
        <v>Habilite la ubicación en segundo plano: para brindarle una solicitud de viaje incluso si su aplicación está en segundo plano</v>
      </c>
      <c r="M233" s="4" t="str">
        <f>IFERROR(__xludf.DUMMYFUNCTION("GOOGLETRANSLATE(B233,""en"",""iw"")"),"אפשר מיקום ברקע - כדי לתת לך בקשת נסיעה גם אם האפליקציה שלך ברקע")</f>
        <v>אפשר מיקום ברקע - כדי לתת לך בקשת נסיעה גם אם האפליקציה שלך ברקע</v>
      </c>
      <c r="N233" s="4" t="str">
        <f>IFERROR(__xludf.DUMMYFUNCTION("GOOGLETRANSLATE(B233,""en"",""bn"")"),"ব্যাকগ্রাউন্ড লোকেশন সক্ষম করুন - আপনার অ্যাপ ব্যাকগ্রাউন্ডে থাকলেও আপনাকে রাইডের অনুরোধ জানাতে")</f>
        <v>ব্যাকগ্রাউন্ড লোকেশন সক্ষম করুন - আপনার অ্যাপ ব্যাকগ্রাউন্ডে থাকলেও আপনাকে রাইডের অনুরোধ জানাতে</v>
      </c>
      <c r="O233" s="4" t="str">
        <f>IFERROR(__xludf.DUMMYFUNCTION("GOOGLETRANSLATE(B233,""en"",""pt"")"),"Ativar localização em segundo plano - para fornecer uma solicitação de viagem mesmo se seu aplicativo estiver em segundo plano")</f>
        <v>Ativar localização em segundo plano - para fornecer uma solicitação de viagem mesmo se seu aplicativo estiver em segundo plano</v>
      </c>
      <c r="P233" s="6"/>
    </row>
    <row r="234">
      <c r="A234" s="7" t="s">
        <v>678</v>
      </c>
      <c r="B234" s="9" t="s">
        <v>678</v>
      </c>
      <c r="C234" s="4" t="str">
        <f>IFERROR(__xludf.DUMMYFUNCTION("GOOGLETRANSLATE(B234,""en"",""hi"")"),"यात्रा के लिए व्यवस्थापक आयोग")</f>
        <v>यात्रा के लिए व्यवस्थापक आयोग</v>
      </c>
      <c r="D234" s="6" t="s">
        <v>679</v>
      </c>
      <c r="E234" s="4" t="str">
        <f>IFERROR(__xludf.DUMMYFUNCTION("GOOGLETRANSLATE(B234,""en"",""fr"")"),"Commission administrative pour le voyage")</f>
        <v>Commission administrative pour le voyage</v>
      </c>
      <c r="F234" s="4" t="str">
        <f>IFERROR(__xludf.DUMMYFUNCTION("GOOGLETRANSLATE(B234,""en"",""tr"")"),"Gezi İçin Yönetici Komisyonu")</f>
        <v>Gezi İçin Yönetici Komisyonu</v>
      </c>
      <c r="G234" s="4" t="str">
        <f>IFERROR(__xludf.DUMMYFUNCTION("GOOGLETRANSLATE(B234,""en"",""ru"")"),"Комиссия администратора за поездку")</f>
        <v>Комиссия администратора за поездку</v>
      </c>
      <c r="H234" s="4" t="str">
        <f>IFERROR(__xludf.DUMMYFUNCTION("GOOGLETRANSLATE(B234,""en"",""it"")"),"Commissione amministrativa per il viaggio")</f>
        <v>Commissione amministrativa per il viaggio</v>
      </c>
      <c r="I234" s="4" t="str">
        <f>IFERROR(__xludf.DUMMYFUNCTION("GOOGLETRANSLATE(B234,""en"",""de"")"),"Verwaltungsprovision für die Reise")</f>
        <v>Verwaltungsprovision für die Reise</v>
      </c>
      <c r="J234" s="4" t="str">
        <f>IFERROR(__xludf.DUMMYFUNCTION("GOOGLETRANSLATE(B234,""en"",""ko"")"),"여행관리위원회")</f>
        <v>여행관리위원회</v>
      </c>
      <c r="K234" s="4" t="str">
        <f>IFERROR(__xludf.DUMMYFUNCTION("GOOGLETRANSLATE(B234,""en"",""zh"")"),"旅行行政佣金")</f>
        <v>旅行行政佣金</v>
      </c>
      <c r="L234" s="4" t="str">
        <f>IFERROR(__xludf.DUMMYFUNCTION("GOOGLETRANSLATE(B234,""en"",""es"")"),"Comisión administrativa por viaje")</f>
        <v>Comisión administrativa por viaje</v>
      </c>
      <c r="M234" s="4" t="str">
        <f>IFERROR(__xludf.DUMMYFUNCTION("GOOGLETRANSLATE(B234,""en"",""iw"")"),"ועדת ניהול לטיול")</f>
        <v>ועדת ניהול לטיול</v>
      </c>
      <c r="N234" s="4" t="str">
        <f>IFERROR(__xludf.DUMMYFUNCTION("GOOGLETRANSLATE(B234,""en"",""bn"")"),"ভ্রমণের জন্য অ্যাডমিন কমিশন")</f>
        <v>ভ্রমণের জন্য অ্যাডমিন কমিশন</v>
      </c>
      <c r="O234" s="4" t="str">
        <f>IFERROR(__xludf.DUMMYFUNCTION("GOOGLETRANSLATE(B234,""en"",""pt"")"),"Comissão administrativa para viagem")</f>
        <v>Comissão administrativa para viagem</v>
      </c>
      <c r="P234" s="6"/>
    </row>
    <row r="235">
      <c r="A235" s="7" t="s">
        <v>680</v>
      </c>
      <c r="B235" s="9" t="s">
        <v>680</v>
      </c>
      <c r="C235" s="4" t="str">
        <f>IFERROR(__xludf.DUMMYFUNCTION("GOOGLETRANSLATE(B235,""en"",""hi"")"),"यात्रा आयोग")</f>
        <v>यात्रा आयोग</v>
      </c>
      <c r="D235" s="6" t="s">
        <v>681</v>
      </c>
      <c r="E235" s="4" t="str">
        <f>IFERROR(__xludf.DUMMYFUNCTION("GOOGLETRANSLATE(B235,""en"",""fr"")"),"Commission de voyage")</f>
        <v>Commission de voyage</v>
      </c>
      <c r="F235" s="4" t="str">
        <f>IFERROR(__xludf.DUMMYFUNCTION("GOOGLETRANSLATE(B235,""en"",""tr"")"),"Gezi Komisyonu")</f>
        <v>Gezi Komisyonu</v>
      </c>
      <c r="G235" s="4" t="str">
        <f>IFERROR(__xludf.DUMMYFUNCTION("GOOGLETRANSLATE(B235,""en"",""ru"")"),"Комиссия за поездку")</f>
        <v>Комиссия за поездку</v>
      </c>
      <c r="H235" s="4" t="str">
        <f>IFERROR(__xludf.DUMMYFUNCTION("GOOGLETRANSLATE(B235,""en"",""it"")"),"Commissione di viaggio")</f>
        <v>Commissione di viaggio</v>
      </c>
      <c r="I235" s="4" t="str">
        <f>IFERROR(__xludf.DUMMYFUNCTION("GOOGLETRANSLATE(B235,""en"",""de"")"),"Reisekommission")</f>
        <v>Reisekommission</v>
      </c>
      <c r="J235" s="4" t="str">
        <f>IFERROR(__xludf.DUMMYFUNCTION("GOOGLETRANSLATE(B235,""en"",""ko"")"),"여행 수수료")</f>
        <v>여행 수수료</v>
      </c>
      <c r="K235" s="4" t="str">
        <f>IFERROR(__xludf.DUMMYFUNCTION("GOOGLETRANSLATE(B235,""en"",""zh"")"),"旅行佣金")</f>
        <v>旅行佣金</v>
      </c>
      <c r="L235" s="4" t="str">
        <f>IFERROR(__xludf.DUMMYFUNCTION("GOOGLETRANSLATE(B235,""en"",""es"")"),"Comisión de viaje")</f>
        <v>Comisión de viaje</v>
      </c>
      <c r="M235" s="4" t="str">
        <f>IFERROR(__xludf.DUMMYFUNCTION("GOOGLETRANSLATE(B235,""en"",""iw"")"),"ועדת טיול")</f>
        <v>ועדת טיול</v>
      </c>
      <c r="N235" s="4" t="str">
        <f>IFERROR(__xludf.DUMMYFUNCTION("GOOGLETRANSLATE(B235,""en"",""bn"")"),"ট্রিপ কমিশন")</f>
        <v>ট্রিপ কমিশন</v>
      </c>
      <c r="O235" s="4" t="str">
        <f>IFERROR(__xludf.DUMMYFUNCTION("GOOGLETRANSLATE(B235,""en"",""pt"")"),"Comissão de viagem")</f>
        <v>Comissão de viagem</v>
      </c>
      <c r="P235" s="6"/>
    </row>
    <row r="236">
      <c r="A236" s="7" t="s">
        <v>295</v>
      </c>
      <c r="B236" s="9" t="s">
        <v>295</v>
      </c>
      <c r="C236" s="4" t="str">
        <f>IFERROR(__xludf.DUMMYFUNCTION("GOOGLETRANSLATE(B236,""en"",""hi"")"),"रद्दीकरण शुल्क")</f>
        <v>रद्दीकरण शुल्क</v>
      </c>
      <c r="D236" s="4" t="str">
        <f>IFERROR(__xludf.DUMMYFUNCTION("GOOGLETRANSLATE(B236,""en"",""ar"")"),"رسوم الإلغاء")</f>
        <v>رسوم الإلغاء</v>
      </c>
      <c r="E236" s="4" t="str">
        <f>IFERROR(__xludf.DUMMYFUNCTION("GOOGLETRANSLATE(B236,""en"",""fr"")"),"Frais d'annulation")</f>
        <v>Frais d'annulation</v>
      </c>
      <c r="F236" s="4" t="str">
        <f>IFERROR(__xludf.DUMMYFUNCTION("GOOGLETRANSLATE(B236,""en"",""tr"")"),"İptal ücreti")</f>
        <v>İptal ücreti</v>
      </c>
      <c r="G236" s="4" t="str">
        <f>IFERROR(__xludf.DUMMYFUNCTION("GOOGLETRANSLATE(B236,""en"",""ru"")"),"Комиссия при отмене")</f>
        <v>Комиссия при отмене</v>
      </c>
      <c r="H236" s="4" t="str">
        <f>IFERROR(__xludf.DUMMYFUNCTION("GOOGLETRANSLATE(B236,""en"",""it"")"),"Tassa di cancellazione")</f>
        <v>Tassa di cancellazione</v>
      </c>
      <c r="I236" s="4" t="str">
        <f>IFERROR(__xludf.DUMMYFUNCTION("GOOGLETRANSLATE(B236,""en"",""de"")"),"Stornogebühr")</f>
        <v>Stornogebühr</v>
      </c>
      <c r="J236" s="4" t="str">
        <f>IFERROR(__xludf.DUMMYFUNCTION("GOOGLETRANSLATE(B236,""en"",""ko"")"),"취소 요금")</f>
        <v>취소 요금</v>
      </c>
      <c r="K236" s="4" t="str">
        <f>IFERROR(__xludf.DUMMYFUNCTION("GOOGLETRANSLATE(B236,""en"",""zh"")"),"取消费用")</f>
        <v>取消费用</v>
      </c>
      <c r="L236" s="4" t="str">
        <f>IFERROR(__xludf.DUMMYFUNCTION("GOOGLETRANSLATE(B236,""en"",""es"")"),"Tarifa de cancelación")</f>
        <v>Tarifa de cancelación</v>
      </c>
      <c r="M236" s="4" t="str">
        <f>IFERROR(__xludf.DUMMYFUNCTION("GOOGLETRANSLATE(B236,""en"",""iw"")"),"דמי ביטול")</f>
        <v>דמי ביטול</v>
      </c>
      <c r="N236" s="4" t="str">
        <f>IFERROR(__xludf.DUMMYFUNCTION("GOOGLETRANSLATE(B236,""en"",""bn"")"),"বাতিল ফি")</f>
        <v>বাতিল ফি</v>
      </c>
      <c r="O236" s="4" t="str">
        <f>IFERROR(__xludf.DUMMYFUNCTION("GOOGLETRANSLATE(B236,""en"",""pt"")"),"Taxa de cancelamento")</f>
        <v>Taxa de cancelamento</v>
      </c>
      <c r="P236" s="6"/>
    </row>
    <row r="237">
      <c r="A237" s="7" t="s">
        <v>682</v>
      </c>
      <c r="B237" s="9" t="s">
        <v>682</v>
      </c>
      <c r="C237" s="4" t="str">
        <f>IFERROR(__xludf.DUMMYFUNCTION("GOOGLETRANSLATE(B237,""en"",""hi"")"),"व्यवस्थापक द्वारा पैसा जमा किया गया")</f>
        <v>व्यवस्थापक द्वारा पैसा जमा किया गया</v>
      </c>
      <c r="D237" s="6" t="s">
        <v>683</v>
      </c>
      <c r="E237" s="4" t="str">
        <f>IFERROR(__xludf.DUMMYFUNCTION("GOOGLETRANSLATE(B237,""en"",""fr"")"),"Argent déposé par l'administrateur")</f>
        <v>Argent déposé par l'administrateur</v>
      </c>
      <c r="F237" s="4" t="str">
        <f>IFERROR(__xludf.DUMMYFUNCTION("GOOGLETRANSLATE(B237,""en"",""tr"")"),"Yönetici Tarafından Yatırılan Para")</f>
        <v>Yönetici Tarafından Yatırılan Para</v>
      </c>
      <c r="G237" s="4" t="str">
        <f>IFERROR(__xludf.DUMMYFUNCTION("GOOGLETRANSLATE(B237,""en"",""ru"")"),"Деньги внесены администратором")</f>
        <v>Деньги внесены администратором</v>
      </c>
      <c r="H237" s="4" t="str">
        <f>IFERROR(__xludf.DUMMYFUNCTION("GOOGLETRANSLATE(B237,""en"",""it"")"),"Denaro depositato dall'amministratore")</f>
        <v>Denaro depositato dall'amministratore</v>
      </c>
      <c r="I237" s="4" t="str">
        <f>IFERROR(__xludf.DUMMYFUNCTION("GOOGLETRANSLATE(B237,""en"",""de"")"),"Vom Administrator eingezahltes Geld")</f>
        <v>Vom Administrator eingezahltes Geld</v>
      </c>
      <c r="J237" s="4" t="str">
        <f>IFERROR(__xludf.DUMMYFUNCTION("GOOGLETRANSLATE(B237,""en"",""ko"")"),"관리자가 입금한 돈")</f>
        <v>관리자가 입금한 돈</v>
      </c>
      <c r="K237" s="4" t="str">
        <f>IFERROR(__xludf.DUMMYFUNCTION("GOOGLETRANSLATE(B237,""en"",""zh"")"),"管理员存入的钱")</f>
        <v>管理员存入的钱</v>
      </c>
      <c r="L237" s="4" t="str">
        <f>IFERROR(__xludf.DUMMYFUNCTION("GOOGLETRANSLATE(B237,""en"",""es"")"),"Dinero depositado por el administrador")</f>
        <v>Dinero depositado por el administrador</v>
      </c>
      <c r="M237" s="4" t="str">
        <f>IFERROR(__xludf.DUMMYFUNCTION("GOOGLETRANSLATE(B237,""en"",""iw"")"),"כסף שהופקד על ידי אדמין")</f>
        <v>כסף שהופקד על ידי אדמין</v>
      </c>
      <c r="N237" s="4" t="str">
        <f>IFERROR(__xludf.DUMMYFUNCTION("GOOGLETRANSLATE(B237,""en"",""bn"")"),"অ্যাডমিন দ্বারা জমা করা টাকা")</f>
        <v>অ্যাডমিন দ্বারা জমা করা টাকা</v>
      </c>
      <c r="O237" s="4" t="str">
        <f>IFERROR(__xludf.DUMMYFUNCTION("GOOGLETRANSLATE(B237,""en"",""pt"")"),"Dinheiro depositado pelo administrador")</f>
        <v>Dinheiro depositado pelo administrador</v>
      </c>
      <c r="P237" s="6"/>
    </row>
    <row r="238">
      <c r="A238" s="7" t="s">
        <v>684</v>
      </c>
      <c r="B238" s="9" t="s">
        <v>684</v>
      </c>
      <c r="C238" s="4" t="str">
        <f>IFERROR(__xludf.DUMMYFUNCTION("GOOGLETRANSLATE(B238,""en"",""hi"")"),"रेफरल आयोग")</f>
        <v>रेफरल आयोग</v>
      </c>
      <c r="D238" s="6" t="s">
        <v>685</v>
      </c>
      <c r="E238" s="4" t="str">
        <f>IFERROR(__xludf.DUMMYFUNCTION("GOOGLETRANSLATE(B238,""en"",""fr"")"),"Commission de référencement")</f>
        <v>Commission de référencement</v>
      </c>
      <c r="F238" s="4" t="str">
        <f>IFERROR(__xludf.DUMMYFUNCTION("GOOGLETRANSLATE(B238,""en"",""tr"")"),"Yönlendirme Komisyonu")</f>
        <v>Yönlendirme Komisyonu</v>
      </c>
      <c r="G238" s="4" t="str">
        <f>IFERROR(__xludf.DUMMYFUNCTION("GOOGLETRANSLATE(B238,""en"",""ru"")"),"Реферальная комиссия")</f>
        <v>Реферальная комиссия</v>
      </c>
      <c r="H238" s="4" t="str">
        <f>IFERROR(__xludf.DUMMYFUNCTION("GOOGLETRANSLATE(B238,""en"",""it"")"),"Commissione di rinvio")</f>
        <v>Commissione di rinvio</v>
      </c>
      <c r="I238" s="4" t="str">
        <f>IFERROR(__xludf.DUMMYFUNCTION("GOOGLETRANSLATE(B238,""en"",""de"")"),"Empfehlungskommission")</f>
        <v>Empfehlungskommission</v>
      </c>
      <c r="J238" s="4" t="str">
        <f>IFERROR(__xludf.DUMMYFUNCTION("GOOGLETRANSLATE(B238,""en"",""ko"")"),"추천 커미션")</f>
        <v>추천 커미션</v>
      </c>
      <c r="K238" s="4" t="str">
        <f>IFERROR(__xludf.DUMMYFUNCTION("GOOGLETRANSLATE(B238,""en"",""zh"")"),"推荐委员会")</f>
        <v>推荐委员会</v>
      </c>
      <c r="L238" s="4" t="str">
        <f>IFERROR(__xludf.DUMMYFUNCTION("GOOGLETRANSLATE(B238,""en"",""es"")"),"Comisión de referencia")</f>
        <v>Comisión de referencia</v>
      </c>
      <c r="M238" s="4" t="str">
        <f>IFERROR(__xludf.DUMMYFUNCTION("GOOGLETRANSLATE(B238,""en"",""iw"")"),"ועדת הפניה")</f>
        <v>ועדת הפניה</v>
      </c>
      <c r="N238" s="4" t="str">
        <f>IFERROR(__xludf.DUMMYFUNCTION("GOOGLETRANSLATE(B238,""en"",""bn"")"),"রেফারেল কমিশন")</f>
        <v>রেফারেল কমিশন</v>
      </c>
      <c r="O238" s="4" t="str">
        <f>IFERROR(__xludf.DUMMYFUNCTION("GOOGLETRANSLATE(B238,""en"",""pt"")"),"Comissão de Referência")</f>
        <v>Comissão de Referência</v>
      </c>
      <c r="P238" s="6"/>
    </row>
    <row r="239">
      <c r="A239" s="7" t="s">
        <v>686</v>
      </c>
      <c r="B239" s="9" t="s">
        <v>686</v>
      </c>
      <c r="C239" s="4" t="str">
        <f>IFERROR(__xludf.DUMMYFUNCTION("GOOGLETRANSLATE(B239,""en"",""hi"")"),"यात्रा अनुरोध के लिए खर्च किया गया")</f>
        <v>यात्रा अनुरोध के लिए खर्च किया गया</v>
      </c>
      <c r="D239" s="4" t="str">
        <f>IFERROR(__xludf.DUMMYFUNCTION("GOOGLETRANSLATE(B239,""en"",""ar"")"),"قضى لطلب الرحلة")</f>
        <v>قضى لطلب الرحلة</v>
      </c>
      <c r="E239" s="4" t="str">
        <f>IFERROR(__xludf.DUMMYFUNCTION("GOOGLETRANSLATE(B239,""en"",""fr"")"),"Dépensé pour une demande de voyage")</f>
        <v>Dépensé pour une demande de voyage</v>
      </c>
      <c r="F239" s="4" t="str">
        <f>IFERROR(__xludf.DUMMYFUNCTION("GOOGLETRANSLATE(B239,""en"",""tr"")"),"Seyahat Talebi İçin Harcanan")</f>
        <v>Seyahat Talebi İçin Harcanan</v>
      </c>
      <c r="G239" s="4" t="str">
        <f>IFERROR(__xludf.DUMMYFUNCTION("GOOGLETRANSLATE(B239,""en"",""ru"")"),"Потрачено на запрос на поездку")</f>
        <v>Потрачено на запрос на поездку</v>
      </c>
      <c r="H239" s="4" t="str">
        <f>IFERROR(__xludf.DUMMYFUNCTION("GOOGLETRANSLATE(B239,""en"",""it"")"),"Speso per richiesta di viaggio")</f>
        <v>Speso per richiesta di viaggio</v>
      </c>
      <c r="I239" s="4" t="str">
        <f>IFERROR(__xludf.DUMMYFUNCTION("GOOGLETRANSLATE(B239,""en"",""de"")"),"Für Reiseanfrage ausgegeben")</f>
        <v>Für Reiseanfrage ausgegeben</v>
      </c>
      <c r="J239" s="4" t="str">
        <f>IFERROR(__xludf.DUMMYFUNCTION("GOOGLETRANSLATE(B239,""en"",""ko"")"),"여행 요청에 지출됨")</f>
        <v>여행 요청에 지출됨</v>
      </c>
      <c r="K239" s="4" t="str">
        <f>IFERROR(__xludf.DUMMYFUNCTION("GOOGLETRANSLATE(B239,""en"",""zh"")"),"旅行请求花费")</f>
        <v>旅行请求花费</v>
      </c>
      <c r="L239" s="4" t="str">
        <f>IFERROR(__xludf.DUMMYFUNCTION("GOOGLETRANSLATE(B239,""en"",""es"")"),"Gastado para solicitud de viaje")</f>
        <v>Gastado para solicitud de viaje</v>
      </c>
      <c r="M239" s="4" t="str">
        <f>IFERROR(__xludf.DUMMYFUNCTION("GOOGLETRANSLATE(B239,""en"",""iw"")"),"הוצא עבור בקשת טיול")</f>
        <v>הוצא עבור בקשת טיול</v>
      </c>
      <c r="N239" s="4" t="str">
        <f>IFERROR(__xludf.DUMMYFUNCTION("GOOGLETRANSLATE(B239,""en"",""bn"")"),"ভ্রমণের অনুরোধের জন্য ব্যয় করা হয়েছে")</f>
        <v>ভ্রমণের অনুরোধের জন্য ব্যয় করা হয়েছে</v>
      </c>
      <c r="O239" s="4" t="str">
        <f>IFERROR(__xludf.DUMMYFUNCTION("GOOGLETRANSLATE(B239,""en"",""pt"")"),"Gasto para solicitação de viagem")</f>
        <v>Gasto para solicitação de viagem</v>
      </c>
      <c r="P239" s="4"/>
    </row>
    <row r="240">
      <c r="A240" s="7" t="s">
        <v>687</v>
      </c>
      <c r="B240" s="9" t="s">
        <v>687</v>
      </c>
      <c r="C240" s="4" t="str">
        <f>IFERROR(__xludf.DUMMYFUNCTION("GOOGLETRANSLATE(B240,""en"",""hi"")"),"वॉलेट से निकाला गया")</f>
        <v>वॉलेट से निकाला गया</v>
      </c>
      <c r="D240" s="6" t="s">
        <v>688</v>
      </c>
      <c r="E240" s="4" t="str">
        <f>IFERROR(__xludf.DUMMYFUNCTION("GOOGLETRANSLATE(B240,""en"",""fr"")"),"Retiré du portefeuille")</f>
        <v>Retiré du portefeuille</v>
      </c>
      <c r="F240" s="4" t="str">
        <f>IFERROR(__xludf.DUMMYFUNCTION("GOOGLETRANSLATE(B240,""en"",""tr"")"),"Cüzdandan Çekildi")</f>
        <v>Cüzdandan Çekildi</v>
      </c>
      <c r="G240" s="4" t="str">
        <f>IFERROR(__xludf.DUMMYFUNCTION("GOOGLETRANSLATE(B240,""en"",""ru"")"),"Выведено из кошелька")</f>
        <v>Выведено из кошелька</v>
      </c>
      <c r="H240" s="4" t="str">
        <f>IFERROR(__xludf.DUMMYFUNCTION("GOOGLETRANSLATE(B240,""en"",""it"")"),"Ritirato dal portafoglio")</f>
        <v>Ritirato dal portafoglio</v>
      </c>
      <c r="I240" s="4" t="str">
        <f>IFERROR(__xludf.DUMMYFUNCTION("GOOGLETRANSLATE(B240,""en"",""de"")"),"Aus der Brieftasche abgezogen")</f>
        <v>Aus der Brieftasche abgezogen</v>
      </c>
      <c r="J240" s="4" t="str">
        <f>IFERROR(__xludf.DUMMYFUNCTION("GOOGLETRANSLATE(B240,""en"",""ko"")"),"지갑에서 인출됨")</f>
        <v>지갑에서 인출됨</v>
      </c>
      <c r="K240" s="4" t="str">
        <f>IFERROR(__xludf.DUMMYFUNCTION("GOOGLETRANSLATE(B240,""en"",""zh"")"),"从钱包中提取")</f>
        <v>从钱包中提取</v>
      </c>
      <c r="L240" s="4" t="str">
        <f>IFERROR(__xludf.DUMMYFUNCTION("GOOGLETRANSLATE(B240,""en"",""es"")"),"Retirado de la billetera")</f>
        <v>Retirado de la billetera</v>
      </c>
      <c r="M240" s="4" t="str">
        <f>IFERROR(__xludf.DUMMYFUNCTION("GOOGLETRANSLATE(B240,""en"",""iw"")"),"נמשך מהארנק")</f>
        <v>נמשך מהארנק</v>
      </c>
      <c r="N240" s="4" t="str">
        <f>IFERROR(__xludf.DUMMYFUNCTION("GOOGLETRANSLATE(B240,""en"",""bn"")"),"ওয়ালেট থেকে তোলা")</f>
        <v>ওয়ালেট থেকে তোলা</v>
      </c>
      <c r="O240" s="4" t="str">
        <f>IFERROR(__xludf.DUMMYFUNCTION("GOOGLETRANSLATE(B240,""en"",""pt"")"),"Retirado da carteira")</f>
        <v>Retirado da carteira</v>
      </c>
      <c r="P240" s="6"/>
    </row>
    <row r="241">
      <c r="A241" s="16" t="s">
        <v>689</v>
      </c>
      <c r="B241" s="9" t="s">
        <v>690</v>
      </c>
      <c r="C241" s="4" t="str">
        <f>IFERROR(__xludf.DUMMYFUNCTION("GOOGLETRANSLATE(B241,""en"",""hi"")"),"उपयोगकर्ता ने अनुरोध रद्द कर दिया")</f>
        <v>उपयोगकर्ता ने अनुरोध रद्द कर दिया</v>
      </c>
      <c r="D241" s="6" t="s">
        <v>691</v>
      </c>
      <c r="E241" s="4" t="str">
        <f>IFERROR(__xludf.DUMMYFUNCTION("GOOGLETRANSLATE(B241,""en"",""fr"")"),"L'utilisateur a annulé la demande")</f>
        <v>L'utilisateur a annulé la demande</v>
      </c>
      <c r="F241" s="4" t="str">
        <f>IFERROR(__xludf.DUMMYFUNCTION("GOOGLETRANSLATE(B241,""en"",""tr"")"),"Kullanıcı İsteği İptal Etti")</f>
        <v>Kullanıcı İsteği İptal Etti</v>
      </c>
      <c r="G241" s="4" t="str">
        <f>IFERROR(__xludf.DUMMYFUNCTION("GOOGLETRANSLATE(B241,""en"",""ru"")"),"Пользователь отменил запрос")</f>
        <v>Пользователь отменил запрос</v>
      </c>
      <c r="H241" s="4" t="str">
        <f>IFERROR(__xludf.DUMMYFUNCTION("GOOGLETRANSLATE(B241,""en"",""it"")"),"L'utente ha annullato la richiesta")</f>
        <v>L'utente ha annullato la richiesta</v>
      </c>
      <c r="I241" s="4" t="str">
        <f>IFERROR(__xludf.DUMMYFUNCTION("GOOGLETRANSLATE(B241,""en"",""de"")"),"Der Benutzer hat die Anfrage abgebrochen")</f>
        <v>Der Benutzer hat die Anfrage abgebrochen</v>
      </c>
      <c r="J241" s="4" t="str">
        <f>IFERROR(__xludf.DUMMYFUNCTION("GOOGLETRANSLATE(B241,""en"",""ko"")"),"사용자가 요청을 취소했습니다.")</f>
        <v>사용자가 요청을 취소했습니다.</v>
      </c>
      <c r="K241" s="4" t="str">
        <f>IFERROR(__xludf.DUMMYFUNCTION("GOOGLETRANSLATE(B241,""en"",""zh"")"),"用户取消了请求")</f>
        <v>用户取消了请求</v>
      </c>
      <c r="L241" s="4" t="str">
        <f>IFERROR(__xludf.DUMMYFUNCTION("GOOGLETRANSLATE(B241,""en"",""es"")"),"El usuario canceló la solicitud")</f>
        <v>El usuario canceló la solicitud</v>
      </c>
      <c r="M241" s="4" t="str">
        <f>IFERROR(__xludf.DUMMYFUNCTION("GOOGLETRANSLATE(B241,""en"",""iw"")"),"המשתמש ביטל את הבקשה")</f>
        <v>המשתמש ביטל את הבקשה</v>
      </c>
      <c r="N241" s="4" t="str">
        <f>IFERROR(__xludf.DUMMYFUNCTION("GOOGLETRANSLATE(B241,""en"",""bn"")"),"ব্যবহারকারী অনুরোধটি বাতিল করেছে")</f>
        <v>ব্যবহারকারী অনুরোধটি বাতিল করেছে</v>
      </c>
      <c r="O241" s="4" t="str">
        <f>IFERROR(__xludf.DUMMYFUNCTION("GOOGLETRANSLATE(B241,""en"",""pt"")"),"O usuário cancelou a solicitação")</f>
        <v>O usuário cancelou a solicitação</v>
      </c>
      <c r="P241" s="6"/>
    </row>
    <row r="242">
      <c r="A242" s="7" t="s">
        <v>692</v>
      </c>
      <c r="B242" s="9" t="s">
        <v>693</v>
      </c>
      <c r="C242" s="4" t="str">
        <f>IFERROR(__xludf.DUMMYFUNCTION("GOOGLETRANSLATE(B242,""en"",""hi"")"),"आपके बटुए का शेष कम है, कृपया सेवा जारी रखने के लिए कुछ पैसे जोड़ें")</f>
        <v>आपके बटुए का शेष कम है, कृपया सेवा जारी रखने के लिए कुछ पैसे जोड़ें</v>
      </c>
      <c r="D242" s="6" t="s">
        <v>694</v>
      </c>
      <c r="E242" s="4" t="str">
        <f>IFERROR(__xludf.DUMMYFUNCTION("GOOGLETRANSLATE(B242,""en"",""fr"")"),"Le solde de votre portefeuille est faible, veuillez ajouter de l'argent pour continuer le service")</f>
        <v>Le solde de votre portefeuille est faible, veuillez ajouter de l'argent pour continuer le service</v>
      </c>
      <c r="F242" s="4" t="str">
        <f>IFERROR(__xludf.DUMMYFUNCTION("GOOGLETRANSLATE(B242,""en"",""tr"")"),"Cüzdan bakiyeniz az. Hizmete devam etmek için lütfen biraz para ekleyin")</f>
        <v>Cüzdan bakiyeniz az. Hizmete devam etmek için lütfen biraz para ekleyin</v>
      </c>
      <c r="G242" s="4" t="str">
        <f>IFERROR(__xludf.DUMMYFUNCTION("GOOGLETRANSLATE(B242,""en"",""ru"")"),"Баланс вашего кошелька низкий. Добавьте немного денег, чтобы продолжить обслуживание.")</f>
        <v>Баланс вашего кошелька низкий. Добавьте немного денег, чтобы продолжить обслуживание.</v>
      </c>
      <c r="H242" s="4" t="str">
        <f>IFERROR(__xludf.DUMMYFUNCTION("GOOGLETRANSLATE(B242,""en"",""it"")"),"Il saldo del tuo portafoglio è basso, aggiungi denaro per continuare il servizio")</f>
        <v>Il saldo del tuo portafoglio è basso, aggiungi denaro per continuare il servizio</v>
      </c>
      <c r="I242" s="4" t="str">
        <f>IFERROR(__xludf.DUMMYFUNCTION("GOOGLETRANSLATE(B242,""en"",""de"")"),"Ihr Guthaben ist niedrig. Bitte fügen Sie etwas Geld hinzu, um den Service fortzusetzen")</f>
        <v>Ihr Guthaben ist niedrig. Bitte fügen Sie etwas Geld hinzu, um den Service fortzusetzen</v>
      </c>
      <c r="J242" s="4" t="str">
        <f>IFERROR(__xludf.DUMMYFUNCTION("GOOGLETRANSLATE(B242,""en"",""ko"")"),"지갑 잔액이 부족합니다. 서비스를 계속하려면 금액을 추가하세요.")</f>
        <v>지갑 잔액이 부족합니다. 서비스를 계속하려면 금액을 추가하세요.</v>
      </c>
      <c r="K242" s="4" t="str">
        <f>IFERROR(__xludf.DUMMYFUNCTION("GOOGLETRANSLATE(B242,""en"",""zh"")"),"您的钱包余额不足，请充值以继续服务")</f>
        <v>您的钱包余额不足，请充值以继续服务</v>
      </c>
      <c r="L242" s="4" t="str">
        <f>IFERROR(__xludf.DUMMYFUNCTION("GOOGLETRANSLATE(B242,""en"",""es"")"),"El saldo de su billetera es bajo; agregue algo de dinero para continuar con el servicio")</f>
        <v>El saldo de su billetera es bajo; agregue algo de dinero para continuar con el servicio</v>
      </c>
      <c r="M242" s="4" t="str">
        <f>IFERROR(__xludf.DUMMYFUNCTION("GOOGLETRANSLATE(B242,""en"",""iw"")"),"יתרת הארנק שלך נמוכה, אנא הוסף קצת כסף כדי להמשיך בשירות")</f>
        <v>יתרת הארנק שלך נמוכה, אנא הוסף קצת כסף כדי להמשיך בשירות</v>
      </c>
      <c r="N242" s="4" t="str">
        <f>IFERROR(__xludf.DUMMYFUNCTION("GOOGLETRANSLATE(B242,""en"",""bn"")"),"আপনার ওয়ালেট ব্যালেন্স কম, পরিষেবা চালিয়ে যেতে কিছু টাকা যোগ করুন")</f>
        <v>আপনার ওয়ালেট ব্যালেন্স কম, পরিষেবা চালিয়ে যেতে কিছু টাকা যোগ করুন</v>
      </c>
      <c r="O242" s="4" t="str">
        <f>IFERROR(__xludf.DUMMYFUNCTION("GOOGLETRANSLATE(B242,""en"",""pt"")"),"O saldo da sua carteira está baixo. Adicione algum dinheiro para continuar o serviço")</f>
        <v>O saldo da sua carteira está baixo. Adicione algum dinheiro para continuar o serviço</v>
      </c>
      <c r="P242" s="4"/>
    </row>
    <row r="243">
      <c r="A243" s="7" t="s">
        <v>695</v>
      </c>
      <c r="B243" s="9" t="s">
        <v>696</v>
      </c>
      <c r="C243" s="4" t="str">
        <f>IFERROR(__xludf.DUMMYFUNCTION("GOOGLETRANSLATE(B243,""en"",""hi"")"),"कृपया सही ओटीपी दर्ज करें या पुनः भेजें")</f>
        <v>कृपया सही ओटीपी दर्ज करें या पुनः भेजें</v>
      </c>
      <c r="D243" s="6" t="s">
        <v>697</v>
      </c>
      <c r="E243" s="4" t="str">
        <f>IFERROR(__xludf.DUMMYFUNCTION("GOOGLETRANSLATE(B243,""en"",""fr"")"),"Veuillez saisir le bon Otp ou renvoyer")</f>
        <v>Veuillez saisir le bon Otp ou renvoyer</v>
      </c>
      <c r="F243" s="4" t="str">
        <f>IFERROR(__xludf.DUMMYFUNCTION("GOOGLETRANSLATE(B243,""en"",""tr"")"),"Lütfen doğru Otp'yi girin veya yeniden gönderin")</f>
        <v>Lütfen doğru Otp'yi girin veya yeniden gönderin</v>
      </c>
      <c r="G243" s="4" t="str">
        <f>IFERROR(__xludf.DUMMYFUNCTION("GOOGLETRANSLATE(B243,""en"",""ru"")"),"Пожалуйста, введите правильный OTP или отправьте повторно.")</f>
        <v>Пожалуйста, введите правильный OTP или отправьте повторно.</v>
      </c>
      <c r="H243" s="4" t="str">
        <f>IFERROR(__xludf.DUMMYFUNCTION("GOOGLETRANSLATE(B243,""en"",""it"")"),"Inserisci l'OTP corretto o invia di nuovo")</f>
        <v>Inserisci l'OTP corretto o invia di nuovo</v>
      </c>
      <c r="I243" s="4" t="str">
        <f>IFERROR(__xludf.DUMMYFUNCTION("GOOGLETRANSLATE(B243,""en"",""de"")"),"Bitte geben Sie das korrekte OTP ein oder senden Sie es erneut")</f>
        <v>Bitte geben Sie das korrekte OTP ein oder senden Sie es erneut</v>
      </c>
      <c r="J243" s="4" t="str">
        <f>IFERROR(__xludf.DUMMYFUNCTION("GOOGLETRANSLATE(B243,""en"",""ko"")"),"올바른 OTP를 입력하거나 다시 보내주세요.")</f>
        <v>올바른 OTP를 입력하거나 다시 보내주세요.</v>
      </c>
      <c r="K243" s="4" t="str">
        <f>IFERROR(__xludf.DUMMYFUNCTION("GOOGLETRANSLATE(B243,""en"",""zh"")"),"请输入正确的 Otp 或重新发送")</f>
        <v>请输入正确的 Otp 或重新发送</v>
      </c>
      <c r="L243" s="4" t="str">
        <f>IFERROR(__xludf.DUMMYFUNCTION("GOOGLETRANSLATE(B243,""en"",""es"")"),"Por favor ingrese Otp correcto o reenvíe")</f>
        <v>Por favor ingrese Otp correcto o reenvíe</v>
      </c>
      <c r="M243" s="4" t="str">
        <f>IFERROR(__xludf.DUMMYFUNCTION("GOOGLETRANSLATE(B243,""en"",""iw"")"),"אנא הזן את ה-OTP הנכון או שלח שוב")</f>
        <v>אנא הזן את ה-OTP הנכון או שלח שוב</v>
      </c>
      <c r="N243" s="4" t="str">
        <f>IFERROR(__xludf.DUMMYFUNCTION("GOOGLETRANSLATE(B243,""en"",""bn"")"),"অনুগ্রহ করে সঠিক ওটিপি লিখুন বা আবার পাঠান")</f>
        <v>অনুগ্রহ করে সঠিক ওটিপি লিখুন বা আবার পাঠান</v>
      </c>
      <c r="O243" s="4" t="str">
        <f>IFERROR(__xludf.DUMMYFUNCTION("GOOGLETRANSLATE(B243,""en"",""pt"")"),"Insira o Otp correto ou reenvie")</f>
        <v>Insira o Otp correto ou reenvie</v>
      </c>
      <c r="P243" s="6"/>
    </row>
    <row r="244">
      <c r="A244" s="7" t="s">
        <v>698</v>
      </c>
      <c r="B244" s="9" t="s">
        <v>699</v>
      </c>
      <c r="C244" s="4" t="str">
        <f>IFERROR(__xludf.DUMMYFUNCTION("GOOGLETRANSLATE(B244,""en"",""hi"")"),"रेफरल कोड कॉपी किया गया")</f>
        <v>रेफरल कोड कॉपी किया गया</v>
      </c>
      <c r="D244" s="6" t="s">
        <v>700</v>
      </c>
      <c r="E244" s="4" t="str">
        <f>IFERROR(__xludf.DUMMYFUNCTION("GOOGLETRANSLATE(B244,""en"",""fr"")"),"Code de référence copié")</f>
        <v>Code de référence copié</v>
      </c>
      <c r="F244" s="4" t="str">
        <f>IFERROR(__xludf.DUMMYFUNCTION("GOOGLETRANSLATE(B244,""en"",""tr"")"),"Yönlendirme Kodu Kopyalandı")</f>
        <v>Yönlendirme Kodu Kopyalandı</v>
      </c>
      <c r="G244" s="4" t="str">
        <f>IFERROR(__xludf.DUMMYFUNCTION("GOOGLETRANSLATE(B244,""en"",""ru"")"),"Реферальный код скопирован.")</f>
        <v>Реферальный код скопирован.</v>
      </c>
      <c r="H244" s="4" t="str">
        <f>IFERROR(__xludf.DUMMYFUNCTION("GOOGLETRANSLATE(B244,""en"",""it"")"),"Codice di riferimento copiato")</f>
        <v>Codice di riferimento copiato</v>
      </c>
      <c r="I244" s="4" t="str">
        <f>IFERROR(__xludf.DUMMYFUNCTION("GOOGLETRANSLATE(B244,""en"",""de"")"),"Empfehlungscode kopiert")</f>
        <v>Empfehlungscode kopiert</v>
      </c>
      <c r="J244" s="4" t="str">
        <f>IFERROR(__xludf.DUMMYFUNCTION("GOOGLETRANSLATE(B244,""en"",""ko"")"),"추천 코드가 복사되었습니다")</f>
        <v>추천 코드가 복사되었습니다</v>
      </c>
      <c r="K244" s="4" t="str">
        <f>IFERROR(__xludf.DUMMYFUNCTION("GOOGLETRANSLATE(B244,""en"",""zh"")"),"推荐码已复制")</f>
        <v>推荐码已复制</v>
      </c>
      <c r="L244" s="4" t="str">
        <f>IFERROR(__xludf.DUMMYFUNCTION("GOOGLETRANSLATE(B244,""en"",""es"")"),"Código de referencia copiado")</f>
        <v>Código de referencia copiado</v>
      </c>
      <c r="M244" s="4" t="str">
        <f>IFERROR(__xludf.DUMMYFUNCTION("GOOGLETRANSLATE(B244,""en"",""iw"")"),"קוד הפניה הועתק")</f>
        <v>קוד הפניה הועתק</v>
      </c>
      <c r="N244" s="4" t="str">
        <f>IFERROR(__xludf.DUMMYFUNCTION("GOOGLETRANSLATE(B244,""en"",""bn"")"),"রেফারেল কোড কপি করা হয়েছে")</f>
        <v>রেফারেল কোড কপি করা হয়েছে</v>
      </c>
      <c r="O244" s="4" t="str">
        <f>IFERROR(__xludf.DUMMYFUNCTION("GOOGLETRANSLATE(B244,""en"",""pt"")"),"Código de referência copiado")</f>
        <v>Código de referência copiado</v>
      </c>
      <c r="P244" s="6"/>
    </row>
    <row r="245">
      <c r="A245" s="7" t="s">
        <v>701</v>
      </c>
      <c r="B245" s="9" t="s">
        <v>702</v>
      </c>
      <c r="C245" s="4" t="str">
        <f>IFERROR(__xludf.DUMMYFUNCTION("GOOGLETRANSLATE(B245,""en"",""hi"")"),"स्थान की अनुमति दें")</f>
        <v>स्थान की अनुमति दें</v>
      </c>
      <c r="D245" s="6" t="s">
        <v>703</v>
      </c>
      <c r="E245" s="4" t="str">
        <f>IFERROR(__xludf.DUMMYFUNCTION("GOOGLETRANSLATE(B245,""en"",""fr"")"),"Autoriser la localisation")</f>
        <v>Autoriser la localisation</v>
      </c>
      <c r="F245" s="4" t="str">
        <f>IFERROR(__xludf.DUMMYFUNCTION("GOOGLETRANSLATE(B245,""en"",""tr"")"),"Konuma İzin Ver")</f>
        <v>Konuma İzin Ver</v>
      </c>
      <c r="G245" s="4" t="str">
        <f>IFERROR(__xludf.DUMMYFUNCTION("GOOGLETRANSLATE(B245,""en"",""ru"")"),"Разрешить местоположение")</f>
        <v>Разрешить местоположение</v>
      </c>
      <c r="H245" s="4" t="str">
        <f>IFERROR(__xludf.DUMMYFUNCTION("GOOGLETRANSLATE(B245,""en"",""it"")"),"Consenti posizione")</f>
        <v>Consenti posizione</v>
      </c>
      <c r="I245" s="4" t="str">
        <f>IFERROR(__xludf.DUMMYFUNCTION("GOOGLETRANSLATE(B245,""en"",""de"")"),"Standort zulassen")</f>
        <v>Standort zulassen</v>
      </c>
      <c r="J245" s="4" t="str">
        <f>IFERROR(__xludf.DUMMYFUNCTION("GOOGLETRANSLATE(B245,""en"",""ko"")"),"위치 허용")</f>
        <v>위치 허용</v>
      </c>
      <c r="K245" s="4" t="str">
        <f>IFERROR(__xludf.DUMMYFUNCTION("GOOGLETRANSLATE(B245,""en"",""zh"")"),"允许位置")</f>
        <v>允许位置</v>
      </c>
      <c r="L245" s="4" t="str">
        <f>IFERROR(__xludf.DUMMYFUNCTION("GOOGLETRANSLATE(B245,""en"",""es"")"),"Permitir ubicación")</f>
        <v>Permitir ubicación</v>
      </c>
      <c r="M245" s="4" t="str">
        <f>IFERROR(__xludf.DUMMYFUNCTION("GOOGLETRANSLATE(B245,""en"",""iw"")"),"אפשר מיקום")</f>
        <v>אפשר מיקום</v>
      </c>
      <c r="N245" s="4" t="str">
        <f>IFERROR(__xludf.DUMMYFUNCTION("GOOGLETRANSLATE(B245,""en"",""bn"")"),"অবস্থানের অনুমতি দিন")</f>
        <v>অবস্থানের অনুমতি দিন</v>
      </c>
      <c r="O245" s="4" t="str">
        <f>IFERROR(__xludf.DUMMYFUNCTION("GOOGLETRANSLATE(B245,""en"",""pt"")"),"Permitir localização")</f>
        <v>Permitir localização</v>
      </c>
      <c r="P245" s="6"/>
    </row>
    <row r="246">
      <c r="A246" s="7" t="s">
        <v>704</v>
      </c>
      <c r="B246" s="9" t="s">
        <v>705</v>
      </c>
      <c r="C246" s="4" t="str">
        <f>IFERROR(__xludf.DUMMYFUNCTION("GOOGLETRANSLATE(B246,""en"",""hi"")"),"इस यात्रा के लिए आपका वॉलेट बैलेंस बहुत कम है")</f>
        <v>इस यात्रा के लिए आपका वॉलेट बैलेंस बहुत कम है</v>
      </c>
      <c r="D246" s="6" t="s">
        <v>706</v>
      </c>
      <c r="E246" s="4" t="str">
        <f>IFERROR(__xludf.DUMMYFUNCTION("GOOGLETRANSLATE(B246,""en"",""fr"")"),"Le solde de votre portefeuille est trop faible pour effectuer ce trajet")</f>
        <v>Le solde de votre portefeuille est trop faible pour effectuer ce trajet</v>
      </c>
      <c r="F246" s="4" t="str">
        <f>IFERROR(__xludf.DUMMYFUNCTION("GOOGLETRANSLATE(B246,""en"",""tr"")"),"Cüzdan Bakiyeniz bu yolculuğa çıkamayacak kadar düşük")</f>
        <v>Cüzdan Bakiyeniz bu yolculuğa çıkamayacak kadar düşük</v>
      </c>
      <c r="G246" s="4" t="str">
        <f>IFERROR(__xludf.DUMMYFUNCTION("GOOGLETRANSLATE(B246,""en"",""ru"")"),"Баланс вашего Кошелька слишком мал, чтобы совершить эту поездку.")</f>
        <v>Баланс вашего Кошелька слишком мал, чтобы совершить эту поездку.</v>
      </c>
      <c r="H246" s="4" t="str">
        <f>IFERROR(__xludf.DUMMYFUNCTION("GOOGLETRANSLATE(B246,""en"",""it"")"),"Il tuo saldo di Wallet è troppo basso per effettuare questa corsa")</f>
        <v>Il tuo saldo di Wallet è troppo basso per effettuare questa corsa</v>
      </c>
      <c r="I246" s="4" t="str">
        <f>IFERROR(__xludf.DUMMYFUNCTION("GOOGLETRANSLATE(B246,""en"",""de"")"),"Ihr Wallet-Guthaben ist für diese Fahrt zu niedrig")</f>
        <v>Ihr Wallet-Guthaben ist für diese Fahrt zu niedrig</v>
      </c>
      <c r="J246" s="4" t="str">
        <f>IFERROR(__xludf.DUMMYFUNCTION("GOOGLETRANSLATE(B246,""en"",""ko"")"),"월렛 잔액이 너무 낮아 이 차량을 이용할 수 없습니다.")</f>
        <v>월렛 잔액이 너무 낮아 이 차량을 이용할 수 없습니다.</v>
      </c>
      <c r="K246" s="4" t="str">
        <f>IFERROR(__xludf.DUMMYFUNCTION("GOOGLETRANSLATE(B246,""en"",""zh"")"),"您的钱包余额太低，无法乘坐此行程")</f>
        <v>您的钱包余额太低，无法乘坐此行程</v>
      </c>
      <c r="L246" s="4" t="str">
        <f>IFERROR(__xludf.DUMMYFUNCTION("GOOGLETRANSLATE(B246,""en"",""es"")"),"Tu saldo de Wallet es demasiado bajo para realizar este viaje")</f>
        <v>Tu saldo de Wallet es demasiado bajo para realizar este viaje</v>
      </c>
      <c r="M246" s="4" t="str">
        <f>IFERROR(__xludf.DUMMYFUNCTION("GOOGLETRANSLATE(B246,""en"",""iw"")"),"יתרת הארנק שלך נמוכה מדי בשביל לבצע את הנסיעה הזו")</f>
        <v>יתרת הארנק שלך נמוכה מדי בשביל לבצע את הנסיעה הזו</v>
      </c>
      <c r="N246" s="4" t="str">
        <f>IFERROR(__xludf.DUMMYFUNCTION("GOOGLETRANSLATE(B246,""en"",""bn"")"),"এই রাইডটি করার জন্য আপনার Wallet ব্যালেন্স খুবই কম৷")</f>
        <v>এই রাইডটি করার জন্য আপনার Wallet ব্যালেন্স খুবই কম৷</v>
      </c>
      <c r="O246" s="4" t="str">
        <f>IFERROR(__xludf.DUMMYFUNCTION("GOOGLETRANSLATE(B246,""en"",""pt"")"),"Seu Saldo da Google Wallet está muito baixo para fazer esta viagem")</f>
        <v>Seu Saldo da Google Wallet está muito baixo para fazer esta viagem</v>
      </c>
      <c r="P246" s="6"/>
    </row>
    <row r="247">
      <c r="A247" s="7" t="s">
        <v>707</v>
      </c>
      <c r="B247" s="3" t="s">
        <v>708</v>
      </c>
      <c r="C247" s="4" t="str">
        <f>IFERROR(__xludf.DUMMYFUNCTION("GOOGLETRANSLATE(B247,""en"",""hi"")"),"आंतरिक सर्वर त्रुटि")</f>
        <v>आंतरिक सर्वर त्रुटि</v>
      </c>
      <c r="D247" s="6" t="s">
        <v>709</v>
      </c>
      <c r="E247" s="4" t="str">
        <f>IFERROR(__xludf.DUMMYFUNCTION("GOOGLETRANSLATE(B247,""en"",""fr"")"),"Erreur interne du serveur")</f>
        <v>Erreur interne du serveur</v>
      </c>
      <c r="F247" s="4" t="str">
        <f>IFERROR(__xludf.DUMMYFUNCTION("GOOGLETRANSLATE(B247,""en"",""tr"")"),"İç Sunucu Hatası")</f>
        <v>İç Sunucu Hatası</v>
      </c>
      <c r="G247" s="4" t="str">
        <f>IFERROR(__xludf.DUMMYFUNCTION("GOOGLETRANSLATE(B247,""en"",""ru"")"),"Внутренняя ошибка сервера")</f>
        <v>Внутренняя ошибка сервера</v>
      </c>
      <c r="H247" s="4" t="str">
        <f>IFERROR(__xludf.DUMMYFUNCTION("GOOGLETRANSLATE(B247,""en"",""it"")"),"Errore interno del server")</f>
        <v>Errore interno del server</v>
      </c>
      <c r="I247" s="4" t="str">
        <f>IFERROR(__xludf.DUMMYFUNCTION("GOOGLETRANSLATE(B247,""en"",""de"")"),"interner Serverfehler")</f>
        <v>interner Serverfehler</v>
      </c>
      <c r="J247" s="4" t="str">
        <f>IFERROR(__xludf.DUMMYFUNCTION("GOOGLETRANSLATE(B247,""en"",""ko"")"),"인터넷 서버 오류")</f>
        <v>인터넷 서버 오류</v>
      </c>
      <c r="K247" s="4" t="str">
        <f>IFERROR(__xludf.DUMMYFUNCTION("GOOGLETRANSLATE(B247,""en"",""zh"")"),"内部服务器错误")</f>
        <v>内部服务器错误</v>
      </c>
      <c r="L247" s="4" t="str">
        <f>IFERROR(__xludf.DUMMYFUNCTION("GOOGLETRANSLATE(B247,""en"",""es"")"),"Error Interno del Servidor")</f>
        <v>Error Interno del Servidor</v>
      </c>
      <c r="M247" s="4" t="str">
        <f>IFERROR(__xludf.DUMMYFUNCTION("GOOGLETRANSLATE(B247,""en"",""iw"")"),"שגיאת שרת פנימית")</f>
        <v>שגיאת שרת פנימית</v>
      </c>
      <c r="N247" s="4" t="str">
        <f>IFERROR(__xludf.DUMMYFUNCTION("GOOGLETRANSLATE(B247,""en"",""bn"")"),"অভ্যন্তরীণ সার্ভার ত্রুটি")</f>
        <v>অভ্যন্তরীণ সার্ভার ত্রুটি</v>
      </c>
      <c r="O247" s="4" t="str">
        <f>IFERROR(__xludf.DUMMYFUNCTION("GOOGLETRANSLATE(B247,""en"",""pt"")"),"Erro do Servidor Interno")</f>
        <v>Erro do Servidor Interno</v>
      </c>
      <c r="P247" s="6"/>
    </row>
    <row r="248">
      <c r="A248" s="7" t="s">
        <v>710</v>
      </c>
      <c r="B248" s="3" t="s">
        <v>711</v>
      </c>
      <c r="C248" s="4" t="str">
        <f>IFERROR(__xludf.DUMMYFUNCTION("GOOGLETRANSLATE(B248,""en"",""hi"")"),"समर्थित वाहन")</f>
        <v>समर्थित वाहन</v>
      </c>
      <c r="D248" s="6" t="s">
        <v>712</v>
      </c>
      <c r="E248" s="4" t="str">
        <f>IFERROR(__xludf.DUMMYFUNCTION("GOOGLETRANSLATE(B248,""en"",""fr"")"),"Véhicules pris en charge")</f>
        <v>Véhicules pris en charge</v>
      </c>
      <c r="F248" s="4" t="str">
        <f>IFERROR(__xludf.DUMMYFUNCTION("GOOGLETRANSLATE(B248,""en"",""tr"")"),"Desteklenen Araçlar")</f>
        <v>Desteklenen Araçlar</v>
      </c>
      <c r="G248" s="4" t="str">
        <f>IFERROR(__xludf.DUMMYFUNCTION("GOOGLETRANSLATE(B248,""en"",""ru"")"),"Поддерживаемые автомобили")</f>
        <v>Поддерживаемые автомобили</v>
      </c>
      <c r="H248" s="4" t="str">
        <f>IFERROR(__xludf.DUMMYFUNCTION("GOOGLETRANSLATE(B248,""en"",""it"")"),"Veicoli supportati")</f>
        <v>Veicoli supportati</v>
      </c>
      <c r="I248" s="4" t="str">
        <f>IFERROR(__xludf.DUMMYFUNCTION("GOOGLETRANSLATE(B248,""en"",""de"")"),"Unterstützte Fahrzeuge")</f>
        <v>Unterstützte Fahrzeuge</v>
      </c>
      <c r="J248" s="4" t="str">
        <f>IFERROR(__xludf.DUMMYFUNCTION("GOOGLETRANSLATE(B248,""en"",""ko"")"),"지원 차량")</f>
        <v>지원 차량</v>
      </c>
      <c r="K248" s="4" t="str">
        <f>IFERROR(__xludf.DUMMYFUNCTION("GOOGLETRANSLATE(B248,""en"",""zh"")"),"支持的车辆")</f>
        <v>支持的车辆</v>
      </c>
      <c r="L248" s="4" t="str">
        <f>IFERROR(__xludf.DUMMYFUNCTION("GOOGLETRANSLATE(B248,""en"",""es"")"),"Vehículos compatibles")</f>
        <v>Vehículos compatibles</v>
      </c>
      <c r="M248" s="4" t="str">
        <f>IFERROR(__xludf.DUMMYFUNCTION("GOOGLETRANSLATE(B248,""en"",""iw"")"),"כלי רכב נתמכים")</f>
        <v>כלי רכב נתמכים</v>
      </c>
      <c r="N248" s="4" t="str">
        <f>IFERROR(__xludf.DUMMYFUNCTION("GOOGLETRANSLATE(B248,""en"",""bn"")"),"সমর্থিত যানবাহন")</f>
        <v>সমর্থিত যানবাহন</v>
      </c>
      <c r="O248" s="4" t="str">
        <f>IFERROR(__xludf.DUMMYFUNCTION("GOOGLETRANSLATE(B248,""en"",""pt"")"),"Veículos Suportados")</f>
        <v>Veículos Suportados</v>
      </c>
      <c r="P248" s="6"/>
    </row>
    <row r="249">
      <c r="A249" s="7" t="s">
        <v>713</v>
      </c>
      <c r="B249" s="9" t="s">
        <v>714</v>
      </c>
      <c r="C249" s="4" t="str">
        <f>IFERROR(__xludf.DUMMYFUNCTION("GOOGLETRANSLATE(B249,""en"",""hi"")"),"विवरण")</f>
        <v>विवरण</v>
      </c>
      <c r="D249" s="6" t="s">
        <v>715</v>
      </c>
      <c r="E249" s="4" t="str">
        <f>IFERROR(__xludf.DUMMYFUNCTION("GOOGLETRANSLATE(B249,""en"",""fr"")"),"Description")</f>
        <v>Description</v>
      </c>
      <c r="F249" s="4" t="str">
        <f>IFERROR(__xludf.DUMMYFUNCTION("GOOGLETRANSLATE(B249,""en"",""tr"")"),"Tanım")</f>
        <v>Tanım</v>
      </c>
      <c r="G249" s="4" t="str">
        <f>IFERROR(__xludf.DUMMYFUNCTION("GOOGLETRANSLATE(B249,""en"",""ru"")"),"Описание")</f>
        <v>Описание</v>
      </c>
      <c r="H249" s="4" t="str">
        <f>IFERROR(__xludf.DUMMYFUNCTION("GOOGLETRANSLATE(B249,""en"",""it"")"),"Descrizione")</f>
        <v>Descrizione</v>
      </c>
      <c r="I249" s="4" t="str">
        <f>IFERROR(__xludf.DUMMYFUNCTION("GOOGLETRANSLATE(B249,""en"",""de"")"),"Beschreibung")</f>
        <v>Beschreibung</v>
      </c>
      <c r="J249" s="4" t="str">
        <f>IFERROR(__xludf.DUMMYFUNCTION("GOOGLETRANSLATE(B249,""en"",""ko"")"),"설명")</f>
        <v>설명</v>
      </c>
      <c r="K249" s="4" t="str">
        <f>IFERROR(__xludf.DUMMYFUNCTION("GOOGLETRANSLATE(B249,""en"",""zh"")"),"描述")</f>
        <v>描述</v>
      </c>
      <c r="L249" s="4" t="str">
        <f>IFERROR(__xludf.DUMMYFUNCTION("GOOGLETRANSLATE(B249,""en"",""es"")"),"Descripción")</f>
        <v>Descripción</v>
      </c>
      <c r="M249" s="4" t="str">
        <f>IFERROR(__xludf.DUMMYFUNCTION("GOOGLETRANSLATE(B249,""en"",""iw"")"),"תיאור")</f>
        <v>תיאור</v>
      </c>
      <c r="N249" s="4" t="str">
        <f>IFERROR(__xludf.DUMMYFUNCTION("GOOGLETRANSLATE(B249,""en"",""bn"")"),"বর্ণনা")</f>
        <v>বর্ণনা</v>
      </c>
      <c r="O249" s="4" t="str">
        <f>IFERROR(__xludf.DUMMYFUNCTION("GOOGLETRANSLATE(B249,""en"",""pt"")"),"Descrição")</f>
        <v>Descrição</v>
      </c>
      <c r="P249" s="6"/>
    </row>
    <row r="250">
      <c r="A250" s="16" t="s">
        <v>716</v>
      </c>
      <c r="B250" s="9" t="s">
        <v>717</v>
      </c>
      <c r="C250" s="4" t="str">
        <f>IFERROR(__xludf.DUMMYFUNCTION("GOOGLETRANSLATE(B250,""en"",""hi"")"),"अनुमानित राशि")</f>
        <v>अनुमानित राशि</v>
      </c>
      <c r="D250" s="6" t="s">
        <v>718</v>
      </c>
      <c r="E250" s="4" t="str">
        <f>IFERROR(__xludf.DUMMYFUNCTION("GOOGLETRANSLATE(B250,""en"",""fr"")"),"Montant estimé")</f>
        <v>Montant estimé</v>
      </c>
      <c r="F250" s="4" t="str">
        <f>IFERROR(__xludf.DUMMYFUNCTION("GOOGLETRANSLATE(B250,""en"",""tr"")"),"Tahmini miktar")</f>
        <v>Tahmini miktar</v>
      </c>
      <c r="G250" s="4" t="str">
        <f>IFERROR(__xludf.DUMMYFUNCTION("GOOGLETRANSLATE(B250,""en"",""ru"")"),"Ориентировочная сумма")</f>
        <v>Ориентировочная сумма</v>
      </c>
      <c r="H250" s="4" t="str">
        <f>IFERROR(__xludf.DUMMYFUNCTION("GOOGLETRANSLATE(B250,""en"",""it"")"),"Ammontare stimato")</f>
        <v>Ammontare stimato</v>
      </c>
      <c r="I250" s="4" t="str">
        <f>IFERROR(__xludf.DUMMYFUNCTION("GOOGLETRANSLATE(B250,""en"",""de"")"),"Geschätzter Betrag")</f>
        <v>Geschätzter Betrag</v>
      </c>
      <c r="J250" s="4" t="str">
        <f>IFERROR(__xludf.DUMMYFUNCTION("GOOGLETRANSLATE(B250,""en"",""ko"")"),"예상 금액")</f>
        <v>예상 금액</v>
      </c>
      <c r="K250" s="4" t="str">
        <f>IFERROR(__xludf.DUMMYFUNCTION("GOOGLETRANSLATE(B250,""en"",""zh"")"),"预计金额")</f>
        <v>预计金额</v>
      </c>
      <c r="L250" s="4" t="str">
        <f>IFERROR(__xludf.DUMMYFUNCTION("GOOGLETRANSLATE(B250,""en"",""es"")"),"Cantidad estimada")</f>
        <v>Cantidad estimada</v>
      </c>
      <c r="M250" s="4" t="str">
        <f>IFERROR(__xludf.DUMMYFUNCTION("GOOGLETRANSLATE(B250,""en"",""iw"")"),"כמות משוערת")</f>
        <v>כמות משוערת</v>
      </c>
      <c r="N250" s="4" t="str">
        <f>IFERROR(__xludf.DUMMYFUNCTION("GOOGLETRANSLATE(B250,""en"",""bn"")"),"আনুমানিক পরিমাণ")</f>
        <v>আনুমানিক পরিমাণ</v>
      </c>
      <c r="O250" s="4" t="str">
        <f>IFERROR(__xludf.DUMMYFUNCTION("GOOGLETRANSLATE(B250,""en"",""pt"")"),"Quantidade estimada")</f>
        <v>Quantidade estimada</v>
      </c>
      <c r="P250" s="6"/>
    </row>
    <row r="251">
      <c r="A251" s="7" t="s">
        <v>719</v>
      </c>
      <c r="B251" s="3" t="s">
        <v>720</v>
      </c>
      <c r="C251" s="4" t="str">
        <f>IFERROR(__xludf.DUMMYFUNCTION("GOOGLETRANSLATE(B251,""en"",""hi"")"),"ऐप चलाने के लिए लोकेशन एक्सेस की आवश्यकता है, कृपया इसे सेटिंग्स में सक्षम करें और हो गया पर टैप करें")</f>
        <v>ऐप चलाने के लिए लोकेशन एक्सेस की आवश्यकता है, कृपया इसे सेटिंग्स में सक्षम करें और हो गया पर टैप करें</v>
      </c>
      <c r="D251" s="6" t="s">
        <v>721</v>
      </c>
      <c r="E251" s="4" t="str">
        <f>IFERROR(__xludf.DUMMYFUNCTION("GOOGLETRANSLATE(B251,""en"",""fr"")"),"L'accès à la localisation est nécessaire pour exécuter l'application, veuillez l'activer dans les paramètres et appuyez sur Terminé.")</f>
        <v>L'accès à la localisation est nécessaire pour exécuter l'application, veuillez l'activer dans les paramètres et appuyez sur Terminé.</v>
      </c>
      <c r="F251" s="4" t="str">
        <f>IFERROR(__xludf.DUMMYFUNCTION("GOOGLETRANSLATE(B251,""en"",""tr"")"),"Uygulamayı çalıştırmak için konum erişimi gerekiyor, lütfen ayarlardan etkinleştirin ve tamam'a dokunun")</f>
        <v>Uygulamayı çalıştırmak için konum erişimi gerekiyor, lütfen ayarlardan etkinleştirin ve tamam'a dokunun</v>
      </c>
      <c r="G251" s="4" t="str">
        <f>IFERROR(__xludf.DUMMYFUNCTION("GOOGLETRANSLATE(B251,""en"",""ru"")"),"Для запуска приложения необходим доступ к местоположению. Включите его в настройках и нажмите «Готово».")</f>
        <v>Для запуска приложения необходим доступ к местоположению. Включите его в настройках и нажмите «Готово».</v>
      </c>
      <c r="H251" s="4" t="str">
        <f>IFERROR(__xludf.DUMMYFUNCTION("GOOGLETRANSLATE(B251,""en"",""it"")"),"L'accesso alla posizione è necessario per eseguire l'app, abilitalo nelle impostazioni e tocca Fine")</f>
        <v>L'accesso alla posizione è necessario per eseguire l'app, abilitalo nelle impostazioni e tocca Fine</v>
      </c>
      <c r="I251" s="4" t="str">
        <f>IFERROR(__xludf.DUMMYFUNCTION("GOOGLETRANSLATE(B251,""en"",""de"")"),"Zum Ausführen der App ist ein Standortzugriff erforderlich. Bitte aktivieren Sie ihn in den Einstellungen und tippen Sie auf „Fertig“.")</f>
        <v>Zum Ausführen der App ist ein Standortzugriff erforderlich. Bitte aktivieren Sie ihn in den Einstellungen und tippen Sie auf „Fertig“.</v>
      </c>
      <c r="J251" s="4" t="str">
        <f>IFERROR(__xludf.DUMMYFUNCTION("GOOGLETRANSLATE(B251,""en"",""ko"")"),"앱을 실행하려면 위치 액세스가 필요합니다. 설정에서 활성화하고 완료를 탭하세요.")</f>
        <v>앱을 실행하려면 위치 액세스가 필요합니다. 설정에서 활성화하고 완료를 탭하세요.</v>
      </c>
      <c r="K251" s="4" t="str">
        <f>IFERROR(__xludf.DUMMYFUNCTION("GOOGLETRANSLATE(B251,""en"",""zh"")"),"运行应用程序需要位置访问权限，请在设置中启用它并点击完成")</f>
        <v>运行应用程序需要位置访问权限，请在设置中启用它并点击完成</v>
      </c>
      <c r="L251" s="4" t="str">
        <f>IFERROR(__xludf.DUMMYFUNCTION("GOOGLETRANSLATE(B251,""en"",""es"")"),"Se necesita acceso a la ubicación para ejecutar la aplicación. Habilítelo en la configuración y toque Listo.")</f>
        <v>Se necesita acceso a la ubicación para ejecutar la aplicación. Habilítelo en la configuración y toque Listo.</v>
      </c>
      <c r="M251" s="4" t="str">
        <f>IFERROR(__xludf.DUMMYFUNCTION("GOOGLETRANSLATE(B251,""en"",""iw"")"),"נדרשת גישת מיקום להפעלת האפליקציה, אנא הפעל אותה בהגדרות והקש על סיום")</f>
        <v>נדרשת גישת מיקום להפעלת האפליקציה, אנא הפעל אותה בהגדרות והקש על סיום</v>
      </c>
      <c r="N251" s="4" t="str">
        <f>IFERROR(__xludf.DUMMYFUNCTION("GOOGLETRANSLATE(B251,""en"",""bn"")"),"অ্যাপটি চালানোর জন্য লোকেশন অ্যাক্সেস প্রয়োজন, দয়া করে সেটিংসে এটি সক্ষম করুন এবং সম্পন্ন ট্যাপ করুন")</f>
        <v>অ্যাপটি চালানোর জন্য লোকেশন অ্যাক্সেস প্রয়োজন, দয়া করে সেটিংসে এটি সক্ষম করুন এবং সম্পন্ন ট্যাপ করুন</v>
      </c>
      <c r="O251" s="4" t="str">
        <f>IFERROR(__xludf.DUMMYFUNCTION("GOOGLETRANSLATE(B251,""en"",""pt"")"),"O acesso à localização é necessário para executar o aplicativo. Ative-o nas configurações e toque em Concluído")</f>
        <v>O acesso à localização é necessário para executar o aplicativo. Ative-o nas configurações e toque em Concluído</v>
      </c>
      <c r="P251" s="6"/>
    </row>
    <row r="252">
      <c r="A252" s="7" t="s">
        <v>722</v>
      </c>
      <c r="B252" s="9" t="s">
        <v>723</v>
      </c>
      <c r="C252" s="4" t="str">
        <f>IFERROR(__xludf.DUMMYFUNCTION("GOOGLETRANSLATE(B252,""en"",""hi"")"),"खुली सेटिंग")</f>
        <v>खुली सेटिंग</v>
      </c>
      <c r="D252" s="6" t="s">
        <v>724</v>
      </c>
      <c r="E252" s="4" t="str">
        <f>IFERROR(__xludf.DUMMYFUNCTION("GOOGLETRANSLATE(B252,""en"",""fr"")"),"Ouvrir les paramètres")</f>
        <v>Ouvrir les paramètres</v>
      </c>
      <c r="F252" s="4" t="str">
        <f>IFERROR(__xludf.DUMMYFUNCTION("GOOGLETRANSLATE(B252,""en"",""tr"")"),"Ayarları aç")</f>
        <v>Ayarları aç</v>
      </c>
      <c r="G252" s="4" t="str">
        <f>IFERROR(__xludf.DUMMYFUNCTION("GOOGLETRANSLATE(B252,""en"",""ru"")"),"Открыть настройки")</f>
        <v>Открыть настройки</v>
      </c>
      <c r="H252" s="4" t="str">
        <f>IFERROR(__xludf.DUMMYFUNCTION("GOOGLETRANSLATE(B252,""en"",""it"")"),"Apri Impostazioni")</f>
        <v>Apri Impostazioni</v>
      </c>
      <c r="I252" s="4" t="str">
        <f>IFERROR(__xludf.DUMMYFUNCTION("GOOGLETRANSLATE(B252,""en"",""de"")"),"Einstellungen öffnen")</f>
        <v>Einstellungen öffnen</v>
      </c>
      <c r="J252" s="4" t="str">
        <f>IFERROR(__xludf.DUMMYFUNCTION("GOOGLETRANSLATE(B252,""en"",""ko"")"),"설정 열기")</f>
        <v>설정 열기</v>
      </c>
      <c r="K252" s="4" t="str">
        <f>IFERROR(__xludf.DUMMYFUNCTION("GOOGLETRANSLATE(B252,""en"",""zh"")"),"打开设置")</f>
        <v>打开设置</v>
      </c>
      <c r="L252" s="4" t="str">
        <f>IFERROR(__xludf.DUMMYFUNCTION("GOOGLETRANSLATE(B252,""en"",""es"")"),"Configuración abierta")</f>
        <v>Configuración abierta</v>
      </c>
      <c r="M252" s="4" t="str">
        <f>IFERROR(__xludf.DUMMYFUNCTION("GOOGLETRANSLATE(B252,""en"",""iw"")"),"פתח את ההגדרות")</f>
        <v>פתח את ההגדרות</v>
      </c>
      <c r="N252" s="4" t="str">
        <f>IFERROR(__xludf.DUMMYFUNCTION("GOOGLETRANSLATE(B252,""en"",""bn"")"),"ওপেন সেটিংস")</f>
        <v>ওপেন সেটিংস</v>
      </c>
      <c r="O252" s="4" t="str">
        <f>IFERROR(__xludf.DUMMYFUNCTION("GOOGLETRANSLATE(B252,""en"",""pt"")"),"Abrir configurações")</f>
        <v>Abrir configurações</v>
      </c>
      <c r="P252" s="6"/>
    </row>
    <row r="253">
      <c r="A253" s="7" t="s">
        <v>725</v>
      </c>
      <c r="B253" s="3" t="s">
        <v>726</v>
      </c>
      <c r="C253" s="4" t="str">
        <f>IFERROR(__xludf.DUMMYFUNCTION("GOOGLETRANSLATE(B253,""en"",""hi"")"),"हो गया")</f>
        <v>हो गया</v>
      </c>
      <c r="D253" s="6" t="s">
        <v>727</v>
      </c>
      <c r="E253" s="4" t="str">
        <f>IFERROR(__xludf.DUMMYFUNCTION("GOOGLETRANSLATE(B253,""en"",""fr"")"),"Fait")</f>
        <v>Fait</v>
      </c>
      <c r="F253" s="4" t="str">
        <f>IFERROR(__xludf.DUMMYFUNCTION("GOOGLETRANSLATE(B253,""en"",""tr"")"),"Tamamlamak")</f>
        <v>Tamamlamak</v>
      </c>
      <c r="G253" s="4" t="str">
        <f>IFERROR(__xludf.DUMMYFUNCTION("GOOGLETRANSLATE(B253,""en"",""ru"")"),"Сделанный")</f>
        <v>Сделанный</v>
      </c>
      <c r="H253" s="4" t="str">
        <f>IFERROR(__xludf.DUMMYFUNCTION("GOOGLETRANSLATE(B253,""en"",""it"")"),"Fatto")</f>
        <v>Fatto</v>
      </c>
      <c r="I253" s="4" t="str">
        <f>IFERROR(__xludf.DUMMYFUNCTION("GOOGLETRANSLATE(B253,""en"",""de"")"),"Erledigt")</f>
        <v>Erledigt</v>
      </c>
      <c r="J253" s="4" t="str">
        <f>IFERROR(__xludf.DUMMYFUNCTION("GOOGLETRANSLATE(B253,""en"",""ko"")"),"완료")</f>
        <v>완료</v>
      </c>
      <c r="K253" s="4" t="str">
        <f>IFERROR(__xludf.DUMMYFUNCTION("GOOGLETRANSLATE(B253,""en"",""zh"")"),"完毕")</f>
        <v>完毕</v>
      </c>
      <c r="L253" s="4" t="str">
        <f>IFERROR(__xludf.DUMMYFUNCTION("GOOGLETRANSLATE(B253,""en"",""es"")"),"Hecho")</f>
        <v>Hecho</v>
      </c>
      <c r="M253" s="4" t="str">
        <f>IFERROR(__xludf.DUMMYFUNCTION("GOOGLETRANSLATE(B253,""en"",""iw"")"),"בוצע")</f>
        <v>בוצע</v>
      </c>
      <c r="N253" s="4" t="str">
        <f>IFERROR(__xludf.DUMMYFUNCTION("GOOGLETRANSLATE(B253,""en"",""bn"")"),"সম্পন্ন")</f>
        <v>সম্পন্ন</v>
      </c>
      <c r="O253" s="4" t="str">
        <f>IFERROR(__xludf.DUMMYFUNCTION("GOOGLETRANSLATE(B253,""en"",""pt"")"),"Feito")</f>
        <v>Feito</v>
      </c>
      <c r="P253" s="6"/>
    </row>
    <row r="254">
      <c r="A254" s="7" t="s">
        <v>728</v>
      </c>
      <c r="B254" s="9" t="s">
        <v>729</v>
      </c>
      <c r="C254" s="4" t="str">
        <f>IFERROR(__xludf.DUMMYFUNCTION("GOOGLETRANSLATE(B254,""en"",""hi"")"),"एसओएस के लिए संपर्क चुनने के लिए संपर्क पहुंच की आवश्यकता है, कृपया इसे सेटिंग्स में सक्षम करें और पूरा टैप करें")</f>
        <v>एसओएस के लिए संपर्क चुनने के लिए संपर्क पहुंच की आवश्यकता है, कृपया इसे सेटिंग्स में सक्षम करें और पूरा टैप करें</v>
      </c>
      <c r="D254" s="4" t="str">
        <f>IFERROR(__xludf.DUMMYFUNCTION("GOOGLETRANSLATE(B254,""en"",""ar"")"),"يلزم الوصول إلى جهة الاتصال لاختيار جهة اتصال لـ SOS، ثم قم بتمكينها في الإعدادات ثم انقر فوق ""تم"".")</f>
        <v>يلزم الوصول إلى جهة الاتصال لاختيار جهة اتصال لـ SOS، ثم قم بتمكينها في الإعدادات ثم انقر فوق "تم".</v>
      </c>
      <c r="E254" s="4" t="str">
        <f>IFERROR(__xludf.DUMMYFUNCTION("GOOGLETRANSLATE(B254,""en"",""fr"")"),"L'accès aux contacts est nécessaire pour choisir le contact pour SOS, veuillez l'activer dans les paramètres et appuyer sur Terminé.")</f>
        <v>L'accès aux contacts est nécessaire pour choisir le contact pour SOS, veuillez l'activer dans les paramètres et appuyer sur Terminé.</v>
      </c>
      <c r="F254" s="4" t="str">
        <f>IFERROR(__xludf.DUMMYFUNCTION("GOOGLETRANSLATE(B254,""en"",""tr"")"),"SOS için kişiyi seçmek için kişi erişimi gerekiyor, bunu ayarlarda etkinleştirin ve tamam'a dokunun")</f>
        <v>SOS için kişiyi seçmek için kişi erişimi gerekiyor, bunu ayarlarda etkinleştirin ve tamam'a dokunun</v>
      </c>
      <c r="G254" s="4" t="str">
        <f>IFERROR(__xludf.DUMMYFUNCTION("GOOGLETRANSLATE(B254,""en"",""ru"")"),"Чтобы выбрать контакт для SOS, необходим доступ к контактам. Пожалуйста, включите его в настройках и нажмите «Готово».")</f>
        <v>Чтобы выбрать контакт для SOS, необходим доступ к контактам. Пожалуйста, включите его в настройках и нажмите «Готово».</v>
      </c>
      <c r="H254" s="4" t="str">
        <f>IFERROR(__xludf.DUMMYFUNCTION("GOOGLETRANSLATE(B254,""en"",""it"")"),"È necessario l'accesso ai contatti per scegliere il contatto per SOS, abilitarlo nelle impostazioni e toccare Fine")</f>
        <v>È necessario l'accesso ai contatti per scegliere il contatto per SOS, abilitarlo nelle impostazioni e toccare Fine</v>
      </c>
      <c r="I254" s="4" t="str">
        <f>IFERROR(__xludf.DUMMYFUNCTION("GOOGLETRANSLATE(B254,""en"",""de"")"),"Um den Kontakt für SOS auszuwählen, ist Kontaktzugriff erforderlich. Aktivieren Sie ihn bitte in den Einstellungen und tippen Sie auf „Fertig“.")</f>
        <v>Um den Kontakt für SOS auszuwählen, ist Kontaktzugriff erforderlich. Aktivieren Sie ihn bitte in den Einstellungen und tippen Sie auf „Fertig“.</v>
      </c>
      <c r="J254" s="4" t="str">
        <f>IFERROR(__xludf.DUMMYFUNCTION("GOOGLETRANSLATE(B254,""en"",""ko"")"),"SOS를 위한 연락처를 선택하려면 연락처 액세스 권한이 필요합니다. 설정에서 활성화하고 완료를 탭하세요.")</f>
        <v>SOS를 위한 연락처를 선택하려면 연락처 액세스 권한이 필요합니다. 설정에서 활성화하고 완료를 탭하세요.</v>
      </c>
      <c r="K254" s="4" t="str">
        <f>IFERROR(__xludf.DUMMYFUNCTION("GOOGLETRANSLATE(B254,""en"",""zh"")"),"需要联系人访问权限才能选择 SOS 联系人，请在设置中启用它并点击完成")</f>
        <v>需要联系人访问权限才能选择 SOS 联系人，请在设置中启用它并点击完成</v>
      </c>
      <c r="L254" s="4" t="str">
        <f>IFERROR(__xludf.DUMMYFUNCTION("GOOGLETRANSLATE(B254,""en"",""es"")"),"Se necesita acceso al contacto para elegir el contacto para SOS, habilítelo en la configuración y toque Listo.")</f>
        <v>Se necesita acceso al contacto para elegir el contacto para SOS, habilítelo en la configuración y toque Listo.</v>
      </c>
      <c r="M254" s="4" t="str">
        <f>IFERROR(__xludf.DUMMYFUNCTION("GOOGLETRANSLATE(B254,""en"",""iw"")"),"יש צורך בגישה לאנשי קשר כדי לבחור איש קשר עבור SOS, אפשר להפעיל אותו בהגדרות והקש על סיום")</f>
        <v>יש צורך בגישה לאנשי קשר כדי לבחור איש קשר עבור SOS, אפשר להפעיל אותו בהגדרות והקש על סיום</v>
      </c>
      <c r="N254" s="4" t="str">
        <f>IFERROR(__xludf.DUMMYFUNCTION("GOOGLETRANSLATE(B254,""en"",""bn"")"),"এসওএস-এর জন্য পরিচিতি বাছাই করতে যোগাযোগের অ্যাক্সেস প্রয়োজন, সেটিংসে এটি সক্রিয় করুন এবং সম্পন্ন ট্যাপ করুন")</f>
        <v>এসওএস-এর জন্য পরিচিতি বাছাই করতে যোগাযোগের অ্যাক্সেস প্রয়োজন, সেটিংসে এটি সক্রিয় করুন এবং সম্পন্ন ট্যাপ করুন</v>
      </c>
      <c r="O254" s="4" t="str">
        <f>IFERROR(__xludf.DUMMYFUNCTION("GOOGLETRANSLATE(B254,""en"",""pt"")"),"O acesso ao contato é necessário para escolher o contato para SOS, ative-o nas configurações e toque em Concluído")</f>
        <v>O acesso ao contato é necessário para escolher o contato para SOS, ative-o nas configurações e toque em Concluído</v>
      </c>
      <c r="P254" s="6"/>
    </row>
    <row r="255">
      <c r="A255" s="7" t="s">
        <v>730</v>
      </c>
      <c r="B255" s="9" t="s">
        <v>731</v>
      </c>
      <c r="C255" s="4" t="str">
        <f>IFERROR(__xludf.DUMMYFUNCTION("GOOGLETRANSLATE(B255,""en"",""hi"")"),"छवि कैप्चर करने के लिए कैमरा एक्सेस की आवश्यकता है, कृपया इसे सेटिंग्स में सक्षम करें और हो गया टैप करें")</f>
        <v>छवि कैप्चर करने के लिए कैमरा एक्सेस की आवश्यकता है, कृपया इसे सेटिंग्स में सक्षम करें और हो गया टैप करें</v>
      </c>
      <c r="D255" s="4" t="str">
        <f>IFERROR(__xludf.DUMMYFUNCTION("GOOGLETRANSLATE(B255,""en"",""ar"")"),"يلزم الوصول إلى الكاميرا لالتقاط الصورة، يرجى تمكينه في الإعدادات ثم النقر على ""تم"".")</f>
        <v>يلزم الوصول إلى الكاميرا لالتقاط الصورة، يرجى تمكينه في الإعدادات ثم النقر على "تم".</v>
      </c>
      <c r="E255" s="4" t="str">
        <f>IFERROR(__xludf.DUMMYFUNCTION("GOOGLETRANSLATE(B255,""en"",""fr"")"),"L'accès à l'appareil photo est nécessaire pour capturer l'image, veuillez l'activer dans les paramètres et appuyez sur Terminé.")</f>
        <v>L'accès à l'appareil photo est nécessaire pour capturer l'image, veuillez l'activer dans les paramètres et appuyez sur Terminé.</v>
      </c>
      <c r="F255" s="4" t="str">
        <f>IFERROR(__xludf.DUMMYFUNCTION("GOOGLETRANSLATE(B255,""en"",""tr"")"),"Görüntü yakalamak için kamera erişimi gerekiyor, lütfen ayarlardan etkinleştirin ve tamam'a dokunun")</f>
        <v>Görüntü yakalamak için kamera erişimi gerekiyor, lütfen ayarlardan etkinleştirin ve tamam'a dokunun</v>
      </c>
      <c r="G255" s="4" t="str">
        <f>IFERROR(__xludf.DUMMYFUNCTION("GOOGLETRANSLATE(B255,""en"",""ru"")"),"Для захвата изображения необходим доступ к камере. Включите его в настройках и нажмите «Готово».")</f>
        <v>Для захвата изображения необходим доступ к камере. Включите его в настройках и нажмите «Готово».</v>
      </c>
      <c r="H255" s="4" t="str">
        <f>IFERROR(__xludf.DUMMYFUNCTION("GOOGLETRANSLATE(B255,""en"",""it"")"),"Per acquisire l'immagine è necessario l'accesso alla fotocamera, abilitalo nelle impostazioni e tocca Fine")</f>
        <v>Per acquisire l'immagine è necessario l'accesso alla fotocamera, abilitalo nelle impostazioni e tocca Fine</v>
      </c>
      <c r="I255" s="4" t="str">
        <f>IFERROR(__xludf.DUMMYFUNCTION("GOOGLETRANSLATE(B255,""en"",""de"")"),"Zum Aufnehmen von Bildern ist Kamerazugriff erforderlich. Bitte aktivieren Sie ihn in den Einstellungen und tippen Sie auf „Fertig“.")</f>
        <v>Zum Aufnehmen von Bildern ist Kamerazugriff erforderlich. Bitte aktivieren Sie ihn in den Einstellungen und tippen Sie auf „Fertig“.</v>
      </c>
      <c r="J255" s="4" t="str">
        <f>IFERROR(__xludf.DUMMYFUNCTION("GOOGLETRANSLATE(B255,""en"",""ko"")"),"이미지를 캡처하려면 카메라 액세스가 필요합니다. 설정에서 활성화하고 완료를 탭하세요.")</f>
        <v>이미지를 캡처하려면 카메라 액세스가 필요합니다. 설정에서 활성화하고 완료를 탭하세요.</v>
      </c>
      <c r="K255" s="4" t="str">
        <f>IFERROR(__xludf.DUMMYFUNCTION("GOOGLETRANSLATE(B255,""en"",""zh"")"),"需要使用相机权限才能捕获图像，请在设置中启用它并点击完成")</f>
        <v>需要使用相机权限才能捕获图像，请在设置中启用它并点击完成</v>
      </c>
      <c r="L255" s="4" t="str">
        <f>IFERROR(__xludf.DUMMYFUNCTION("GOOGLETRANSLATE(B255,""en"",""es"")"),"Se necesita acceso a la cámara para capturar la imagen, habilítelo en la configuración y toque Listo.")</f>
        <v>Se necesita acceso a la cámara para capturar la imagen, habilítelo en la configuración y toque Listo.</v>
      </c>
      <c r="M255" s="4" t="str">
        <f>IFERROR(__xludf.DUMMYFUNCTION("GOOGLETRANSLATE(B255,""en"",""iw"")"),"יש צורך בגישה למצלמה כדי לצלם תמונה, אנא הפעל אותה בהגדרות והקש על סיום")</f>
        <v>יש צורך בגישה למצלמה כדי לצלם תמונה, אנא הפעל אותה בהגדרות והקש על סיום</v>
      </c>
      <c r="N255" s="4" t="str">
        <f>IFERROR(__xludf.DUMMYFUNCTION("GOOGLETRANSLATE(B255,""en"",""bn"")"),"ছবি ক্যাপচার করার জন্য ক্যামেরা অ্যাক্সেস প্রয়োজন, দয়া করে সেটিংসে এটি সক্ষম করুন এবং সম্পন্ন আলতো চাপুন")</f>
        <v>ছবি ক্যাপচার করার জন্য ক্যামেরা অ্যাক্সেস প্রয়োজন, দয়া করে সেটিংসে এটি সক্ষম করুন এবং সম্পন্ন আলতো চাপুন</v>
      </c>
      <c r="O255" s="4" t="str">
        <f>IFERROR(__xludf.DUMMYFUNCTION("GOOGLETRANSLATE(B255,""en"",""pt"")"),"O acesso à câmera é necessário para capturar a imagem. Ative-o nas configurações e toque em Concluído")</f>
        <v>O acesso à câmera é necessário para capturar a imagem. Ative-o nas configurações e toque em Concluído</v>
      </c>
      <c r="P255" s="6"/>
    </row>
    <row r="256">
      <c r="A256" s="7" t="s">
        <v>732</v>
      </c>
      <c r="B256" s="9" t="s">
        <v>733</v>
      </c>
      <c r="C256" s="4" t="str">
        <f>IFERROR(__xludf.DUMMYFUNCTION("GOOGLETRANSLATE(B256,""en"",""hi"")"),"छवि चुनने के लिए फ़ोटो एक्सेस की आवश्यकता है, कृपया इसे सेटिंग्स में सक्षम करें और हो गया टैप करें")</f>
        <v>छवि चुनने के लिए फ़ोटो एक्सेस की आवश्यकता है, कृपया इसे सेटिंग्स में सक्षम करें और हो गया टैप करें</v>
      </c>
      <c r="D256" s="4" t="str">
        <f>IFERROR(__xludf.DUMMYFUNCTION("GOOGLETRANSLATE(B256,""en"",""ar"")"),"يلزم الوصول إلى الصور لاختيار الصورة، يرجى تمكينها في الإعدادات والنقر على ""تم"".")</f>
        <v>يلزم الوصول إلى الصور لاختيار الصورة، يرجى تمكينها في الإعدادات والنقر على "تم".</v>
      </c>
      <c r="E256" s="4" t="str">
        <f>IFERROR(__xludf.DUMMYFUNCTION("GOOGLETRANSLATE(B256,""en"",""fr"")"),"L'accès aux photos est nécessaire pour choisir une image, veuillez l'activer dans les paramètres et appuyez sur Terminé.")</f>
        <v>L'accès aux photos est nécessaire pour choisir une image, veuillez l'activer dans les paramètres et appuyez sur Terminé.</v>
      </c>
      <c r="F256" s="4" t="str">
        <f>IFERROR(__xludf.DUMMYFUNCTION("GOOGLETRANSLATE(B256,""en"",""tr"")"),"Resmi seçmek için fotoğraflara erişim gerekiyor, lütfen ayarlarda etkinleştirin ve tamam'a dokunun")</f>
        <v>Resmi seçmek için fotoğraflara erişim gerekiyor, lütfen ayarlarda etkinleştirin ve tamam'a dokunun</v>
      </c>
      <c r="G256" s="4" t="str">
        <f>IFERROR(__xludf.DUMMYFUNCTION("GOOGLETRANSLATE(B256,""en"",""ru"")"),"Чтобы выбрать изображение, необходим доступ к фотографиям. Включите его в настройках и нажмите «Готово».")</f>
        <v>Чтобы выбрать изображение, необходим доступ к фотографиям. Включите его в настройках и нажмите «Готово».</v>
      </c>
      <c r="H256" s="4" t="str">
        <f>IFERROR(__xludf.DUMMYFUNCTION("GOOGLETRANSLATE(B256,""en"",""it"")"),"Per scegliere l'immagine è necessario l'accesso alle foto, abilitalo nelle impostazioni e tocca Fine")</f>
        <v>Per scegliere l'immagine è necessario l'accesso alle foto, abilitalo nelle impostazioni e tocca Fine</v>
      </c>
      <c r="I256" s="4" t="str">
        <f>IFERROR(__xludf.DUMMYFUNCTION("GOOGLETRANSLATE(B256,""en"",""de"")"),"Um ein Bild auszuwählen, ist Fotozugriff erforderlich. Bitte aktivieren Sie ihn in den Einstellungen und tippen Sie auf „Fertig“.")</f>
        <v>Um ein Bild auszuwählen, ist Fotozugriff erforderlich. Bitte aktivieren Sie ihn in den Einstellungen und tippen Sie auf „Fertig“.</v>
      </c>
      <c r="J256" s="4" t="str">
        <f>IFERROR(__xludf.DUMMYFUNCTION("GOOGLETRANSLATE(B256,""en"",""ko"")"),"이미지를 선택하려면 사진 액세스 권한이 필요합니다. 설정에서 활성화하고 완료를 탭하세요.")</f>
        <v>이미지를 선택하려면 사진 액세스 권한이 필요합니다. 설정에서 활성화하고 완료를 탭하세요.</v>
      </c>
      <c r="K256" s="4" t="str">
        <f>IFERROR(__xludf.DUMMYFUNCTION("GOOGLETRANSLATE(B256,""en"",""zh"")"),"需要访问照片才能选择图像，请在设置中启用它并点击完成")</f>
        <v>需要访问照片才能选择图像，请在设置中启用它并点击完成</v>
      </c>
      <c r="L256" s="4" t="str">
        <f>IFERROR(__xludf.DUMMYFUNCTION("GOOGLETRANSLATE(B256,""en"",""es"")"),"Se necesita acceso a las fotos para elegir la imagen, habilítelo en la configuración y toque Listo.")</f>
        <v>Se necesita acceso a las fotos para elegir la imagen, habilítelo en la configuración y toque Listo.</v>
      </c>
      <c r="M256" s="4" t="str">
        <f>IFERROR(__xludf.DUMMYFUNCTION("GOOGLETRANSLATE(B256,""en"",""iw"")"),"יש צורך בגישה לתמונות כדי לבחור תמונה, אנא הפעל אותה בהגדרות והקש על סיום")</f>
        <v>יש צורך בגישה לתמונות כדי לבחור תמונה, אנא הפעל אותה בהגדרות והקש על סיום</v>
      </c>
      <c r="N256" s="4" t="str">
        <f>IFERROR(__xludf.DUMMYFUNCTION("GOOGLETRANSLATE(B256,""en"",""bn"")"),"ছবি বাছাই করার জন্য ফটো অ্যাক্সেস প্রয়োজন, দয়া করে সেটিংসে এটি সক্ষম করুন এবং সম্পন্ন আলতো চাপুন")</f>
        <v>ছবি বাছাই করার জন্য ফটো অ্যাক্সেস প্রয়োজন, দয়া করে সেটিংসে এটি সক্ষম করুন এবং সম্পন্ন আলতো চাপুন</v>
      </c>
      <c r="O256" s="4" t="str">
        <f>IFERROR(__xludf.DUMMYFUNCTION("GOOGLETRANSLATE(B256,""en"",""pt"")"),"O acesso às fotos é necessário para escolher a imagem. Ative-o nas configurações e toque em Concluído")</f>
        <v>O acesso às fotos é necessário para escolher a imagem. Ative-o nas configurações e toque em Concluído</v>
      </c>
      <c r="P256" s="6"/>
    </row>
    <row r="257">
      <c r="A257" s="7" t="s">
        <v>734</v>
      </c>
      <c r="B257" s="9" t="s">
        <v>735</v>
      </c>
      <c r="C257" s="4" t="str">
        <f>IFERROR(__xludf.DUMMYFUNCTION("GOOGLETRANSLATE(B257,""en"",""hi"")"),"ओटीपी दर्ज करें")</f>
        <v>ओटीपी दर्ज करें</v>
      </c>
      <c r="D257" s="4" t="str">
        <f>IFERROR(__xludf.DUMMYFUNCTION("GOOGLETRANSLATE(B257,""en"",""ar"")"),"أدخل كلمة المرور")</f>
        <v>أدخل كلمة المرور</v>
      </c>
      <c r="E257" s="4" t="str">
        <f>IFERROR(__xludf.DUMMYFUNCTION("GOOGLETRANSLATE(B257,""en"",""fr"")"),"Entrez OTP")</f>
        <v>Entrez OTP</v>
      </c>
      <c r="F257" s="4" t="str">
        <f>IFERROR(__xludf.DUMMYFUNCTION("GOOGLETRANSLATE(B257,""en"",""tr"")"),"Otp'ye girin")</f>
        <v>Otp'ye girin</v>
      </c>
      <c r="G257" s="4" t="str">
        <f>IFERROR(__xludf.DUMMYFUNCTION("GOOGLETRANSLATE(B257,""en"",""ru"")"),"Введите OTP")</f>
        <v>Введите OTP</v>
      </c>
      <c r="H257" s="4" t="str">
        <f>IFERROR(__xludf.DUMMYFUNCTION("GOOGLETRANSLATE(B257,""en"",""it"")"),"Inserisci Opt")</f>
        <v>Inserisci Opt</v>
      </c>
      <c r="I257" s="4" t="str">
        <f>IFERROR(__xludf.DUMMYFUNCTION("GOOGLETRANSLATE(B257,""en"",""de"")"),"Geben Sie Otp ein")</f>
        <v>Geben Sie Otp ein</v>
      </c>
      <c r="J257" s="4" t="str">
        <f>IFERROR(__xludf.DUMMYFUNCTION("GOOGLETRANSLATE(B257,""en"",""ko"")"),"OTP를 입력하세요")</f>
        <v>OTP를 입력하세요</v>
      </c>
      <c r="K257" s="4" t="str">
        <f>IFERROR(__xludf.DUMMYFUNCTION("GOOGLETRANSLATE(B257,""en"",""zh"")"),"输入OTP")</f>
        <v>输入OTP</v>
      </c>
      <c r="L257" s="4" t="str">
        <f>IFERROR(__xludf.DUMMYFUNCTION("GOOGLETRANSLATE(B257,""en"",""es"")"),"Ingrese a OTP")</f>
        <v>Ingrese a OTP</v>
      </c>
      <c r="M257" s="4" t="str">
        <f>IFERROR(__xludf.DUMMYFUNCTION("GOOGLETRANSLATE(B257,""en"",""iw"")"),"הזן Otp")</f>
        <v>הזן Otp</v>
      </c>
      <c r="N257" s="4" t="str">
        <f>IFERROR(__xludf.DUMMYFUNCTION("GOOGLETRANSLATE(B257,""en"",""bn"")"),"Otp লিখুন")</f>
        <v>Otp লিখুন</v>
      </c>
      <c r="O257" s="4" t="str">
        <f>IFERROR(__xludf.DUMMYFUNCTION("GOOGLETRANSLATE(B257,""en"",""pt"")"),"Digite OTP")</f>
        <v>Digite OTP</v>
      </c>
      <c r="P257" s="4"/>
    </row>
    <row r="258">
      <c r="A258" s="7" t="s">
        <v>736</v>
      </c>
      <c r="B258" s="9" t="s">
        <v>737</v>
      </c>
      <c r="C258" s="4" t="str">
        <f>IFERROR(__xludf.DUMMYFUNCTION("GOOGLETRANSLATE(B258,""en"",""hi"")"),"कार्ड द्वारा जोड़ें")</f>
        <v>कार्ड द्वारा जोड़ें</v>
      </c>
      <c r="D258" s="4" t="str">
        <f>IFERROR(__xludf.DUMMYFUNCTION("GOOGLETRANSLATE(B258,""en"",""ar"")"),"إضافة عن طريق البطاقة")</f>
        <v>إضافة عن طريق البطاقة</v>
      </c>
      <c r="E258" s="4" t="str">
        <f>IFERROR(__xludf.DUMMYFUNCTION("GOOGLETRANSLATE(B258,""en"",""fr"")"),"Ajouter par carte")</f>
        <v>Ajouter par carte</v>
      </c>
      <c r="F258" s="4" t="str">
        <f>IFERROR(__xludf.DUMMYFUNCTION("GOOGLETRANSLATE(B258,""en"",""tr"")"),"Karta Göre Ekle")</f>
        <v>Karta Göre Ekle</v>
      </c>
      <c r="G258" s="4" t="str">
        <f>IFERROR(__xludf.DUMMYFUNCTION("GOOGLETRANSLATE(B258,""en"",""ru"")"),"Добавить по карте")</f>
        <v>Добавить по карте</v>
      </c>
      <c r="H258" s="4" t="str">
        <f>IFERROR(__xludf.DUMMYFUNCTION("GOOGLETRANSLATE(B258,""en"",""it"")"),"Aggiungi tramite card")</f>
        <v>Aggiungi tramite card</v>
      </c>
      <c r="I258" s="4" t="str">
        <f>IFERROR(__xludf.DUMMYFUNCTION("GOOGLETRANSLATE(B258,""en"",""de"")"),"Per Karte hinzufügen")</f>
        <v>Per Karte hinzufügen</v>
      </c>
      <c r="J258" s="4" t="str">
        <f>IFERROR(__xludf.DUMMYFUNCTION("GOOGLETRANSLATE(B258,""en"",""ko"")"),"카드로 추가")</f>
        <v>카드로 추가</v>
      </c>
      <c r="K258" s="4" t="str">
        <f>IFERROR(__xludf.DUMMYFUNCTION("GOOGLETRANSLATE(B258,""en"",""zh"")"),"通过卡添加")</f>
        <v>通过卡添加</v>
      </c>
      <c r="L258" s="4" t="str">
        <f>IFERROR(__xludf.DUMMYFUNCTION("GOOGLETRANSLATE(B258,""en"",""es"")"),"Añadir por tarjeta")</f>
        <v>Añadir por tarjeta</v>
      </c>
      <c r="M258" s="4" t="str">
        <f>IFERROR(__xludf.DUMMYFUNCTION("GOOGLETRANSLATE(B258,""en"",""iw"")"),"הוסף באמצעות כרטיס")</f>
        <v>הוסף באמצעות כרטיס</v>
      </c>
      <c r="N258" s="4" t="str">
        <f>IFERROR(__xludf.DUMMYFUNCTION("GOOGLETRANSLATE(B258,""en"",""bn"")"),"কার্ড দ্বারা যোগ করুন")</f>
        <v>কার্ড দ্বারা যোগ করুন</v>
      </c>
      <c r="O258" s="4" t="str">
        <f>IFERROR(__xludf.DUMMYFUNCTION("GOOGLETRANSLATE(B258,""en"",""pt"")"),"Adicionar por cartão")</f>
        <v>Adicionar por cartão</v>
      </c>
      <c r="P258" s="4"/>
    </row>
    <row r="259">
      <c r="A259" s="7" t="s">
        <v>738</v>
      </c>
      <c r="B259" s="9" t="s">
        <v>739</v>
      </c>
      <c r="C259" s="4" t="str">
        <f>IFERROR(__xludf.DUMMYFUNCTION("GOOGLETRANSLATE(B259,""en"",""hi"")"),"कियॉस्क द्वारा जोड़ें")</f>
        <v>कियॉस्क द्वारा जोड़ें</v>
      </c>
      <c r="D259" s="4" t="str">
        <f>IFERROR(__xludf.DUMMYFUNCTION("GOOGLETRANSLATE(B259,""en"",""ar"")"),"أضف عن طريق الكشك")</f>
        <v>أضف عن طريق الكشك</v>
      </c>
      <c r="E259" s="4" t="str">
        <f>IFERROR(__xludf.DUMMYFUNCTION("GOOGLETRANSLATE(B259,""en"",""fr"")"),"Ajouter par kiosque")</f>
        <v>Ajouter par kiosque</v>
      </c>
      <c r="F259" s="4" t="str">
        <f>IFERROR(__xludf.DUMMYFUNCTION("GOOGLETRANSLATE(B259,""en"",""tr"")"),"Kiosk'tan ekle")</f>
        <v>Kiosk'tan ekle</v>
      </c>
      <c r="G259" s="4" t="str">
        <f>IFERROR(__xludf.DUMMYFUNCTION("GOOGLETRANSLATE(B259,""en"",""ru"")"),"Добавить через киоск")</f>
        <v>Добавить через киоск</v>
      </c>
      <c r="H259" s="4" t="str">
        <f>IFERROR(__xludf.DUMMYFUNCTION("GOOGLETRANSLATE(B259,""en"",""it"")"),"Aggiungi tramite Kiosk")</f>
        <v>Aggiungi tramite Kiosk</v>
      </c>
      <c r="I259" s="4" t="str">
        <f>IFERROR(__xludf.DUMMYFUNCTION("GOOGLETRANSLATE(B259,""en"",""de"")"),"Per Kiosk hinzufügen")</f>
        <v>Per Kiosk hinzufügen</v>
      </c>
      <c r="J259" s="4" t="str">
        <f>IFERROR(__xludf.DUMMYFUNCTION("GOOGLETRANSLATE(B259,""en"",""ko"")"),"키오스크에서 추가")</f>
        <v>키오스크에서 추가</v>
      </c>
      <c r="K259" s="4" t="str">
        <f>IFERROR(__xludf.DUMMYFUNCTION("GOOGLETRANSLATE(B259,""en"",""zh"")"),"通过信息亭添加")</f>
        <v>通过信息亭添加</v>
      </c>
      <c r="L259" s="4" t="str">
        <f>IFERROR(__xludf.DUMMYFUNCTION("GOOGLETRANSLATE(B259,""en"",""es"")"),"Añadir por quiosco")</f>
        <v>Añadir por quiosco</v>
      </c>
      <c r="M259" s="4" t="str">
        <f>IFERROR(__xludf.DUMMYFUNCTION("GOOGLETRANSLATE(B259,""en"",""iw"")"),"הוסף לפי קיוסק")</f>
        <v>הוסף לפי קיוסק</v>
      </c>
      <c r="N259" s="4" t="str">
        <f>IFERROR(__xludf.DUMMYFUNCTION("GOOGLETRANSLATE(B259,""en"",""bn"")"),"কিয়স্ক দ্বারা যোগ করুন")</f>
        <v>কিয়স্ক দ্বারা যোগ করুন</v>
      </c>
      <c r="O259" s="4" t="str">
        <f>IFERROR(__xludf.DUMMYFUNCTION("GOOGLETRANSLATE(B259,""en"",""pt"")"),"Adicionar por quiosque")</f>
        <v>Adicionar por quiosque</v>
      </c>
      <c r="P259" s="4"/>
    </row>
    <row r="260">
      <c r="A260" s="7" t="s">
        <v>740</v>
      </c>
      <c r="B260" s="9" t="s">
        <v>741</v>
      </c>
      <c r="C260" s="4" t="str">
        <f>IFERROR(__xludf.DUMMYFUNCTION("GOOGLETRANSLATE(B260,""en"",""hi"")"),"कार्ड से भुगतान करें")</f>
        <v>कार्ड से भुगतान करें</v>
      </c>
      <c r="D260" s="4" t="str">
        <f>IFERROR(__xludf.DUMMYFUNCTION("GOOGLETRANSLATE(B260,""en"",""ar"")"),"الدفع عن طريق البطاقة")</f>
        <v>الدفع عن طريق البطاقة</v>
      </c>
      <c r="E260" s="4" t="str">
        <f>IFERROR(__xludf.DUMMYFUNCTION("GOOGLETRANSLATE(B260,""en"",""fr"")"),"Payer par carte")</f>
        <v>Payer par carte</v>
      </c>
      <c r="F260" s="4" t="str">
        <f>IFERROR(__xludf.DUMMYFUNCTION("GOOGLETRANSLATE(B260,""en"",""tr"")"),"Kartla Ödeme")</f>
        <v>Kartla Ödeme</v>
      </c>
      <c r="G260" s="4" t="str">
        <f>IFERROR(__xludf.DUMMYFUNCTION("GOOGLETRANSLATE(B260,""en"",""ru"")"),"Оплата картой")</f>
        <v>Оплата картой</v>
      </c>
      <c r="H260" s="4" t="str">
        <f>IFERROR(__xludf.DUMMYFUNCTION("GOOGLETRANSLATE(B260,""en"",""it"")"),"Paga con carta")</f>
        <v>Paga con carta</v>
      </c>
      <c r="I260" s="4" t="str">
        <f>IFERROR(__xludf.DUMMYFUNCTION("GOOGLETRANSLATE(B260,""en"",""de"")"),"Bezahlen Sie mit Karte")</f>
        <v>Bezahlen Sie mit Karte</v>
      </c>
      <c r="J260" s="4" t="str">
        <f>IFERROR(__xludf.DUMMYFUNCTION("GOOGLETRANSLATE(B260,""en"",""ko"")"),"카드로 결제")</f>
        <v>카드로 결제</v>
      </c>
      <c r="K260" s="4" t="str">
        <f>IFERROR(__xludf.DUMMYFUNCTION("GOOGLETRANSLATE(B260,""en"",""zh"")"),"刷卡支付")</f>
        <v>刷卡支付</v>
      </c>
      <c r="L260" s="4" t="str">
        <f>IFERROR(__xludf.DUMMYFUNCTION("GOOGLETRANSLATE(B260,""en"",""es"")"),"Pagar con tarjeta")</f>
        <v>Pagar con tarjeta</v>
      </c>
      <c r="M260" s="4" t="str">
        <f>IFERROR(__xludf.DUMMYFUNCTION("GOOGLETRANSLATE(B260,""en"",""iw"")"),"שלם בכרטיס")</f>
        <v>שלם בכרטיס</v>
      </c>
      <c r="N260" s="4" t="str">
        <f>IFERROR(__xludf.DUMMYFUNCTION("GOOGLETRANSLATE(B260,""en"",""bn"")"),"কার্ড দ্বারা অর্থ প্রদান করুন")</f>
        <v>কার্ড দ্বারা অর্থ প্রদান করুন</v>
      </c>
      <c r="O260" s="4" t="str">
        <f>IFERROR(__xludf.DUMMYFUNCTION("GOOGLETRANSLATE(B260,""en"",""pt"")"),"Pague com cartão")</f>
        <v>Pague com cartão</v>
      </c>
      <c r="P260" s="4"/>
    </row>
    <row r="261">
      <c r="A261" s="7" t="s">
        <v>742</v>
      </c>
      <c r="B261" s="9" t="s">
        <v>743</v>
      </c>
      <c r="C261" s="4" t="str">
        <f>IFERROR(__xludf.DUMMYFUNCTION("GOOGLETRANSLATE(B261,""en"",""hi"")"),"कियॉस्क द्वारा भुगतान करें")</f>
        <v>कियॉस्क द्वारा भुगतान करें</v>
      </c>
      <c r="D261" s="4" t="str">
        <f>IFERROR(__xludf.DUMMYFUNCTION("GOOGLETRANSLATE(B261,""en"",""ar"")"),"الدفع عن طريق الكشك")</f>
        <v>الدفع عن طريق الكشك</v>
      </c>
      <c r="E261" s="4" t="str">
        <f>IFERROR(__xludf.DUMMYFUNCTION("GOOGLETRANSLATE(B261,""en"",""fr"")"),"Payer par kiosque")</f>
        <v>Payer par kiosque</v>
      </c>
      <c r="F261" s="4" t="str">
        <f>IFERROR(__xludf.DUMMYFUNCTION("GOOGLETRANSLATE(B261,""en"",""tr"")"),"Kiosk ile ödeme")</f>
        <v>Kiosk ile ödeme</v>
      </c>
      <c r="G261" s="4" t="str">
        <f>IFERROR(__xludf.DUMMYFUNCTION("GOOGLETRANSLATE(B261,""en"",""ru"")"),"Оплата через киоск")</f>
        <v>Оплата через киоск</v>
      </c>
      <c r="H261" s="4" t="str">
        <f>IFERROR(__xludf.DUMMYFUNCTION("GOOGLETRANSLATE(B261,""en"",""it"")"),"Paga tramite chiosco")</f>
        <v>Paga tramite chiosco</v>
      </c>
      <c r="I261" s="4" t="str">
        <f>IFERROR(__xludf.DUMMYFUNCTION("GOOGLETRANSLATE(B261,""en"",""de"")"),"Bezahlen Sie per Kiosk")</f>
        <v>Bezahlen Sie per Kiosk</v>
      </c>
      <c r="J261" s="4" t="str">
        <f>IFERROR(__xludf.DUMMYFUNCTION("GOOGLETRANSLATE(B261,""en"",""ko"")"),"키오스크 결제")</f>
        <v>키오스크 결제</v>
      </c>
      <c r="K261" s="4" t="str">
        <f>IFERROR(__xludf.DUMMYFUNCTION("GOOGLETRANSLATE(B261,""en"",""zh"")"),"通过信息亭支付")</f>
        <v>通过信息亭支付</v>
      </c>
      <c r="L261" s="4" t="str">
        <f>IFERROR(__xludf.DUMMYFUNCTION("GOOGLETRANSLATE(B261,""en"",""es"")"),"Pagar por quiosco")</f>
        <v>Pagar por quiosco</v>
      </c>
      <c r="M261" s="4" t="str">
        <f>IFERROR(__xludf.DUMMYFUNCTION("GOOGLETRANSLATE(B261,""en"",""iw"")"),"שלם בקיוסק")</f>
        <v>שלם בקיוסק</v>
      </c>
      <c r="N261" s="4" t="str">
        <f>IFERROR(__xludf.DUMMYFUNCTION("GOOGLETRANSLATE(B261,""en"",""bn"")"),"কিয়স্ক দ্বারা অর্থ প্রদান করুন")</f>
        <v>কিয়স্ক দ্বারা অর্থ প্রদান করুন</v>
      </c>
      <c r="O261" s="4" t="str">
        <f>IFERROR(__xludf.DUMMYFUNCTION("GOOGLETRANSLATE(B261,""en"",""pt"")"),"Pague por quiosque")</f>
        <v>Pague por quiosque</v>
      </c>
      <c r="P261" s="4"/>
    </row>
    <row r="262">
      <c r="A262" s="16" t="s">
        <v>744</v>
      </c>
      <c r="B262" s="9" t="s">
        <v>745</v>
      </c>
      <c r="C262" s="4" t="str">
        <f>IFERROR(__xludf.DUMMYFUNCTION("GOOGLETRANSLATE(B262,""en"",""hi"")"),"कृपया वैध ओटीपी दर्ज करें")</f>
        <v>कृपया वैध ओटीपी दर्ज करें</v>
      </c>
      <c r="D262" s="4" t="str">
        <f>IFERROR(__xludf.DUMMYFUNCTION("GOOGLETRANSLATE(B262,""en"",""ar"")"),"الرجاء إدخال كلمة المرور لمرة واحدة (OTP) صالحة")</f>
        <v>الرجاء إدخال كلمة المرور لمرة واحدة (OTP) صالحة</v>
      </c>
      <c r="E262" s="4" t="str">
        <f>IFERROR(__xludf.DUMMYFUNCTION("GOOGLETRANSLATE(B262,""en"",""fr"")"),"Veuillez saisir un OTP valide")</f>
        <v>Veuillez saisir un OTP valide</v>
      </c>
      <c r="F262" s="4" t="str">
        <f>IFERROR(__xludf.DUMMYFUNCTION("GOOGLETRANSLATE(B262,""en"",""tr"")"),"Lütfen geçerli OTP'yi girin")</f>
        <v>Lütfen geçerli OTP'yi girin</v>
      </c>
      <c r="G262" s="4" t="str">
        <f>IFERROR(__xludf.DUMMYFUNCTION("GOOGLETRANSLATE(B262,""en"",""ru"")"),"Пожалуйста, введите действительный OTP")</f>
        <v>Пожалуйста, введите действительный OTP</v>
      </c>
      <c r="H262" s="4" t="str">
        <f>IFERROR(__xludf.DUMMYFUNCTION("GOOGLETRANSLATE(B262,""en"",""it"")"),"Inserisci una OTP valida")</f>
        <v>Inserisci una OTP valida</v>
      </c>
      <c r="I262" s="4" t="str">
        <f>IFERROR(__xludf.DUMMYFUNCTION("GOOGLETRANSLATE(B262,""en"",""de"")"),"Bitte geben Sie ein gültiges OTP ein")</f>
        <v>Bitte geben Sie ein gültiges OTP ein</v>
      </c>
      <c r="J262" s="4" t="str">
        <f>IFERROR(__xludf.DUMMYFUNCTION("GOOGLETRANSLATE(B262,""en"",""ko"")"),"유효한 OTP를 입력하세요.")</f>
        <v>유효한 OTP를 입력하세요.</v>
      </c>
      <c r="K262" s="4" t="str">
        <f>IFERROR(__xludf.DUMMYFUNCTION("GOOGLETRANSLATE(B262,""en"",""zh"")"),"请输入有效的一次性密码")</f>
        <v>请输入有效的一次性密码</v>
      </c>
      <c r="L262" s="4" t="str">
        <f>IFERROR(__xludf.DUMMYFUNCTION("GOOGLETRANSLATE(B262,""en"",""es"")"),"Por favor ingresa una OTP válida")</f>
        <v>Por favor ingresa una OTP válida</v>
      </c>
      <c r="M262" s="4" t="str">
        <f>IFERROR(__xludf.DUMMYFUNCTION("GOOGLETRANSLATE(B262,""en"",""iw"")"),"נא להזין OTP חוקי")</f>
        <v>נא להזין OTP חוקי</v>
      </c>
      <c r="N262" s="4" t="str">
        <f>IFERROR(__xludf.DUMMYFUNCTION("GOOGLETRANSLATE(B262,""en"",""bn"")"),"অনুগ্রহ করে বৈধ OTP লিখুন")</f>
        <v>অনুগ্রহ করে বৈধ OTP লিখুন</v>
      </c>
      <c r="O262" s="4" t="str">
        <f>IFERROR(__xludf.DUMMYFUNCTION("GOOGLETRANSLATE(B262,""en"",""pt"")"),"Insira uma OTP válida")</f>
        <v>Insira uma OTP válida</v>
      </c>
      <c r="P262" s="4"/>
    </row>
    <row r="263">
      <c r="A263" s="16" t="s">
        <v>746</v>
      </c>
      <c r="B263" s="9" t="s">
        <v>747</v>
      </c>
      <c r="C263" s="4" t="str">
        <f>IFERROR(__xludf.DUMMYFUNCTION("GOOGLETRANSLATE(B263,""en"",""hi"")"),"बिल संदर्भ")</f>
        <v>बिल संदर्भ</v>
      </c>
      <c r="D263" s="4" t="str">
        <f>IFERROR(__xludf.DUMMYFUNCTION("GOOGLETRANSLATE(B263,""en"",""ar"")"),"مرجع الفاتورة")</f>
        <v>مرجع الفاتورة</v>
      </c>
      <c r="E263" s="4" t="str">
        <f>IFERROR(__xludf.DUMMYFUNCTION("GOOGLETRANSLATE(B263,""en"",""fr"")"),"Référence de facture")</f>
        <v>Référence de facture</v>
      </c>
      <c r="F263" s="4" t="str">
        <f>IFERROR(__xludf.DUMMYFUNCTION("GOOGLETRANSLATE(B263,""en"",""tr"")"),"Fatura Referansı")</f>
        <v>Fatura Referansı</v>
      </c>
      <c r="G263" s="4" t="str">
        <f>IFERROR(__xludf.DUMMYFUNCTION("GOOGLETRANSLATE(B263,""en"",""ru"")"),"Ссылка на законопроект")</f>
        <v>Ссылка на законопроект</v>
      </c>
      <c r="H263" s="4" t="str">
        <f>IFERROR(__xludf.DUMMYFUNCTION("GOOGLETRANSLATE(B263,""en"",""it"")"),"Riferimento alla fattura")</f>
        <v>Riferimento alla fattura</v>
      </c>
      <c r="I263" s="4" t="str">
        <f>IFERROR(__xludf.DUMMYFUNCTION("GOOGLETRANSLATE(B263,""en"",""de"")"),"Rechnungsreferenz")</f>
        <v>Rechnungsreferenz</v>
      </c>
      <c r="J263" s="4" t="str">
        <f>IFERROR(__xludf.DUMMYFUNCTION("GOOGLETRANSLATE(B263,""en"",""ko"")"),"청구서 참조")</f>
        <v>청구서 참조</v>
      </c>
      <c r="K263" s="4" t="str">
        <f>IFERROR(__xludf.DUMMYFUNCTION("GOOGLETRANSLATE(B263,""en"",""zh"")"),"账单参考")</f>
        <v>账单参考</v>
      </c>
      <c r="L263" s="4" t="str">
        <f>IFERROR(__xludf.DUMMYFUNCTION("GOOGLETRANSLATE(B263,""en"",""es"")"),"Referencia de factura")</f>
        <v>Referencia de factura</v>
      </c>
      <c r="M263" s="4" t="str">
        <f>IFERROR(__xludf.DUMMYFUNCTION("GOOGLETRANSLATE(B263,""en"",""iw"")"),"הפניה לחשבון")</f>
        <v>הפניה לחשבון</v>
      </c>
      <c r="N263" s="4" t="str">
        <f>IFERROR(__xludf.DUMMYFUNCTION("GOOGLETRANSLATE(B263,""en"",""bn"")"),"বিল রেফারেন্স")</f>
        <v>বিল রেফারেন্স</v>
      </c>
      <c r="O263" s="4" t="str">
        <f>IFERROR(__xludf.DUMMYFUNCTION("GOOGLETRANSLATE(B263,""en"",""pt"")"),"Referência de fatura")</f>
        <v>Referência de fatura</v>
      </c>
      <c r="P263" s="4"/>
    </row>
    <row r="264">
      <c r="A264" s="7" t="s">
        <v>748</v>
      </c>
      <c r="B264" s="3" t="s">
        <v>749</v>
      </c>
      <c r="C264" s="4" t="str">
        <f>IFERROR(__xludf.DUMMYFUNCTION("GOOGLETRANSLATE(B264,""en"",""hi"")"),"सदस्यता")</f>
        <v>सदस्यता</v>
      </c>
      <c r="D264" s="4" t="str">
        <f>IFERROR(__xludf.DUMMYFUNCTION("GOOGLETRANSLATE(B264,""en"",""ar"")"),"الاشتراكات")</f>
        <v>الاشتراكات</v>
      </c>
      <c r="E264" s="4" t="str">
        <f>IFERROR(__xludf.DUMMYFUNCTION("GOOGLETRANSLATE(B264,""en"",""fr"")"),"Abonnements")</f>
        <v>Abonnements</v>
      </c>
      <c r="F264" s="4" t="str">
        <f>IFERROR(__xludf.DUMMYFUNCTION("GOOGLETRANSLATE(B264,""en"",""tr"")"),"Abonelikler")</f>
        <v>Abonelikler</v>
      </c>
      <c r="G264" s="4" t="str">
        <f>IFERROR(__xludf.DUMMYFUNCTION("GOOGLETRANSLATE(B264,""en"",""ru"")"),"Подписки")</f>
        <v>Подписки</v>
      </c>
      <c r="H264" s="4" t="str">
        <f>IFERROR(__xludf.DUMMYFUNCTION("GOOGLETRANSLATE(B264,""en"",""it"")"),"Abbonamenti")</f>
        <v>Abbonamenti</v>
      </c>
      <c r="I264" s="4" t="str">
        <f>IFERROR(__xludf.DUMMYFUNCTION("GOOGLETRANSLATE(B264,""en"",""de"")"),"Abonnements")</f>
        <v>Abonnements</v>
      </c>
      <c r="J264" s="4" t="str">
        <f>IFERROR(__xludf.DUMMYFUNCTION("GOOGLETRANSLATE(B264,""en"",""ko"")"),"구독")</f>
        <v>구독</v>
      </c>
      <c r="K264" s="4" t="str">
        <f>IFERROR(__xludf.DUMMYFUNCTION("GOOGLETRANSLATE(B264,""en"",""zh"")"),"订阅")</f>
        <v>订阅</v>
      </c>
      <c r="L264" s="4" t="str">
        <f>IFERROR(__xludf.DUMMYFUNCTION("GOOGLETRANSLATE(B264,""en"",""es"")"),"Suscripciones")</f>
        <v>Suscripciones</v>
      </c>
      <c r="M264" s="4" t="str">
        <f>IFERROR(__xludf.DUMMYFUNCTION("GOOGLETRANSLATE(B264,""en"",""iw"")"),"מנויים")</f>
        <v>מנויים</v>
      </c>
      <c r="N264" s="4" t="str">
        <f>IFERROR(__xludf.DUMMYFUNCTION("GOOGLETRANSLATE(B264,""en"",""bn"")"),"সদস্যতা")</f>
        <v>সদস্যতা</v>
      </c>
      <c r="O264" s="4" t="str">
        <f>IFERROR(__xludf.DUMMYFUNCTION("GOOGLETRANSLATE(B264,""en"",""pt"")"),"Assinaturas")</f>
        <v>Assinaturas</v>
      </c>
      <c r="P264" s="4"/>
    </row>
    <row r="265">
      <c r="A265" s="7" t="s">
        <v>750</v>
      </c>
      <c r="B265" s="3" t="s">
        <v>751</v>
      </c>
      <c r="C265" s="4" t="str">
        <f>IFERROR(__xludf.DUMMYFUNCTION("GOOGLETRANSLATE(B265,""en"",""hi"")"),"जारी रखने के लिए एक योजना चुनें")</f>
        <v>जारी रखने के लिए एक योजना चुनें</v>
      </c>
      <c r="D265" s="4" t="str">
        <f>IFERROR(__xludf.DUMMYFUNCTION("GOOGLETRANSLATE(B265,""en"",""ar"")"),"حدد خطة للمتابعة")</f>
        <v>حدد خطة للمتابعة</v>
      </c>
      <c r="E265" s="4" t="str">
        <f>IFERROR(__xludf.DUMMYFUNCTION("GOOGLETRANSLATE(B265,""en"",""fr"")"),"Sélectionnez un forfait pour continuer")</f>
        <v>Sélectionnez un forfait pour continuer</v>
      </c>
      <c r="F265" s="4" t="str">
        <f>IFERROR(__xludf.DUMMYFUNCTION("GOOGLETRANSLATE(B265,""en"",""tr"")"),"Devam etmek için bir plan seçin")</f>
        <v>Devam etmek için bir plan seçin</v>
      </c>
      <c r="G265" s="4" t="str">
        <f>IFERROR(__xludf.DUMMYFUNCTION("GOOGLETRANSLATE(B265,""en"",""ru"")"),"Выберите план, чтобы продолжить")</f>
        <v>Выберите план, чтобы продолжить</v>
      </c>
      <c r="H265" s="4" t="str">
        <f>IFERROR(__xludf.DUMMYFUNCTION("GOOGLETRANSLATE(B265,""en"",""it"")"),"Seleziona un piano per continuare")</f>
        <v>Seleziona un piano per continuare</v>
      </c>
      <c r="I265" s="4" t="str">
        <f>IFERROR(__xludf.DUMMYFUNCTION("GOOGLETRANSLATE(B265,""en"",""de"")"),"Wählen Sie einen Plan aus, um fortzufahren")</f>
        <v>Wählen Sie einen Plan aus, um fortzufahren</v>
      </c>
      <c r="J265" s="4" t="str">
        <f>IFERROR(__xludf.DUMMYFUNCTION("GOOGLETRANSLATE(B265,""en"",""ko"")"),"계속하려면 계획을 선택하세요")</f>
        <v>계속하려면 계획을 선택하세요</v>
      </c>
      <c r="K265" s="4" t="str">
        <f>IFERROR(__xludf.DUMMYFUNCTION("GOOGLETRANSLATE(B265,""en"",""zh"")"),"选择一个计划继续")</f>
        <v>选择一个计划继续</v>
      </c>
      <c r="L265" s="4" t="str">
        <f>IFERROR(__xludf.DUMMYFUNCTION("GOOGLETRANSLATE(B265,""en"",""es"")"),"Selecciona un plan para continuar")</f>
        <v>Selecciona un plan para continuar</v>
      </c>
      <c r="M265" s="4" t="str">
        <f>IFERROR(__xludf.DUMMYFUNCTION("GOOGLETRANSLATE(B265,""en"",""iw"")"),"בחר תוכנית להמשך")</f>
        <v>בחר תוכנית להמשך</v>
      </c>
      <c r="N265" s="4" t="str">
        <f>IFERROR(__xludf.DUMMYFUNCTION("GOOGLETRANSLATE(B265,""en"",""bn"")"),"চালিয়ে যাওয়ার জন্য একটি পরিকল্পনা নির্বাচন করুন")</f>
        <v>চালিয়ে যাওয়ার জন্য একটি পরিকল্পনা নির্বাচন করুন</v>
      </c>
      <c r="O265" s="4" t="str">
        <f>IFERROR(__xludf.DUMMYFUNCTION("GOOGLETRANSLATE(B265,""en"",""pt"")"),"Selecione um plano para continuar")</f>
        <v>Selecione um plano para continuar</v>
      </c>
      <c r="P265" s="4"/>
    </row>
    <row r="266">
      <c r="A266" s="7" t="s">
        <v>752</v>
      </c>
      <c r="B266" s="3" t="s">
        <v>753</v>
      </c>
      <c r="C266" s="4" t="str">
        <f>IFERROR(__xludf.DUMMYFUNCTION("GOOGLETRANSLATE(B266,""en"",""hi"")"),"अपने वॉलेट में स्पॉट भुगतान")</f>
        <v>अपने वॉलेट में स्पॉट भुगतान</v>
      </c>
      <c r="D266" s="4" t="str">
        <f>IFERROR(__xludf.DUMMYFUNCTION("GOOGLETRANSLATE(B266,""en"",""ar"")"),"بقعة الدفع إلى محفظتك")</f>
        <v>بقعة الدفع إلى محفظتك</v>
      </c>
      <c r="E266" s="4" t="str">
        <f>IFERROR(__xludf.DUMMYFUNCTION("GOOGLETRANSLATE(B266,""en"",""fr"")"),"Paiement ponctuel sur votre portefeuille")</f>
        <v>Paiement ponctuel sur votre portefeuille</v>
      </c>
      <c r="F266" s="4" t="str">
        <f>IFERROR(__xludf.DUMMYFUNCTION("GOOGLETRANSLATE(B266,""en"",""tr"")"),"Cüzdanınıza spot ödeme")</f>
        <v>Cüzdanınıza spot ödeme</v>
      </c>
      <c r="G266" s="4" t="str">
        <f>IFERROR(__xludf.DUMMYFUNCTION("GOOGLETRANSLATE(B266,""en"",""ru"")"),"Спотовый платеж на ваш кошелек")</f>
        <v>Спотовый платеж на ваш кошелек</v>
      </c>
      <c r="H266" s="4" t="str">
        <f>IFERROR(__xludf.DUMMYFUNCTION("GOOGLETRANSLATE(B266,""en"",""it"")"),"Pagamento spot sul tuo portafoglio")</f>
        <v>Pagamento spot sul tuo portafoglio</v>
      </c>
      <c r="I266" s="4" t="str">
        <f>IFERROR(__xludf.DUMMYFUNCTION("GOOGLETRANSLATE(B266,""en"",""de"")"),"Sofortige Zahlung auf Ihr Portemonnaie")</f>
        <v>Sofortige Zahlung auf Ihr Portemonnaie</v>
      </c>
      <c r="J266" s="4" t="str">
        <f>IFERROR(__xludf.DUMMYFUNCTION("GOOGLETRANSLATE(B266,""en"",""ko"")"),"지갑으로 즉시 결제")</f>
        <v>지갑으로 즉시 결제</v>
      </c>
      <c r="K266" s="4" t="str">
        <f>IFERROR(__xludf.DUMMYFUNCTION("GOOGLETRANSLATE(B266,""en"",""zh"")"),"即期付款到您的钱包")</f>
        <v>即期付款到您的钱包</v>
      </c>
      <c r="L266" s="4" t="str">
        <f>IFERROR(__xludf.DUMMYFUNCTION("GOOGLETRANSLATE(B266,""en"",""es"")"),"Pago al contado en su billetera")</f>
        <v>Pago al contado en su billetera</v>
      </c>
      <c r="M266" s="4" t="str">
        <f>IFERROR(__xludf.DUMMYFUNCTION("GOOGLETRANSLATE(B266,""en"",""iw"")"),"תשלום נקודתי לארנק")</f>
        <v>תשלום נקודתי לארנק</v>
      </c>
      <c r="N266" s="4" t="str">
        <f>IFERROR(__xludf.DUMMYFUNCTION("GOOGLETRANSLATE(B266,""en"",""bn"")"),"আপনার ওয়ালেটে স্পট পেমেন্ট")</f>
        <v>আপনার ওয়ালেটে স্পট পেমেন্ট</v>
      </c>
      <c r="O266" s="4" t="str">
        <f>IFERROR(__xludf.DUMMYFUNCTION("GOOGLETRANSLATE(B266,""en"",""pt"")"),"Pagamento à vista em sua carteira")</f>
        <v>Pagamento à vista em sua carteira</v>
      </c>
      <c r="P266" s="4"/>
    </row>
    <row r="267">
      <c r="A267" s="7" t="s">
        <v>754</v>
      </c>
      <c r="B267" s="9" t="s">
        <v>755</v>
      </c>
      <c r="C267" s="4" t="str">
        <f>IFERROR(__xludf.DUMMYFUNCTION("GOOGLETRANSLATE(B267,""en"",""hi"")"),"पूरी रकम मिलने का लाभ")</f>
        <v>पूरी रकम मिलने का लाभ</v>
      </c>
      <c r="D267" s="4" t="str">
        <f>IFERROR(__xludf.DUMMYFUNCTION("GOOGLETRANSLATE(B267,""en"",""ar"")"),"فوائد الحصول على المبلغ كاملا")</f>
        <v>فوائد الحصول على المبلغ كاملا</v>
      </c>
      <c r="E267" s="4" t="str">
        <f>IFERROR(__xludf.DUMMYFUNCTION("GOOGLETRANSLATE(B267,""en"",""fr"")"),"Avantages d'obtenir le montant total")</f>
        <v>Avantages d'obtenir le montant total</v>
      </c>
      <c r="F267" s="4" t="str">
        <f>IFERROR(__xludf.DUMMYFUNCTION("GOOGLETRANSLATE(B267,""en"",""tr"")"),"Tutarın tamamını almanın faydaları")</f>
        <v>Tutarın tamamını almanın faydaları</v>
      </c>
      <c r="G267" s="4" t="str">
        <f>IFERROR(__xludf.DUMMYFUNCTION("GOOGLETRANSLATE(B267,""en"",""ru"")"),"Преимущества получения всей суммы")</f>
        <v>Преимущества получения всей суммы</v>
      </c>
      <c r="H267" s="4" t="str">
        <f>IFERROR(__xludf.DUMMYFUNCTION("GOOGLETRANSLATE(B267,""en"",""it"")"),"Vantaggi di ottenere l'intero importo")</f>
        <v>Vantaggi di ottenere l'intero importo</v>
      </c>
      <c r="I267" s="4" t="str">
        <f>IFERROR(__xludf.DUMMYFUNCTION("GOOGLETRANSLATE(B267,""en"",""de"")"),"Vorteile, wenn Sie den gesamten Betrag erhalten")</f>
        <v>Vorteile, wenn Sie den gesamten Betrag erhalten</v>
      </c>
      <c r="J267" s="4" t="str">
        <f>IFERROR(__xludf.DUMMYFUNCTION("GOOGLETRANSLATE(B267,""en"",""ko"")"),"전액 수령 혜택")</f>
        <v>전액 수령 혜택</v>
      </c>
      <c r="K267" s="4" t="str">
        <f>IFERROR(__xludf.DUMMYFUNCTION("GOOGLETRANSLATE(B267,""en"",""zh"")"),"获得全额的好处")</f>
        <v>获得全额的好处</v>
      </c>
      <c r="L267" s="4" t="str">
        <f>IFERROR(__xludf.DUMMYFUNCTION("GOOGLETRANSLATE(B267,""en"",""es"")"),"Beneficios de obtener el monto total")</f>
        <v>Beneficios de obtener el monto total</v>
      </c>
      <c r="M267" s="4" t="str">
        <f>IFERROR(__xludf.DUMMYFUNCTION("GOOGLETRANSLATE(B267,""en"",""iw"")"),"היתרונות של קבלת כמות מלאה")</f>
        <v>היתרונות של קבלת כמות מלאה</v>
      </c>
      <c r="N267" s="4" t="str">
        <f>IFERROR(__xludf.DUMMYFUNCTION("GOOGLETRANSLATE(B267,""en"",""bn"")"),"পুরো পরিমাণ পাওয়ার সুবিধা")</f>
        <v>পুরো পরিমাণ পাওয়ার সুবিধা</v>
      </c>
      <c r="O267" s="4" t="str">
        <f>IFERROR(__xludf.DUMMYFUNCTION("GOOGLETRANSLATE(B267,""en"",""pt"")"),"Benefícios de obter o valor total")</f>
        <v>Benefícios de obter o valor total</v>
      </c>
      <c r="P267" s="4"/>
    </row>
    <row r="268">
      <c r="A268" s="7" t="s">
        <v>756</v>
      </c>
      <c r="B268" s="9" t="s">
        <v>757</v>
      </c>
      <c r="C268" s="4" t="str">
        <f>IFERROR(__xludf.DUMMYFUNCTION("GOOGLETRANSLATE(B268,""en"",""hi"")"),"प्राथमिकता ग्राहक सहायता प्राप्त करें")</f>
        <v>प्राथमिकता ग्राहक सहायता प्राप्त करें</v>
      </c>
      <c r="D268" s="4" t="str">
        <f>IFERROR(__xludf.DUMMYFUNCTION("GOOGLETRANSLATE(B268,""en"",""ar"")"),"احصل على أولوية دعم العملاء")</f>
        <v>احصل على أولوية دعم العملاء</v>
      </c>
      <c r="E268" s="4" t="str">
        <f>IFERROR(__xludf.DUMMYFUNCTION("GOOGLETRANSLATE(B268,""en"",""fr"")"),"Bénéficiez d'un support client prioritaire")</f>
        <v>Bénéficiez d'un support client prioritaire</v>
      </c>
      <c r="F268" s="4" t="str">
        <f>IFERROR(__xludf.DUMMYFUNCTION("GOOGLETRANSLATE(B268,""en"",""tr"")"),"Öncelikli müşteri desteği alın")</f>
        <v>Öncelikli müşteri desteği alın</v>
      </c>
      <c r="G268" s="4" t="str">
        <f>IFERROR(__xludf.DUMMYFUNCTION("GOOGLETRANSLATE(B268,""en"",""ru"")"),"Получите приоритетную поддержку клиентов")</f>
        <v>Получите приоритетную поддержку клиентов</v>
      </c>
      <c r="H268" s="4" t="str">
        <f>IFERROR(__xludf.DUMMYFUNCTION("GOOGLETRANSLATE(B268,""en"",""it"")"),"Ottieni assistenza clienti prioritaria")</f>
        <v>Ottieni assistenza clienti prioritaria</v>
      </c>
      <c r="I268" s="4" t="str">
        <f>IFERROR(__xludf.DUMMYFUNCTION("GOOGLETRANSLATE(B268,""en"",""de"")"),"Erhalten Sie vorrangigen Kundensupport")</f>
        <v>Erhalten Sie vorrangigen Kundensupport</v>
      </c>
      <c r="J268" s="4" t="str">
        <f>IFERROR(__xludf.DUMMYFUNCTION("GOOGLETRANSLATE(B268,""en"",""ko"")"),"우선 고객 지원 받기")</f>
        <v>우선 고객 지원 받기</v>
      </c>
      <c r="K268" s="4" t="str">
        <f>IFERROR(__xludf.DUMMYFUNCTION("GOOGLETRANSLATE(B268,""en"",""zh"")"),"获得优先客户支持")</f>
        <v>获得优先客户支持</v>
      </c>
      <c r="L268" s="4" t="str">
        <f>IFERROR(__xludf.DUMMYFUNCTION("GOOGLETRANSLATE(B268,""en"",""es"")"),"Obtenga atención al cliente prioritaria")</f>
        <v>Obtenga atención al cliente prioritaria</v>
      </c>
      <c r="M268" s="4" t="str">
        <f>IFERROR(__xludf.DUMMYFUNCTION("GOOGLETRANSLATE(B268,""en"",""iw"")"),"קבל תמיכת לקוחות בעדיפות")</f>
        <v>קבל תמיכת לקוחות בעדיפות</v>
      </c>
      <c r="N268" s="4" t="str">
        <f>IFERROR(__xludf.DUMMYFUNCTION("GOOGLETRANSLATE(B268,""en"",""bn"")"),"অগ্রাধিকার গ্রাহক সমর্থন পান")</f>
        <v>অগ্রাধিকার গ্রাহক সমর্থন পান</v>
      </c>
      <c r="O268" s="4" t="str">
        <f>IFERROR(__xludf.DUMMYFUNCTION("GOOGLETRANSLATE(B268,""en"",""pt"")"),"Obtenha suporte prioritário ao cliente")</f>
        <v>Obtenha suporte prioritário ao cliente</v>
      </c>
      <c r="P268" s="4"/>
    </row>
    <row r="269">
      <c r="A269" s="7" t="s">
        <v>758</v>
      </c>
      <c r="B269" s="9" t="s">
        <v>759</v>
      </c>
      <c r="C269" s="4" t="str">
        <f>IFERROR(__xludf.DUMMYFUNCTION("GOOGLETRANSLATE(B269,""en"",""hi"")"),"0% कमीशन")</f>
        <v>0% कमीशन</v>
      </c>
      <c r="D269" s="4" t="str">
        <f>IFERROR(__xludf.DUMMYFUNCTION("GOOGLETRANSLATE(B269,""en"",""ar"")"),"عمولة 0%")</f>
        <v>عمولة 0%</v>
      </c>
      <c r="E269" s="4" t="str">
        <f>IFERROR(__xludf.DUMMYFUNCTION("GOOGLETRANSLATE(B269,""en"",""fr"")"),"0% de commission")</f>
        <v>0% de commission</v>
      </c>
      <c r="F269" s="4" t="str">
        <f>IFERROR(__xludf.DUMMYFUNCTION("GOOGLETRANSLATE(B269,""en"",""tr"")"),"%0 komisyon")</f>
        <v>%0 komisyon</v>
      </c>
      <c r="G269" s="4" t="str">
        <f>IFERROR(__xludf.DUMMYFUNCTION("GOOGLETRANSLATE(B269,""en"",""ru"")"),"0% комиссия")</f>
        <v>0% комиссия</v>
      </c>
      <c r="H269" s="4" t="str">
        <f>IFERROR(__xludf.DUMMYFUNCTION("GOOGLETRANSLATE(B269,""en"",""it"")"),"Commissione 0%.")</f>
        <v>Commissione 0%.</v>
      </c>
      <c r="I269" s="4" t="str">
        <f>IFERROR(__xludf.DUMMYFUNCTION("GOOGLETRANSLATE(B269,""en"",""de"")"),"0 % Provision")</f>
        <v>0 % Provision</v>
      </c>
      <c r="J269" s="4" t="str">
        <f>IFERROR(__xludf.DUMMYFUNCTION("GOOGLETRANSLATE(B269,""en"",""ko"")"),"수수료 0%")</f>
        <v>수수료 0%</v>
      </c>
      <c r="K269" s="4" t="str">
        <f>IFERROR(__xludf.DUMMYFUNCTION("GOOGLETRANSLATE(B269,""en"",""zh"")"),"0% 佣金")</f>
        <v>0% 佣金</v>
      </c>
      <c r="L269" s="4" t="str">
        <f>IFERROR(__xludf.DUMMYFUNCTION("GOOGLETRANSLATE(B269,""en"",""es"")"),"0% de comisión")</f>
        <v>0% de comisión</v>
      </c>
      <c r="M269" s="4" t="str">
        <f>IFERROR(__xludf.DUMMYFUNCTION("GOOGLETRANSLATE(B269,""en"",""iw"")"),"0% עמלה")</f>
        <v>0% עמלה</v>
      </c>
      <c r="N269" s="4" t="str">
        <f>IFERROR(__xludf.DUMMYFUNCTION("GOOGLETRANSLATE(B269,""en"",""bn"")"),"0% কমিশন")</f>
        <v>0% কমিশন</v>
      </c>
      <c r="O269" s="4" t="str">
        <f>IFERROR(__xludf.DUMMYFUNCTION("GOOGLETRANSLATE(B269,""en"",""pt"")"),"0% de comissão")</f>
        <v>0% de comissão</v>
      </c>
      <c r="P269" s="4"/>
    </row>
    <row r="270">
      <c r="A270" s="16" t="s">
        <v>760</v>
      </c>
      <c r="B270" s="3" t="s">
        <v>761</v>
      </c>
      <c r="C270" s="4" t="str">
        <f>IFERROR(__xludf.DUMMYFUNCTION("GOOGLETRANSLATE(B270,""en"",""hi"")"),"आपकी सदस्यता समाप्त हो गई है")</f>
        <v>आपकी सदस्यता समाप्त हो गई है</v>
      </c>
      <c r="D270" s="4" t="str">
        <f>IFERROR(__xludf.DUMMYFUNCTION("GOOGLETRANSLATE(B270,""en"",""ar"")"),"انتهى اشتراكك")</f>
        <v>انتهى اشتراكك</v>
      </c>
      <c r="E270" s="4" t="str">
        <f>IFERROR(__xludf.DUMMYFUNCTION("GOOGLETRANSLATE(B270,""en"",""fr"")"),"Votre abonnement est terminé")</f>
        <v>Votre abonnement est terminé</v>
      </c>
      <c r="F270" s="4" t="str">
        <f>IFERROR(__xludf.DUMMYFUNCTION("GOOGLETRANSLATE(B270,""en"",""tr"")"),"Aboneliğiniz sona erdi")</f>
        <v>Aboneliğiniz sona erdi</v>
      </c>
      <c r="G270" s="4" t="str">
        <f>IFERROR(__xludf.DUMMYFUNCTION("GOOGLETRANSLATE(B270,""en"",""ru"")"),"Ваша подписка окончена")</f>
        <v>Ваша подписка окончена</v>
      </c>
      <c r="H270" s="4" t="str">
        <f>IFERROR(__xludf.DUMMYFUNCTION("GOOGLETRANSLATE(B270,""en"",""it"")"),"Il tuo abbonamento è terminato")</f>
        <v>Il tuo abbonamento è terminato</v>
      </c>
      <c r="I270" s="4" t="str">
        <f>IFERROR(__xludf.DUMMYFUNCTION("GOOGLETRANSLATE(B270,""en"",""de"")"),"Ihr Abonnement ist beendet")</f>
        <v>Ihr Abonnement ist beendet</v>
      </c>
      <c r="J270" s="4" t="str">
        <f>IFERROR(__xludf.DUMMYFUNCTION("GOOGLETRANSLATE(B270,""en"",""ko"")"),"구독이 종료되었습니다")</f>
        <v>구독이 종료되었습니다</v>
      </c>
      <c r="K270" s="4" t="str">
        <f>IFERROR(__xludf.DUMMYFUNCTION("GOOGLETRANSLATE(B270,""en"",""zh"")"),"您的订阅已结束")</f>
        <v>您的订阅已结束</v>
      </c>
      <c r="L270" s="4" t="str">
        <f>IFERROR(__xludf.DUMMYFUNCTION("GOOGLETRANSLATE(B270,""en"",""es"")"),"Tu suscripción ha finalizado")</f>
        <v>Tu suscripción ha finalizado</v>
      </c>
      <c r="M270" s="4" t="str">
        <f>IFERROR(__xludf.DUMMYFUNCTION("GOOGLETRANSLATE(B270,""en"",""iw"")"),"המנוי שלך הסתיים")</f>
        <v>המנוי שלך הסתיים</v>
      </c>
      <c r="N270" s="4" t="str">
        <f>IFERROR(__xludf.DUMMYFUNCTION("GOOGLETRANSLATE(B270,""en"",""bn"")"),"আপনার সদস্যতা শেষ হয়েছে")</f>
        <v>আপনার সদস্যতা শেষ হয়েছে</v>
      </c>
      <c r="O270" s="4" t="str">
        <f>IFERROR(__xludf.DUMMYFUNCTION("GOOGLETRANSLATE(B270,""en"",""pt"")"),"Sua assinatura terminou")</f>
        <v>Sua assinatura terminou</v>
      </c>
      <c r="P270" s="4"/>
    </row>
    <row r="271">
      <c r="A271" s="16" t="s">
        <v>762</v>
      </c>
      <c r="B271" s="3" t="s">
        <v>763</v>
      </c>
      <c r="C271" s="4" t="str">
        <f>IFERROR(__xludf.DUMMYFUNCTION("GOOGLETRANSLATE(B271,""en"",""hi"")"),"आपकी सदस्यता समाप्त हो गई है ")</f>
        <v>आपकी सदस्यता समाप्त हो गई है </v>
      </c>
      <c r="D271" s="4" t="str">
        <f>IFERROR(__xludf.DUMMYFUNCTION("GOOGLETRANSLATE(B271,""en"",""ar"")"),"لقد انتهى اشتراكك في ")</f>
        <v>لقد انتهى اشتراكك في </v>
      </c>
      <c r="E271" s="4" t="str">
        <f>IFERROR(__xludf.DUMMYFUNCTION("GOOGLETRANSLATE(B271,""en"",""fr"")"),"Votre abonnement a pris fin le ")</f>
        <v>Votre abonnement a pris fin le </v>
      </c>
      <c r="F271" s="4" t="str">
        <f>IFERROR(__xludf.DUMMYFUNCTION("GOOGLETRANSLATE(B271,""en"",""tr"")"),"Aboneliğiniz şu tarihte sona erdi ")</f>
        <v>Aboneliğiniz şu tarihte sona erdi </v>
      </c>
      <c r="G271" s="4" t="str">
        <f>IFERROR(__xludf.DUMMYFUNCTION("GOOGLETRANSLATE(B271,""en"",""ru"")"),"Ваша подписка закончилась ")</f>
        <v>Ваша подписка закончилась </v>
      </c>
      <c r="H271" s="4" t="str">
        <f>IFERROR(__xludf.DUMMYFUNCTION("GOOGLETRANSLATE(B271,""en"",""it"")"),"Il tuo abbonamento è terminato il ")</f>
        <v>Il tuo abbonamento è terminato il </v>
      </c>
      <c r="I271" s="4" t="str">
        <f>IFERROR(__xludf.DUMMYFUNCTION("GOOGLETRANSLATE(B271,""en"",""de"")"),"Ihr Abonnement ist am abgelaufen ")</f>
        <v>Ihr Abonnement ist am abgelaufen </v>
      </c>
      <c r="J271" s="4" t="str">
        <f>IFERROR(__xludf.DUMMYFUNCTION("GOOGLETRANSLATE(B271,""en"",""ko"")"),"귀하의 구독이 종료되었습니다 ")</f>
        <v>귀하의 구독이 종료되었습니다 </v>
      </c>
      <c r="K271" s="4" t="str">
        <f>IFERROR(__xludf.DUMMYFUNCTION("GOOGLETRANSLATE(B271,""en"",""zh"")"),"您的订阅已结束于 ")</f>
        <v>您的订阅已结束于 </v>
      </c>
      <c r="L271" s="4" t="str">
        <f>IFERROR(__xludf.DUMMYFUNCTION("GOOGLETRANSLATE(B271,""en"",""es"")"),"Su suscripción ha finalizado el ")</f>
        <v>Su suscripción ha finalizado el </v>
      </c>
      <c r="M271" s="4" t="str">
        <f>IFERROR(__xludf.DUMMYFUNCTION("GOOGLETRANSLATE(B271,""en"",""iw"")"),"המנוי שלך הסתיים ב ")</f>
        <v>המנוי שלך הסתיים ב </v>
      </c>
      <c r="N271" s="4" t="str">
        <f>IFERROR(__xludf.DUMMYFUNCTION("GOOGLETRANSLATE(B271,""en"",""bn"")"),"আপনার সদস্যতা শেষ হয়েছে ")</f>
        <v>আপনার সদস্যতা শেষ হয়েছে </v>
      </c>
      <c r="O271" s="4" t="str">
        <f>IFERROR(__xludf.DUMMYFUNCTION("GOOGLETRANSLATE(B271,""en"",""pt"")"),"Sua assinatura terminou em ")</f>
        <v>Sua assinatura terminou em </v>
      </c>
      <c r="P271" s="4"/>
    </row>
    <row r="272">
      <c r="A272" s="17" t="s">
        <v>764</v>
      </c>
      <c r="B272" s="3" t="s">
        <v>765</v>
      </c>
      <c r="C272" s="4" t="str">
        <f>IFERROR(__xludf.DUMMYFUNCTION("GOOGLETRANSLATE(B272,""en"",""hi"")"),"अब खरीदें")</f>
        <v>अब खरीदें</v>
      </c>
      <c r="D272" s="4" t="str">
        <f>IFERROR(__xludf.DUMMYFUNCTION("GOOGLETRANSLATE(B272,""en"",""ar"")"),"شراء الآن")</f>
        <v>شراء الآن</v>
      </c>
      <c r="E272" s="4" t="str">
        <f>IFERROR(__xludf.DUMMYFUNCTION("GOOGLETRANSLATE(B272,""en"",""fr"")"),"Achetez maintenant")</f>
        <v>Achetez maintenant</v>
      </c>
      <c r="F272" s="4" t="str">
        <f>IFERROR(__xludf.DUMMYFUNCTION("GOOGLETRANSLATE(B272,""en"",""tr"")"),"Şimdi satın al")</f>
        <v>Şimdi satın al</v>
      </c>
      <c r="G272" s="4" t="str">
        <f>IFERROR(__xludf.DUMMYFUNCTION("GOOGLETRANSLATE(B272,""en"",""ru"")"),"Купить сейчас")</f>
        <v>Купить сейчас</v>
      </c>
      <c r="H272" s="4" t="str">
        <f>IFERROR(__xludf.DUMMYFUNCTION("GOOGLETRANSLATE(B272,""en"",""it"")"),"Acquista adesso")</f>
        <v>Acquista adesso</v>
      </c>
      <c r="I272" s="4" t="str">
        <f>IFERROR(__xludf.DUMMYFUNCTION("GOOGLETRANSLATE(B272,""en"",""de"")"),"Jetzt kaufen")</f>
        <v>Jetzt kaufen</v>
      </c>
      <c r="J272" s="4" t="str">
        <f>IFERROR(__xludf.DUMMYFUNCTION("GOOGLETRANSLATE(B272,""en"",""ko"")"),"지금 구입")</f>
        <v>지금 구입</v>
      </c>
      <c r="K272" s="4" t="str">
        <f>IFERROR(__xludf.DUMMYFUNCTION("GOOGLETRANSLATE(B272,""en"",""zh"")"),"现在买")</f>
        <v>现在买</v>
      </c>
      <c r="L272" s="4" t="str">
        <f>IFERROR(__xludf.DUMMYFUNCTION("GOOGLETRANSLATE(B272,""en"",""es"")"),"Comprar ahora")</f>
        <v>Comprar ahora</v>
      </c>
      <c r="M272" s="4" t="str">
        <f>IFERROR(__xludf.DUMMYFUNCTION("GOOGLETRANSLATE(B272,""en"",""iw"")"),"קנה עכשיו")</f>
        <v>קנה עכשיו</v>
      </c>
      <c r="N272" s="4" t="str">
        <f>IFERROR(__xludf.DUMMYFUNCTION("GOOGLETRANSLATE(B272,""en"",""bn"")"),"এখনই কিনুন")</f>
        <v>এখনই কিনুন</v>
      </c>
      <c r="O272" s="4" t="str">
        <f>IFERROR(__xludf.DUMMYFUNCTION("GOOGLETRANSLATE(B272,""en"",""pt"")"),"Compre agora")</f>
        <v>Compre agora</v>
      </c>
      <c r="P272" s="4"/>
    </row>
    <row r="273">
      <c r="A273" s="17" t="s">
        <v>766</v>
      </c>
      <c r="B273" s="3" t="s">
        <v>767</v>
      </c>
      <c r="C273" s="4" t="str">
        <f>IFERROR(__xludf.DUMMYFUNCTION("GOOGLETRANSLATE(B273,""en"",""hi"")"),"योजनाएँ ब्राउज़ करें")</f>
        <v>योजनाएँ ब्राउज़ करें</v>
      </c>
      <c r="D273" s="4" t="str">
        <f>IFERROR(__xludf.DUMMYFUNCTION("GOOGLETRANSLATE(B273,""en"",""ar"")"),"تصفح الخطط")</f>
        <v>تصفح الخطط</v>
      </c>
      <c r="E273" s="4" t="str">
        <f>IFERROR(__xludf.DUMMYFUNCTION("GOOGLETRANSLATE(B273,""en"",""fr"")"),"Parcourir les forfaits")</f>
        <v>Parcourir les forfaits</v>
      </c>
      <c r="F273" s="4" t="str">
        <f>IFERROR(__xludf.DUMMYFUNCTION("GOOGLETRANSLATE(B273,""en"",""tr"")"),"Planlara Göz Atın")</f>
        <v>Planlara Göz Atın</v>
      </c>
      <c r="G273" s="4" t="str">
        <f>IFERROR(__xludf.DUMMYFUNCTION("GOOGLETRANSLATE(B273,""en"",""ru"")"),"Просмотр планов")</f>
        <v>Просмотр планов</v>
      </c>
      <c r="H273" s="4" t="str">
        <f>IFERROR(__xludf.DUMMYFUNCTION("GOOGLETRANSLATE(B273,""en"",""it"")"),"Sfoglia i piani")</f>
        <v>Sfoglia i piani</v>
      </c>
      <c r="I273" s="4" t="str">
        <f>IFERROR(__xludf.DUMMYFUNCTION("GOOGLETRANSLATE(B273,""en"",""de"")"),"Durchsuchen Sie Pläne")</f>
        <v>Durchsuchen Sie Pläne</v>
      </c>
      <c r="J273" s="4" t="str">
        <f>IFERROR(__xludf.DUMMYFUNCTION("GOOGLETRANSLATE(B273,""en"",""ko"")"),"요금제 찾아보기")</f>
        <v>요금제 찾아보기</v>
      </c>
      <c r="K273" s="4" t="str">
        <f>IFERROR(__xludf.DUMMYFUNCTION("GOOGLETRANSLATE(B273,""en"",""zh"")"),"浏览计划")</f>
        <v>浏览计划</v>
      </c>
      <c r="L273" s="4" t="str">
        <f>IFERROR(__xludf.DUMMYFUNCTION("GOOGLETRANSLATE(B273,""en"",""es"")"),"Explorar planes")</f>
        <v>Explorar planes</v>
      </c>
      <c r="M273" s="4" t="str">
        <f>IFERROR(__xludf.DUMMYFUNCTION("GOOGLETRANSLATE(B273,""en"",""iw"")"),"עיין בתוכניות")</f>
        <v>עיין בתוכניות</v>
      </c>
      <c r="N273" s="4" t="str">
        <f>IFERROR(__xludf.DUMMYFUNCTION("GOOGLETRANSLATE(B273,""en"",""bn"")"),"পরিকল্পনা ব্রাউজ করুন")</f>
        <v>পরিকল্পনা ব্রাউজ করুন</v>
      </c>
      <c r="O273" s="4" t="str">
        <f>IFERROR(__xludf.DUMMYFUNCTION("GOOGLETRANSLATE(B273,""en"",""pt"")"),"Navegar pelos planos")</f>
        <v>Navegar pelos planos</v>
      </c>
      <c r="P273" s="4"/>
    </row>
    <row r="274">
      <c r="A274" s="17" t="s">
        <v>768</v>
      </c>
      <c r="B274" s="3" t="s">
        <v>769</v>
      </c>
      <c r="C274" s="4" t="str">
        <f>IFERROR(__xludf.DUMMYFUNCTION("GOOGLETRANSLATE(B274,""en"",""hi"")"),"मासिक योजना")</f>
        <v>मासिक योजना</v>
      </c>
      <c r="D274" s="4" t="str">
        <f>IFERROR(__xludf.DUMMYFUNCTION("GOOGLETRANSLATE(B274,""en"",""ar"")"),"خطة شهرية")</f>
        <v>خطة شهرية</v>
      </c>
      <c r="E274" s="4" t="str">
        <f>IFERROR(__xludf.DUMMYFUNCTION("GOOGLETRANSLATE(B274,""en"",""fr"")"),"Plan mensuel")</f>
        <v>Plan mensuel</v>
      </c>
      <c r="F274" s="4" t="str">
        <f>IFERROR(__xludf.DUMMYFUNCTION("GOOGLETRANSLATE(B274,""en"",""tr"")"),"Aylık plan")</f>
        <v>Aylık plan</v>
      </c>
      <c r="G274" s="4" t="str">
        <f>IFERROR(__xludf.DUMMYFUNCTION("GOOGLETRANSLATE(B274,""en"",""ru"")"),"Ежемесячный план")</f>
        <v>Ежемесячный план</v>
      </c>
      <c r="H274" s="4" t="str">
        <f>IFERROR(__xludf.DUMMYFUNCTION("GOOGLETRANSLATE(B274,""en"",""it"")"),"Piano mensile")</f>
        <v>Piano mensile</v>
      </c>
      <c r="I274" s="4" t="str">
        <f>IFERROR(__xludf.DUMMYFUNCTION("GOOGLETRANSLATE(B274,""en"",""de"")"),"Monatlicher Plan")</f>
        <v>Monatlicher Plan</v>
      </c>
      <c r="J274" s="4" t="str">
        <f>IFERROR(__xludf.DUMMYFUNCTION("GOOGLETRANSLATE(B274,""en"",""ko"")"),"월간 요금제")</f>
        <v>월간 요금제</v>
      </c>
      <c r="K274" s="4" t="str">
        <f>IFERROR(__xludf.DUMMYFUNCTION("GOOGLETRANSLATE(B274,""en"",""zh"")"),"月度计划")</f>
        <v>月度计划</v>
      </c>
      <c r="L274" s="4" t="str">
        <f>IFERROR(__xludf.DUMMYFUNCTION("GOOGLETRANSLATE(B274,""en"",""es"")"),"Plan mensual")</f>
        <v>Plan mensual</v>
      </c>
      <c r="M274" s="4" t="str">
        <f>IFERROR(__xludf.DUMMYFUNCTION("GOOGLETRANSLATE(B274,""en"",""iw"")"),"תוכנית חודשית")</f>
        <v>תוכנית חודשית</v>
      </c>
      <c r="N274" s="4" t="str">
        <f>IFERROR(__xludf.DUMMYFUNCTION("GOOGLETRANSLATE(B274,""en"",""bn"")"),"মাসিক পরিকল্পনা")</f>
        <v>মাসিক পরিকল্পনা</v>
      </c>
      <c r="O274" s="4" t="str">
        <f>IFERROR(__xludf.DUMMYFUNCTION("GOOGLETRANSLATE(B274,""en"",""pt"")"),"Plano mensal")</f>
        <v>Plano mensal</v>
      </c>
      <c r="P274" s="4"/>
    </row>
    <row r="275">
      <c r="A275" s="16" t="s">
        <v>770</v>
      </c>
      <c r="B275" s="9" t="s">
        <v>771</v>
      </c>
      <c r="C275" s="4" t="str">
        <f>IFERROR(__xludf.DUMMYFUNCTION("GOOGLETRANSLATE(B275,""en"",""hi"")"),"वार्षिक योजना")</f>
        <v>वार्षिक योजना</v>
      </c>
      <c r="D275" s="4" t="str">
        <f>IFERROR(__xludf.DUMMYFUNCTION("GOOGLETRANSLATE(B275,""en"",""ar"")"),"الخطة السنوية")</f>
        <v>الخطة السنوية</v>
      </c>
      <c r="E275" s="4" t="str">
        <f>IFERROR(__xludf.DUMMYFUNCTION("GOOGLETRANSLATE(B275,""en"",""fr"")"),"Forfait annuel")</f>
        <v>Forfait annuel</v>
      </c>
      <c r="F275" s="4" t="str">
        <f>IFERROR(__xludf.DUMMYFUNCTION("GOOGLETRANSLATE(B275,""en"",""tr"")"),"Yıllık Plan")</f>
        <v>Yıllık Plan</v>
      </c>
      <c r="G275" s="4" t="str">
        <f>IFERROR(__xludf.DUMMYFUNCTION("GOOGLETRANSLATE(B275,""en"",""ru"")"),"Годовой план")</f>
        <v>Годовой план</v>
      </c>
      <c r="H275" s="4" t="str">
        <f>IFERROR(__xludf.DUMMYFUNCTION("GOOGLETRANSLATE(B275,""en"",""it"")"),"Piano annuale")</f>
        <v>Piano annuale</v>
      </c>
      <c r="I275" s="4" t="str">
        <f>IFERROR(__xludf.DUMMYFUNCTION("GOOGLETRANSLATE(B275,""en"",""de"")"),"Jahresplan")</f>
        <v>Jahresplan</v>
      </c>
      <c r="J275" s="4" t="str">
        <f>IFERROR(__xludf.DUMMYFUNCTION("GOOGLETRANSLATE(B275,""en"",""ko"")"),"연간 요금제")</f>
        <v>연간 요금제</v>
      </c>
      <c r="K275" s="4" t="str">
        <f>IFERROR(__xludf.DUMMYFUNCTION("GOOGLETRANSLATE(B275,""en"",""zh"")"),"年度计划")</f>
        <v>年度计划</v>
      </c>
      <c r="L275" s="4" t="str">
        <f>IFERROR(__xludf.DUMMYFUNCTION("GOOGLETRANSLATE(B275,""en"",""es"")"),"Plan Anual")</f>
        <v>Plan Anual</v>
      </c>
      <c r="M275" s="4" t="str">
        <f>IFERROR(__xludf.DUMMYFUNCTION("GOOGLETRANSLATE(B275,""en"",""iw"")"),"תוכנית שנתית")</f>
        <v>תוכנית שנתית</v>
      </c>
      <c r="N275" s="4" t="str">
        <f>IFERROR(__xludf.DUMMYFUNCTION("GOOGLETRANSLATE(B275,""en"",""bn"")"),"বার্ষিক পরিকল্পনা")</f>
        <v>বার্ষিক পরিকল্পনা</v>
      </c>
      <c r="O275" s="4" t="str">
        <f>IFERROR(__xludf.DUMMYFUNCTION("GOOGLETRANSLATE(B275,""en"",""pt"")"),"Plano Anual")</f>
        <v>Plano Anual</v>
      </c>
      <c r="P275" s="4"/>
    </row>
    <row r="276">
      <c r="A276" s="7" t="s">
        <v>772</v>
      </c>
      <c r="B276" s="9" t="s">
        <v>773</v>
      </c>
      <c r="C276" s="4" t="str">
        <f>IFERROR(__xludf.DUMMYFUNCTION("GOOGLETRANSLATE(B276,""en"",""hi"")"),"सवारी निर्धारित है")</f>
        <v>सवारी निर्धारित है</v>
      </c>
      <c r="D276" s="4" t="str">
        <f>IFERROR(__xludf.DUMMYFUNCTION("GOOGLETRANSLATE(B276,""en"",""ar"")"),"الرحلة مجدولة في")</f>
        <v>الرحلة مجدولة في</v>
      </c>
      <c r="E276" s="4" t="str">
        <f>IFERROR(__xludf.DUMMYFUNCTION("GOOGLETRANSLATE(B276,""en"",""fr"")"),"Trajet prévu à")</f>
        <v>Trajet prévu à</v>
      </c>
      <c r="F276" s="4" t="str">
        <f>IFERROR(__xludf.DUMMYFUNCTION("GOOGLETRANSLATE(B276,""en"",""tr"")"),"Sürüş Saati Planlandı")</f>
        <v>Sürüş Saati Planlandı</v>
      </c>
      <c r="G276" s="4" t="str">
        <f>IFERROR(__xludf.DUMMYFUNCTION("GOOGLETRANSLATE(B276,""en"",""ru"")"),"Поездка запланирована на")</f>
        <v>Поездка запланирована на</v>
      </c>
      <c r="H276" s="4" t="str">
        <f>IFERROR(__xludf.DUMMYFUNCTION("GOOGLETRANSLATE(B276,""en"",""it"")"),"Corsa prevista alle")</f>
        <v>Corsa prevista alle</v>
      </c>
      <c r="I276" s="4" t="str">
        <f>IFERROR(__xludf.DUMMYFUNCTION("GOOGLETRANSLATE(B276,""en"",""de"")"),"Fahrt geplant um")</f>
        <v>Fahrt geplant um</v>
      </c>
      <c r="J276" s="4" t="str">
        <f>IFERROR(__xludf.DUMMYFUNCTION("GOOGLETRANSLATE(B276,""en"",""ko"")"),"탑승 예정 시간:")</f>
        <v>탑승 예정 시간:</v>
      </c>
      <c r="K276" s="4" t="str">
        <f>IFERROR(__xludf.DUMMYFUNCTION("GOOGLETRANSLATE(B276,""en"",""zh"")"),"乘车时间安排在")</f>
        <v>乘车时间安排在</v>
      </c>
      <c r="L276" s="4" t="str">
        <f>IFERROR(__xludf.DUMMYFUNCTION("GOOGLETRANSLATE(B276,""en"",""es"")"),"Viaje programado en")</f>
        <v>Viaje programado en</v>
      </c>
      <c r="M276" s="4" t="str">
        <f>IFERROR(__xludf.DUMMYFUNCTION("GOOGLETRANSLATE(B276,""en"",""iw"")"),"נסיעה מתוכננת בשעה")</f>
        <v>נסיעה מתוכננת בשעה</v>
      </c>
      <c r="N276" s="4" t="str">
        <f>IFERROR(__xludf.DUMMYFUNCTION("GOOGLETRANSLATE(B276,""en"",""bn"")"),"রাইড নির্ধারিত সময়ে")</f>
        <v>রাইড নির্ধারিত সময়ে</v>
      </c>
      <c r="O276" s="4" t="str">
        <f>IFERROR(__xludf.DUMMYFUNCTION("GOOGLETRANSLATE(B276,""en"",""pt"")"),"Passeio agendado para")</f>
        <v>Passeio agendado para</v>
      </c>
      <c r="P276" s="4"/>
    </row>
    <row r="277">
      <c r="A277" s="7" t="s">
        <v>774</v>
      </c>
      <c r="B277" s="9" t="s">
        <v>775</v>
      </c>
      <c r="C277" s="4" t="str">
        <f>IFERROR(__xludf.DUMMYFUNCTION("GOOGLETRANSLATE(B277,""en"",""hi"")"),"सवारी रद्द करें")</f>
        <v>सवारी रद्द करें</v>
      </c>
      <c r="D277" s="4" t="str">
        <f>IFERROR(__xludf.DUMMYFUNCTION("GOOGLETRANSLATE(B277,""en"",""ar"")"),"إلغاء الرحلة")</f>
        <v>إلغاء الرحلة</v>
      </c>
      <c r="E277" s="4" t="str">
        <f>IFERROR(__xludf.DUMMYFUNCTION("GOOGLETRANSLATE(B277,""en"",""fr"")"),"Annuler le trajet")</f>
        <v>Annuler le trajet</v>
      </c>
      <c r="F277" s="4" t="str">
        <f>IFERROR(__xludf.DUMMYFUNCTION("GOOGLETRANSLATE(B277,""en"",""tr"")"),"Sürüşü İptal Et")</f>
        <v>Sürüşü İptal Et</v>
      </c>
      <c r="G277" s="4" t="str">
        <f>IFERROR(__xludf.DUMMYFUNCTION("GOOGLETRANSLATE(B277,""en"",""ru"")"),"Отменить поездку")</f>
        <v>Отменить поездку</v>
      </c>
      <c r="H277" s="4" t="str">
        <f>IFERROR(__xludf.DUMMYFUNCTION("GOOGLETRANSLATE(B277,""en"",""it"")"),"Annulla corsa")</f>
        <v>Annulla corsa</v>
      </c>
      <c r="I277" s="4" t="str">
        <f>IFERROR(__xludf.DUMMYFUNCTION("GOOGLETRANSLATE(B277,""en"",""de"")"),"Fahrt abbrechen")</f>
        <v>Fahrt abbrechen</v>
      </c>
      <c r="J277" s="4" t="str">
        <f>IFERROR(__xludf.DUMMYFUNCTION("GOOGLETRANSLATE(B277,""en"",""ko"")"),"탑승 취소")</f>
        <v>탑승 취소</v>
      </c>
      <c r="K277" s="4" t="str">
        <f>IFERROR(__xludf.DUMMYFUNCTION("GOOGLETRANSLATE(B277,""en"",""zh"")"),"取消乘车")</f>
        <v>取消乘车</v>
      </c>
      <c r="L277" s="4" t="str">
        <f>IFERROR(__xludf.DUMMYFUNCTION("GOOGLETRANSLATE(B277,""en"",""es"")"),"Cancelar viaje")</f>
        <v>Cancelar viaje</v>
      </c>
      <c r="M277" s="4" t="str">
        <f>IFERROR(__xludf.DUMMYFUNCTION("GOOGLETRANSLATE(B277,""en"",""iw"")"),"בטל את הנסיעה")</f>
        <v>בטל את הנסיעה</v>
      </c>
      <c r="N277" s="4" t="str">
        <f>IFERROR(__xludf.DUMMYFUNCTION("GOOGLETRANSLATE(B277,""en"",""bn"")"),"রাইড বাতিল করুন")</f>
        <v>রাইড বাতিল করুন</v>
      </c>
      <c r="O277" s="4" t="str">
        <f>IFERROR(__xludf.DUMMYFUNCTION("GOOGLETRANSLATE(B277,""en"",""pt"")"),"Cancelar viagem")</f>
        <v>Cancelar viagem</v>
      </c>
      <c r="P277" s="4"/>
    </row>
    <row r="278">
      <c r="A278" s="7" t="s">
        <v>776</v>
      </c>
      <c r="B278" s="18" t="s">
        <v>777</v>
      </c>
      <c r="C278" s="4" t="str">
        <f>IFERROR(__xludf.DUMMYFUNCTION("GOOGLETRANSLATE(B278,""en"",""hi"")"),"सवारी प्राप्त करना जारी रखने के लिए एक योजना की सदस्यता लें")</f>
        <v>सवारी प्राप्त करना जारी रखने के लिए एक योजना की सदस्यता लें</v>
      </c>
      <c r="D278" s="4" t="str">
        <f>IFERROR(__xludf.DUMMYFUNCTION("GOOGLETRANSLATE(B278,""en"",""ar"")"),"اشترك في خطة لمواصلة الحصول على الرحلات")</f>
        <v>اشترك في خطة لمواصلة الحصول على الرحلات</v>
      </c>
      <c r="E278" s="4" t="str">
        <f>IFERROR(__xludf.DUMMYFUNCTION("GOOGLETRANSLATE(B278,""en"",""fr"")"),"Abonnez-vous à un forfait pour continuer à bénéficier de courses")</f>
        <v>Abonnez-vous à un forfait pour continuer à bénéficier de courses</v>
      </c>
      <c r="F278" s="4" t="str">
        <f>IFERROR(__xludf.DUMMYFUNCTION("GOOGLETRANSLATE(B278,""en"",""tr"")"),"Araç almaya devam etmek için bir plana abone olun")</f>
        <v>Araç almaya devam etmek için bir plana abone olun</v>
      </c>
      <c r="G278" s="4" t="str">
        <f>IFERROR(__xludf.DUMMYFUNCTION("GOOGLETRANSLATE(B278,""en"",""ru"")"),"Подпишитесь на план, чтобы продолжать получать поездки")</f>
        <v>Подпишитесь на план, чтобы продолжать получать поездки</v>
      </c>
      <c r="H278" s="4" t="str">
        <f>IFERROR(__xludf.DUMMYFUNCTION("GOOGLETRANSLATE(B278,""en"",""it"")"),"Sottoscrivi un piano per continuare a ricevere corse")</f>
        <v>Sottoscrivi un piano per continuare a ricevere corse</v>
      </c>
      <c r="I278" s="4" t="str">
        <f>IFERROR(__xludf.DUMMYFUNCTION("GOOGLETRANSLATE(B278,""en"",""de"")"),"Abonnieren Sie einen Plan, um weiterhin Fahrten zu erhalten")</f>
        <v>Abonnieren Sie einen Plan, um weiterhin Fahrten zu erhalten</v>
      </c>
      <c r="J278" s="4" t="str">
        <f>IFERROR(__xludf.DUMMYFUNCTION("GOOGLETRANSLATE(B278,""en"",""ko"")"),"계속해서 차량 서비스를 이용하려면 플랜을 구독하세요.")</f>
        <v>계속해서 차량 서비스를 이용하려면 플랜을 구독하세요.</v>
      </c>
      <c r="K278" s="4" t="str">
        <f>IFERROR(__xludf.DUMMYFUNCTION("GOOGLETRANSLATE(B278,""en"",""zh"")"),"订阅计划以继续乘车")</f>
        <v>订阅计划以继续乘车</v>
      </c>
      <c r="L278" s="4" t="str">
        <f>IFERROR(__xludf.DUMMYFUNCTION("GOOGLETRANSLATE(B278,""en"",""es"")"),"Suscríbete a un plan para seguir recibiendo viajes")</f>
        <v>Suscríbete a un plan para seguir recibiendo viajes</v>
      </c>
      <c r="M278" s="4" t="str">
        <f>IFERROR(__xludf.DUMMYFUNCTION("GOOGLETRANSLATE(B278,""en"",""iw"")"),"הירשם לתוכנית כדי להמשיך לקבל נסיעות")</f>
        <v>הירשם לתוכנית כדי להמשיך לקבל נסיעות</v>
      </c>
      <c r="N278" s="4" t="str">
        <f>IFERROR(__xludf.DUMMYFUNCTION("GOOGLETRANSLATE(B278,""en"",""bn"")"),"রাইড পাওয়া চালিয়ে যেতে একটি পরিকল্পনা সাবস্ক্রাইব করুন")</f>
        <v>রাইড পাওয়া চালিয়ে যেতে একটি পরিকল্পনা সাবস্ক্রাইব করুন</v>
      </c>
      <c r="O278" s="4" t="str">
        <f>IFERROR(__xludf.DUMMYFUNCTION("GOOGLETRANSLATE(B278,""en"",""pt"")"),"Assine um plano para continuar recebendo viagens")</f>
        <v>Assine um plano para continuar recebendo viagens</v>
      </c>
      <c r="P278" s="4"/>
    </row>
    <row r="279">
      <c r="A279" s="7" t="s">
        <v>778</v>
      </c>
      <c r="B279" s="3" t="s">
        <v>779</v>
      </c>
      <c r="C279" s="4" t="str">
        <f>IFERROR(__xludf.DUMMYFUNCTION("GOOGLETRANSLATE(B279,""en"",""hi"")"),"शिकायत करें")</f>
        <v>शिकायत करें</v>
      </c>
      <c r="D279" s="4" t="str">
        <f>IFERROR(__xludf.DUMMYFUNCTION("GOOGLETRANSLATE(B279,""en"",""ar"")"),"تقدم بشكوى")</f>
        <v>تقدم بشكوى</v>
      </c>
      <c r="E279" s="4" t="str">
        <f>IFERROR(__xludf.DUMMYFUNCTION("GOOGLETRANSLATE(B279,""en"",""fr"")"),"Faire une plainte")</f>
        <v>Faire une plainte</v>
      </c>
      <c r="F279" s="4" t="str">
        <f>IFERROR(__xludf.DUMMYFUNCTION("GOOGLETRANSLATE(B279,""en"",""tr"")"),"Şikayette Bulun")</f>
        <v>Şikayette Bulun</v>
      </c>
      <c r="G279" s="4" t="str">
        <f>IFERROR(__xludf.DUMMYFUNCTION("GOOGLETRANSLATE(B279,""en"",""ru"")"),"Пожаловаться")</f>
        <v>Пожаловаться</v>
      </c>
      <c r="H279" s="4" t="str">
        <f>IFERROR(__xludf.DUMMYFUNCTION("GOOGLETRANSLATE(B279,""en"",""it"")"),"Presentare reclamo")</f>
        <v>Presentare reclamo</v>
      </c>
      <c r="I279" s="4" t="str">
        <f>IFERROR(__xludf.DUMMYFUNCTION("GOOGLETRANSLATE(B279,""en"",""de"")"),"Beschwerde einreichen")</f>
        <v>Beschwerde einreichen</v>
      </c>
      <c r="J279" s="4" t="str">
        <f>IFERROR(__xludf.DUMMYFUNCTION("GOOGLETRANSLATE(B279,""en"",""ko"")"),"불만사항 제기")</f>
        <v>불만사항 제기</v>
      </c>
      <c r="K279" s="4" t="str">
        <f>IFERROR(__xludf.DUMMYFUNCTION("GOOGLETRANSLATE(B279,""en"",""zh"")"),"投诉")</f>
        <v>投诉</v>
      </c>
      <c r="L279" s="4" t="str">
        <f>IFERROR(__xludf.DUMMYFUNCTION("GOOGLETRANSLATE(B279,""en"",""es"")"),"Hacer un reclamo")</f>
        <v>Hacer un reclamo</v>
      </c>
      <c r="M279" s="4" t="str">
        <f>IFERROR(__xludf.DUMMYFUNCTION("GOOGLETRANSLATE(B279,""en"",""iw"")"),"הגש תלונה")</f>
        <v>הגש תלונה</v>
      </c>
      <c r="N279" s="4" t="str">
        <f>IFERROR(__xludf.DUMMYFUNCTION("GOOGLETRANSLATE(B279,""en"",""bn"")"),"অভিযোগ করুন")</f>
        <v>অভিযোগ করুন</v>
      </c>
      <c r="O279" s="4" t="str">
        <f>IFERROR(__xludf.DUMMYFUNCTION("GOOGLETRANSLATE(B279,""en"",""pt"")"),"Faça reclamação")</f>
        <v>Faça reclamação</v>
      </c>
      <c r="P279" s="4"/>
    </row>
    <row r="280">
      <c r="A280" s="7" t="s">
        <v>780</v>
      </c>
      <c r="B280" s="9" t="s">
        <v>781</v>
      </c>
      <c r="C280" s="4" t="str">
        <f>IFERROR(__xludf.DUMMYFUNCTION("GOOGLETRANSLATE(B280,""en"",""hi"")"),"प्रकार चुनने के लिए नीचे क्लिक करें")</f>
        <v>प्रकार चुनने के लिए नीचे क्लिक करें</v>
      </c>
      <c r="D280" s="4" t="str">
        <f>IFERROR(__xludf.DUMMYFUNCTION("GOOGLETRANSLATE(B280,""en"",""ar"")"),"انقر أدناه لاختيار النوع")</f>
        <v>انقر أدناه لاختيار النوع</v>
      </c>
      <c r="E280" s="4" t="str">
        <f>IFERROR(__xludf.DUMMYFUNCTION("GOOGLETRANSLATE(B280,""en"",""fr"")"),"Cliquez ci-dessous pour choisir le type")</f>
        <v>Cliquez ci-dessous pour choisir le type</v>
      </c>
      <c r="F280" s="4" t="str">
        <f>IFERROR(__xludf.DUMMYFUNCTION("GOOGLETRANSLATE(B280,""en"",""tr"")"),"Türü Seçmek İçin Aşağıya Tıklayın")</f>
        <v>Türü Seçmek İçin Aşağıya Tıklayın</v>
      </c>
      <c r="G280" s="4" t="str">
        <f>IFERROR(__xludf.DUMMYFUNCTION("GOOGLETRANSLATE(B280,""en"",""ru"")"),"Нажмите ниже, чтобы выбрать тип")</f>
        <v>Нажмите ниже, чтобы выбрать тип</v>
      </c>
      <c r="H280" s="4" t="str">
        <f>IFERROR(__xludf.DUMMYFUNCTION("GOOGLETRANSLATE(B280,""en"",""it"")"),"Clicca qui sotto per scegliere il tipo")</f>
        <v>Clicca qui sotto per scegliere il tipo</v>
      </c>
      <c r="I280" s="4" t="str">
        <f>IFERROR(__xludf.DUMMYFUNCTION("GOOGLETRANSLATE(B280,""en"",""de"")"),"Klicken Sie unten, um den Typ auszuwählen")</f>
        <v>Klicken Sie unten, um den Typ auszuwählen</v>
      </c>
      <c r="J280" s="4" t="str">
        <f>IFERROR(__xludf.DUMMYFUNCTION("GOOGLETRANSLATE(B280,""en"",""ko"")"),"유형을 선택하려면 아래를 클릭하세요.")</f>
        <v>유형을 선택하려면 아래를 클릭하세요.</v>
      </c>
      <c r="K280" s="4" t="str">
        <f>IFERROR(__xludf.DUMMYFUNCTION("GOOGLETRANSLATE(B280,""en"",""zh"")"),"点击下面选择类型")</f>
        <v>点击下面选择类型</v>
      </c>
      <c r="L280" s="4" t="str">
        <f>IFERROR(__xludf.DUMMYFUNCTION("GOOGLETRANSLATE(B280,""en"",""es"")"),"Haga clic a continuación para elegir el tipo")</f>
        <v>Haga clic a continuación para elegir el tipo</v>
      </c>
      <c r="M280" s="4" t="str">
        <f>IFERROR(__xludf.DUMMYFUNCTION("GOOGLETRANSLATE(B280,""en"",""iw"")"),"לחץ למטה כדי לבחור סוג")</f>
        <v>לחץ למטה כדי לבחור סוג</v>
      </c>
      <c r="N280" s="4" t="str">
        <f>IFERROR(__xludf.DUMMYFUNCTION("GOOGLETRANSLATE(B280,""en"",""bn"")"),"প্রকার নির্বাচন করতে নিচে ক্লিক করুন")</f>
        <v>প্রকার নির্বাচন করতে নিচে ক্লিক করুন</v>
      </c>
      <c r="O280" s="4" t="str">
        <f>IFERROR(__xludf.DUMMYFUNCTION("GOOGLETRANSLATE(B280,""en"",""pt"")"),"Clique abaixo para escolher o tipo")</f>
        <v>Clique abaixo para escolher o tipo</v>
      </c>
      <c r="P280" s="4"/>
    </row>
    <row r="281">
      <c r="A281" s="7" t="s">
        <v>782</v>
      </c>
      <c r="B281" s="9" t="s">
        <v>783</v>
      </c>
      <c r="C281" s="4" t="str">
        <f>IFERROR(__xludf.DUMMYFUNCTION("GOOGLETRANSLATE(B281,""en"",""hi"")"),"अपनी शिकायत यहां लिखें")</f>
        <v>अपनी शिकायत यहां लिखें</v>
      </c>
      <c r="D281" s="4" t="str">
        <f>IFERROR(__xludf.DUMMYFUNCTION("GOOGLETRANSLATE(B281,""en"",""ar"")"),"اكتب شكواك هنا")</f>
        <v>اكتب شكواك هنا</v>
      </c>
      <c r="E281" s="4" t="str">
        <f>IFERROR(__xludf.DUMMYFUNCTION("GOOGLETRANSLATE(B281,""en"",""fr"")"),"Écrivez votre plainte ici")</f>
        <v>Écrivez votre plainte ici</v>
      </c>
      <c r="F281" s="4" t="str">
        <f>IFERROR(__xludf.DUMMYFUNCTION("GOOGLETRANSLATE(B281,""en"",""tr"")"),"Şikayetinizi buraya yazın")</f>
        <v>Şikayetinizi buraya yazın</v>
      </c>
      <c r="G281" s="4" t="str">
        <f>IFERROR(__xludf.DUMMYFUNCTION("GOOGLETRANSLATE(B281,""en"",""ru"")"),"Напишите жалобу здесь")</f>
        <v>Напишите жалобу здесь</v>
      </c>
      <c r="H281" s="4" t="str">
        <f>IFERROR(__xludf.DUMMYFUNCTION("GOOGLETRANSLATE(B281,""en"",""it"")"),"Scrivi qui il tuo reclamo")</f>
        <v>Scrivi qui il tuo reclamo</v>
      </c>
      <c r="I281" s="4" t="str">
        <f>IFERROR(__xludf.DUMMYFUNCTION("GOOGLETRANSLATE(B281,""en"",""de"")"),"Schreiben Sie hier Ihre Beschwerde")</f>
        <v>Schreiben Sie hier Ihre Beschwerde</v>
      </c>
      <c r="J281" s="4" t="str">
        <f>IFERROR(__xludf.DUMMYFUNCTION("GOOGLETRANSLATE(B281,""en"",""ko"")"),"여기에 불만사항을 작성하세요.")</f>
        <v>여기에 불만사항을 작성하세요.</v>
      </c>
      <c r="K281" s="4" t="str">
        <f>IFERROR(__xludf.DUMMYFUNCTION("GOOGLETRANSLATE(B281,""en"",""zh"")"),"在此写下您的投诉")</f>
        <v>在此写下您的投诉</v>
      </c>
      <c r="L281" s="4" t="str">
        <f>IFERROR(__xludf.DUMMYFUNCTION("GOOGLETRANSLATE(B281,""en"",""es"")"),"Escribe tu queja aquí")</f>
        <v>Escribe tu queja aquí</v>
      </c>
      <c r="M281" s="4" t="str">
        <f>IFERROR(__xludf.DUMMYFUNCTION("GOOGLETRANSLATE(B281,""en"",""iw"")"),"כתוב את תלונתך כאן")</f>
        <v>כתוב את תלונתך כאן</v>
      </c>
      <c r="N281" s="4" t="str">
        <f>IFERROR(__xludf.DUMMYFUNCTION("GOOGLETRANSLATE(B281,""en"",""bn"")"),"এখানে আপনার অভিযোগ লিখুন")</f>
        <v>এখানে আপনার অভিযোগ লিখুন</v>
      </c>
      <c r="O281" s="4" t="str">
        <f>IFERROR(__xludf.DUMMYFUNCTION("GOOGLETRANSLATE(B281,""en"",""pt"")"),"Escreva aqui a sua reclamação")</f>
        <v>Escreva aqui a sua reclamação</v>
      </c>
      <c r="P281" s="4"/>
    </row>
    <row r="282">
      <c r="A282" s="7" t="s">
        <v>784</v>
      </c>
      <c r="B282" s="3" t="s">
        <v>785</v>
      </c>
      <c r="C282" s="4" t="str">
        <f>IFERROR(__xludf.DUMMYFUNCTION("GOOGLETRANSLATE(B282,""en"",""hi"")"),"हमने आपकी चिंता सफलतापूर्वक समझ ली...")</f>
        <v>हमने आपकी चिंता सफलतापूर्वक समझ ली...</v>
      </c>
      <c r="D282" s="4" t="str">
        <f>IFERROR(__xludf.DUMMYFUNCTION("GOOGLETRANSLATE(B282,""en"",""ar"")"),"لقد نجحنا في التعامل مع مخاوفك...")</f>
        <v>لقد نجحنا في التعامل مع مخاوفك...</v>
      </c>
      <c r="E282" s="4" t="str">
        <f>IFERROR(__xludf.DUMMYFUNCTION("GOOGLETRANSLATE(B282,""en"",""fr"")"),"Nous avons répondu avec succès à votre préoccupation...")</f>
        <v>Nous avons répondu avec succès à votre préoccupation...</v>
      </c>
      <c r="F282" s="4" t="str">
        <f>IFERROR(__xludf.DUMMYFUNCTION("GOOGLETRANSLATE(B282,""en"",""tr"")"),"Sorununuzu Başarıyla Anladık...")</f>
        <v>Sorununuzu Başarıyla Anladık...</v>
      </c>
      <c r="G282" s="4" t="str">
        <f>IFERROR(__xludf.DUMMYFUNCTION("GOOGLETRANSLATE(B282,""en"",""ru"")"),"Мы успешно разрешили вашу проблему...")</f>
        <v>Мы успешно разрешили вашу проблему...</v>
      </c>
      <c r="H282" s="4" t="str">
        <f>IFERROR(__xludf.DUMMYFUNCTION("GOOGLETRANSLATE(B282,""en"",""it"")"),"Abbiamo risolto con successo la tua preoccupazione...")</f>
        <v>Abbiamo risolto con successo la tua preoccupazione...</v>
      </c>
      <c r="I282" s="4" t="str">
        <f>IFERROR(__xludf.DUMMYFUNCTION("GOOGLETRANSLATE(B282,""en"",""de"")"),"Wir haben Ihr Anliegen erfolgreich bearbeitet...")</f>
        <v>Wir haben Ihr Anliegen erfolgreich bearbeitet...</v>
      </c>
      <c r="J282" s="4" t="str">
        <f>IFERROR(__xludf.DUMMYFUNCTION("GOOGLETRANSLATE(B282,""en"",""ko"")"),"우리는 귀하의 우려사항을 성공적으로 해결했습니다...")</f>
        <v>우리는 귀하의 우려사항을 성공적으로 해결했습니다...</v>
      </c>
      <c r="K282" s="4" t="str">
        <f>IFERROR(__xludf.DUMMYFUNCTION("GOOGLETRANSLATE(B282,""en"",""zh"")"),"我们成功解决了您的疑虑...")</f>
        <v>我们成功解决了您的疑虑...</v>
      </c>
      <c r="L282" s="4" t="str">
        <f>IFERROR(__xludf.DUMMYFUNCTION("GOOGLETRANSLATE(B282,""en"",""es"")"),"Atendemos exitosamente su inquietud...")</f>
        <v>Atendemos exitosamente su inquietud...</v>
      </c>
      <c r="M282" s="4" t="str">
        <f>IFERROR(__xludf.DUMMYFUNCTION("GOOGLETRANSLATE(B282,""en"",""iw"")"),"הגענו לדאגה שלך בהצלחה...")</f>
        <v>הגענו לדאגה שלך בהצלחה...</v>
      </c>
      <c r="N282" s="4" t="str">
        <f>IFERROR(__xludf.DUMMYFUNCTION("GOOGLETRANSLATE(B282,""en"",""bn"")"),"আমরা সফলভাবে আপনার উদ্বেগ পেয়েছি...")</f>
        <v>আমরা সফলভাবে আপনার উদ্বেগ পেয়েছি...</v>
      </c>
      <c r="O282" s="4" t="str">
        <f>IFERROR(__xludf.DUMMYFUNCTION("GOOGLETRANSLATE(B282,""en"",""pt"")"),"Recebemos sua preocupação com sucesso...")</f>
        <v>Recebemos sua preocupação com sucesso...</v>
      </c>
      <c r="P282" s="4"/>
    </row>
    <row r="283">
      <c r="A283" s="15" t="s">
        <v>786</v>
      </c>
      <c r="B283" s="18" t="s">
        <v>787</v>
      </c>
      <c r="C283" s="4" t="str">
        <f>IFERROR(__xludf.DUMMYFUNCTION("GOOGLETRANSLATE(B283,""en"",""hi"")"),"हम आपको जल्द ही प्राप्त कर लेंगे")</f>
        <v>हम आपको जल्द ही प्राप्त कर लेंगे</v>
      </c>
      <c r="D283" s="4" t="str">
        <f>IFERROR(__xludf.DUMMYFUNCTION("GOOGLETRANSLATE(B283,""en"",""ar"")"),"سوف نصل إليك عاجلا")</f>
        <v>سوف نصل إليك عاجلا</v>
      </c>
      <c r="E283" s="4" t="str">
        <f>IFERROR(__xludf.DUMMYFUNCTION("GOOGLETRANSLATE(B283,""en"",""fr"")"),"Nous vous aurons plus tôt")</f>
        <v>Nous vous aurons plus tôt</v>
      </c>
      <c r="F283" s="4" t="str">
        <f>IFERROR(__xludf.DUMMYFUNCTION("GOOGLETRANSLATE(B283,""en"",""tr"")"),"Sizi Daha Yakında Bulacağız")</f>
        <v>Sizi Daha Yakında Bulacağız</v>
      </c>
      <c r="G283" s="4" t="str">
        <f>IFERROR(__xludf.DUMMYFUNCTION("GOOGLETRANSLATE(B283,""en"",""ru"")"),"Мы получим вас раньше")</f>
        <v>Мы получим вас раньше</v>
      </c>
      <c r="H283" s="4" t="str">
        <f>IFERROR(__xludf.DUMMYFUNCTION("GOOGLETRANSLATE(B283,""en"",""it"")"),"Ti prenderemo prima")</f>
        <v>Ti prenderemo prima</v>
      </c>
      <c r="I283" s="4" t="str">
        <f>IFERROR(__xludf.DUMMYFUNCTION("GOOGLETRANSLATE(B283,""en"",""de"")"),"Wir werden Sie früher erreichen")</f>
        <v>Wir werden Sie früher erreichen</v>
      </c>
      <c r="J283" s="4" t="str">
        <f>IFERROR(__xludf.DUMMYFUNCTION("GOOGLETRANSLATE(B283,""en"",""ko"")"),"우리는 당신을 더 빨리 얻을 것입니다")</f>
        <v>우리는 당신을 더 빨리 얻을 것입니다</v>
      </c>
      <c r="K283" s="4" t="str">
        <f>IFERROR(__xludf.DUMMYFUNCTION("GOOGLETRANSLATE(B283,""en"",""zh"")"),"我们会尽快联系您")</f>
        <v>我们会尽快联系您</v>
      </c>
      <c r="L283" s="4" t="str">
        <f>IFERROR(__xludf.DUMMYFUNCTION("GOOGLETRANSLATE(B283,""en"",""es"")"),"Te atraparemos antes")</f>
        <v>Te atraparemos antes</v>
      </c>
      <c r="M283" s="4" t="str">
        <f>IFERROR(__xludf.DUMMYFUNCTION("GOOGLETRANSLATE(B283,""en"",""iw"")"),"אנחנו נשיג אותך מוקדם יותר")</f>
        <v>אנחנו נשיג אותך מוקדם יותר</v>
      </c>
      <c r="N283" s="4" t="str">
        <f>IFERROR(__xludf.DUMMYFUNCTION("GOOGLETRANSLATE(B283,""en"",""bn"")"),"আমরা শীঘ্রই আপনাকে পেতে হবে")</f>
        <v>আমরা শীঘ্রই আপনাকে পেতে হবে</v>
      </c>
      <c r="O283" s="4" t="str">
        <f>IFERROR(__xludf.DUMMYFUNCTION("GOOGLETRANSLATE(B283,""en"",""pt"")"),"Nós vamos te pegar mais cedo")</f>
        <v>Nós vamos te pegar mais cedo</v>
      </c>
      <c r="P283" s="4"/>
    </row>
    <row r="284">
      <c r="A284" s="7" t="s">
        <v>788</v>
      </c>
      <c r="B284" s="9" t="s">
        <v>789</v>
      </c>
      <c r="C284" s="4" t="str">
        <f>IFERROR(__xludf.DUMMYFUNCTION("GOOGLETRANSLATE(B284,""en"",""hi"")"),"धन्यवाद")</f>
        <v>धन्यवाद</v>
      </c>
      <c r="D284" s="4" t="str">
        <f>IFERROR(__xludf.DUMMYFUNCTION("GOOGLETRANSLATE(B284,""en"",""ar"")"),"شكرًا لك")</f>
        <v>شكرًا لك</v>
      </c>
      <c r="E284" s="4" t="str">
        <f>IFERROR(__xludf.DUMMYFUNCTION("GOOGLETRANSLATE(B284,""en"",""fr"")"),"Merci")</f>
        <v>Merci</v>
      </c>
      <c r="F284" s="4" t="str">
        <f>IFERROR(__xludf.DUMMYFUNCTION("GOOGLETRANSLATE(B284,""en"",""tr"")"),"Teşekkür ederim")</f>
        <v>Teşekkür ederim</v>
      </c>
      <c r="G284" s="4" t="str">
        <f>IFERROR(__xludf.DUMMYFUNCTION("GOOGLETRANSLATE(B284,""en"",""ru"")"),"Спасибо")</f>
        <v>Спасибо</v>
      </c>
      <c r="H284" s="4" t="str">
        <f>IFERROR(__xludf.DUMMYFUNCTION("GOOGLETRANSLATE(B284,""en"",""it"")"),"Grazie")</f>
        <v>Grazie</v>
      </c>
      <c r="I284" s="4" t="str">
        <f>IFERROR(__xludf.DUMMYFUNCTION("GOOGLETRANSLATE(B284,""en"",""de"")"),"Danke")</f>
        <v>Danke</v>
      </c>
      <c r="J284" s="4" t="str">
        <f>IFERROR(__xludf.DUMMYFUNCTION("GOOGLETRANSLATE(B284,""en"",""ko"")"),"감사합니다")</f>
        <v>감사합니다</v>
      </c>
      <c r="K284" s="4" t="str">
        <f>IFERROR(__xludf.DUMMYFUNCTION("GOOGLETRANSLATE(B284,""en"",""zh"")"),"谢谢")</f>
        <v>谢谢</v>
      </c>
      <c r="L284" s="4" t="str">
        <f>IFERROR(__xludf.DUMMYFUNCTION("GOOGLETRANSLATE(B284,""en"",""es"")"),"Gracias")</f>
        <v>Gracias</v>
      </c>
      <c r="M284" s="4" t="str">
        <f>IFERROR(__xludf.DUMMYFUNCTION("GOOGLETRANSLATE(B284,""en"",""iw"")"),"תודה")</f>
        <v>תודה</v>
      </c>
      <c r="N284" s="4" t="str">
        <f>IFERROR(__xludf.DUMMYFUNCTION("GOOGLETRANSLATE(B284,""en"",""bn"")"),"ধন্যবাদ")</f>
        <v>ধন্যবাদ</v>
      </c>
      <c r="O284" s="4" t="str">
        <f>IFERROR(__xludf.DUMMYFUNCTION("GOOGLETRANSLATE(B284,""en"",""pt"")"),"Obrigado")</f>
        <v>Obrigado</v>
      </c>
      <c r="P284" s="4"/>
    </row>
    <row r="285">
      <c r="A285" s="7" t="s">
        <v>790</v>
      </c>
      <c r="B285" s="3" t="s">
        <v>791</v>
      </c>
      <c r="C285" s="4" t="str">
        <f>IFERROR(__xludf.DUMMYFUNCTION("GOOGLETRANSLATE(B285,""en"",""hi"")"),"न्यूनतम 10 अक्षर")</f>
        <v>न्यूनतम 10 अक्षर</v>
      </c>
      <c r="D285" s="4" t="str">
        <f>IFERROR(__xludf.DUMMYFUNCTION("GOOGLETRANSLATE(B285,""en"",""ar"")"),"الحد الأدنى 10 أحرف")</f>
        <v>الحد الأدنى 10 أحرف</v>
      </c>
      <c r="E285" s="4" t="str">
        <f>IFERROR(__xludf.DUMMYFUNCTION("GOOGLETRANSLATE(B285,""en"",""fr"")"),"minimum 10 caractères")</f>
        <v>minimum 10 caractères</v>
      </c>
      <c r="F285" s="4" t="str">
        <f>IFERROR(__xludf.DUMMYFUNCTION("GOOGLETRANSLATE(B285,""en"",""tr"")"),"minimum 10 karakter")</f>
        <v>minimum 10 karakter</v>
      </c>
      <c r="G285" s="4" t="str">
        <f>IFERROR(__xludf.DUMMYFUNCTION("GOOGLETRANSLATE(B285,""en"",""ru"")"),"минимум 10 символов")</f>
        <v>минимум 10 символов</v>
      </c>
      <c r="H285" s="4" t="str">
        <f>IFERROR(__xludf.DUMMYFUNCTION("GOOGLETRANSLATE(B285,""en"",""it"")"),"minimo 10 caratteri")</f>
        <v>minimo 10 caratteri</v>
      </c>
      <c r="I285" s="4" t="str">
        <f>IFERROR(__xludf.DUMMYFUNCTION("GOOGLETRANSLATE(B285,""en"",""de"")"),"mindestens 10 Zeichen")</f>
        <v>mindestens 10 Zeichen</v>
      </c>
      <c r="J285" s="4" t="str">
        <f>IFERROR(__xludf.DUMMYFUNCTION("GOOGLETRANSLATE(B285,""en"",""ko"")"),"최소 10자")</f>
        <v>최소 10자</v>
      </c>
      <c r="K285" s="4" t="str">
        <f>IFERROR(__xludf.DUMMYFUNCTION("GOOGLETRANSLATE(B285,""en"",""zh"")"),"最少 10 个字符")</f>
        <v>最少 10 个字符</v>
      </c>
      <c r="L285" s="4" t="str">
        <f>IFERROR(__xludf.DUMMYFUNCTION("GOOGLETRANSLATE(B285,""en"",""es"")"),"mínimo 10 caracteres")</f>
        <v>mínimo 10 caracteres</v>
      </c>
      <c r="M285" s="4" t="str">
        <f>IFERROR(__xludf.DUMMYFUNCTION("GOOGLETRANSLATE(B285,""en"",""iw"")"),"מינימום 10 תווים")</f>
        <v>מינימום 10 תווים</v>
      </c>
      <c r="N285" s="4" t="str">
        <f>IFERROR(__xludf.DUMMYFUNCTION("GOOGLETRANSLATE(B285,""en"",""bn"")"),"সর্বনিম্ন 10 অক্ষর")</f>
        <v>সর্বনিম্ন 10 অক্ষর</v>
      </c>
      <c r="O285" s="4" t="str">
        <f>IFERROR(__xludf.DUMMYFUNCTION("GOOGLETRANSLATE(B285,""en"",""pt"")"),"mínimo 10 caracteres")</f>
        <v>mínimo 10 caracteres</v>
      </c>
      <c r="P285" s="4"/>
    </row>
    <row r="286">
      <c r="A286" s="7" t="s">
        <v>792</v>
      </c>
      <c r="B286" s="3" t="s">
        <v>793</v>
      </c>
      <c r="C286" s="4" t="str">
        <f>IFERROR(__xludf.DUMMYFUNCTION("GOOGLETRANSLATE(B286,""en"",""hi"")"),"1 महीने के लिए निःशुल्क परीक्षण आज़माएँ")</f>
        <v>1 महीने के लिए निःशुल्क परीक्षण आज़माएँ</v>
      </c>
      <c r="D286" s="4" t="str">
        <f>IFERROR(__xludf.DUMMYFUNCTION("GOOGLETRANSLATE(B286,""en"",""ar"")"),"جرب النسخة التجريبية المجانية لمدة شهر واحد")</f>
        <v>جرب النسخة التجريبية المجانية لمدة شهر واحد</v>
      </c>
      <c r="E286" s="4" t="str">
        <f>IFERROR(__xludf.DUMMYFUNCTION("GOOGLETRANSLATE(B286,""en"",""fr"")"),"Essayez l'essai gratuit pendant 1 mois")</f>
        <v>Essayez l'essai gratuit pendant 1 mois</v>
      </c>
      <c r="F286" s="4" t="str">
        <f>IFERROR(__xludf.DUMMYFUNCTION("GOOGLETRANSLATE(B286,""en"",""tr"")"),"1 Ay Ücretsiz Denemeyi Deneyin")</f>
        <v>1 Ay Ücretsiz Denemeyi Deneyin</v>
      </c>
      <c r="G286" s="4" t="str">
        <f>IFERROR(__xludf.DUMMYFUNCTION("GOOGLETRANSLATE(B286,""en"",""ru"")"),"Попробуйте бесплатную пробную версию на 1 месяц")</f>
        <v>Попробуйте бесплатную пробную версию на 1 месяц</v>
      </c>
      <c r="H286" s="4" t="str">
        <f>IFERROR(__xludf.DUMMYFUNCTION("GOOGLETRANSLATE(B286,""en"",""it"")"),"Prova la prova gratuita per 1 mese")</f>
        <v>Prova la prova gratuita per 1 mese</v>
      </c>
      <c r="I286" s="4" t="str">
        <f>IFERROR(__xludf.DUMMYFUNCTION("GOOGLETRANSLATE(B286,""en"",""de"")"),"Testen Sie 1 Monat lang kostenlos")</f>
        <v>Testen Sie 1 Monat lang kostenlos</v>
      </c>
      <c r="J286" s="4" t="str">
        <f>IFERROR(__xludf.DUMMYFUNCTION("GOOGLETRANSLATE(B286,""en"",""ko"")"),"1개월 동안 무료 평가판을 사용해 보세요")</f>
        <v>1개월 동안 무료 평가판을 사용해 보세요</v>
      </c>
      <c r="K286" s="4" t="str">
        <f>IFERROR(__xludf.DUMMYFUNCTION("GOOGLETRANSLATE(B286,""en"",""zh"")"),"免费试用 1 个月")</f>
        <v>免费试用 1 个月</v>
      </c>
      <c r="L286" s="4" t="str">
        <f>IFERROR(__xludf.DUMMYFUNCTION("GOOGLETRANSLATE(B286,""en"",""es"")"),"Pruebe la prueba gratuita durante 1 mes")</f>
        <v>Pruebe la prueba gratuita durante 1 mes</v>
      </c>
      <c r="M286" s="4" t="str">
        <f>IFERROR(__xludf.DUMMYFUNCTION("GOOGLETRANSLATE(B286,""en"",""iw"")"),"נסה ניסיון חינם למשך חודש אחד")</f>
        <v>נסה ניסיון חינם למשך חודש אחד</v>
      </c>
      <c r="N286" s="4" t="str">
        <f>IFERROR(__xludf.DUMMYFUNCTION("GOOGLETRANSLATE(B286,""en"",""bn"")"),"1 মাসের জন্য বিনামূল্যে ট্রায়াল চেষ্টা করুন")</f>
        <v>1 মাসের জন্য বিনামূল্যে ট্রায়াল চেষ্টা করুন</v>
      </c>
      <c r="O286" s="4" t="str">
        <f>IFERROR(__xludf.DUMMYFUNCTION("GOOGLETRANSLATE(B286,""en"",""pt"")"),"Experimente o teste gratuito por 1 mês")</f>
        <v>Experimente o teste gratuito por 1 mês</v>
      </c>
      <c r="P286" s="4"/>
    </row>
    <row r="287">
      <c r="A287" s="16" t="s">
        <v>794</v>
      </c>
      <c r="B287" s="3" t="s">
        <v>795</v>
      </c>
      <c r="C287" s="4" t="str">
        <f>IFERROR(__xludf.DUMMYFUNCTION("GOOGLETRANSLATE(B287,""en"",""hi"")"),"क्या आपको 1 महीने के लिए निःशुल्क परीक्षण मिलना निश्चित है?")</f>
        <v>क्या आपको 1 महीने के लिए निःशुल्क परीक्षण मिलना निश्चित है?</v>
      </c>
      <c r="D287" s="4" t="str">
        <f>IFERROR(__xludf.DUMMYFUNCTION("GOOGLETRANSLATE(B287,""en"",""ar"")"),"هل أنت متأكد من أنك ستحصل على نسخة تجريبية مجانية لمدة شهر واحد؟")</f>
        <v>هل أنت متأكد من أنك ستحصل على نسخة تجريبية مجانية لمدة شهر واحد؟</v>
      </c>
      <c r="E287" s="4" t="str">
        <f>IFERROR(__xludf.DUMMYFUNCTION("GOOGLETRANSLATE(B287,""en"",""fr"")"),"Êtes-vous sûr de bénéficier d'un essai gratuit pendant 1 mois")</f>
        <v>Êtes-vous sûr de bénéficier d'un essai gratuit pendant 1 mois</v>
      </c>
      <c r="F287" s="4" t="str">
        <f>IFERROR(__xludf.DUMMYFUNCTION("GOOGLETRANSLATE(B287,""en"",""tr"")"),"1 ay boyunca Ücretsiz Deneme alacağınızdan emin misiniz?")</f>
        <v>1 ay boyunca Ücretsiz Deneme alacağınızdan emin misiniz?</v>
      </c>
      <c r="G287" s="4" t="str">
        <f>IFERROR(__xludf.DUMMYFUNCTION("GOOGLETRANSLATE(B287,""en"",""ru"")"),"Вы уверены, что получите бесплатную пробную версию на 1 месяц?")</f>
        <v>Вы уверены, что получите бесплатную пробную версию на 1 месяц?</v>
      </c>
      <c r="H287" s="4" t="str">
        <f>IFERROR(__xludf.DUMMYFUNCTION("GOOGLETRANSLATE(B287,""en"",""it"")"),"Sei sicuro di ricevere la prova gratuita per 1 mese")</f>
        <v>Sei sicuro di ricevere la prova gratuita per 1 mese</v>
      </c>
      <c r="I287" s="4" t="str">
        <f>IFERROR(__xludf.DUMMYFUNCTION("GOOGLETRANSLATE(B287,""en"",""de"")"),"Sind Sie sicher, dass Sie eine kostenlose Testversion für einen Monat erhalten?")</f>
        <v>Sind Sie sicher, dass Sie eine kostenlose Testversion für einen Monat erhalten?</v>
      </c>
      <c r="J287" s="4" t="str">
        <f>IFERROR(__xludf.DUMMYFUNCTION("GOOGLETRANSLATE(B287,""en"",""ko"")"),"1개월 무료 평가판을 받으시겠습니까?")</f>
        <v>1개월 무료 평가판을 받으시겠습니까?</v>
      </c>
      <c r="K287" s="4" t="str">
        <f>IFERROR(__xludf.DUMMYFUNCTION("GOOGLETRANSLATE(B287,""en"",""zh"")"),"您确定可以免费试用 1 个月吗")</f>
        <v>您确定可以免费试用 1 个月吗</v>
      </c>
      <c r="L287" s="4" t="str">
        <f>IFERROR(__xludf.DUMMYFUNCTION("GOOGLETRANSLATE(B287,""en"",""es"")"),"¿Estás seguro de obtener una prueba gratuita durante 1 mes?")</f>
        <v>¿Estás seguro de obtener una prueba gratuita durante 1 mes?</v>
      </c>
      <c r="M287" s="4" t="str">
        <f>IFERROR(__xludf.DUMMYFUNCTION("GOOGLETRANSLATE(B287,""en"",""iw"")"),"האם אתה בטוח שתקבל ניסיון חינם לחודש אחד")</f>
        <v>האם אתה בטוח שתקבל ניסיון חינם לחודש אחד</v>
      </c>
      <c r="N287" s="4" t="str">
        <f>IFERROR(__xludf.DUMMYFUNCTION("GOOGLETRANSLATE(B287,""en"",""bn"")"),"আপনি কি 1 মাসের জন্য বিনামূল্যে ট্রায়াল পাওয়ার বিষয়ে নিশ্চিত")</f>
        <v>আপনি কি 1 মাসের জন্য বিনামূল্যে ট্রায়াল পাওয়ার বিষয়ে নিশ্চিত</v>
      </c>
      <c r="O287" s="4" t="str">
        <f>IFERROR(__xludf.DUMMYFUNCTION("GOOGLETRANSLATE(B287,""en"",""pt"")"),"Você tem certeza de que receberá uma avaliação gratuita por 1 mês")</f>
        <v>Você tem certeza de que receberá uma avaliação gratuita por 1 mês</v>
      </c>
      <c r="P287" s="4"/>
    </row>
    <row r="288">
      <c r="A288" s="7" t="s">
        <v>796</v>
      </c>
      <c r="B288" s="9" t="s">
        <v>797</v>
      </c>
      <c r="C288" s="4" t="str">
        <f>IFERROR(__xludf.DUMMYFUNCTION("GOOGLETRANSLATE(B288,""en"",""hi"")"),"इंतज़ार का समय")</f>
        <v>इंतज़ार का समय</v>
      </c>
      <c r="D288" s="4" t="str">
        <f>IFERROR(__xludf.DUMMYFUNCTION("GOOGLETRANSLATE(B288,""en"",""ar"")"),"وقت الانتظار")</f>
        <v>وقت الانتظار</v>
      </c>
      <c r="E288" s="4" t="str">
        <f>IFERROR(__xludf.DUMMYFUNCTION("GOOGLETRANSLATE(B288,""en"",""fr"")"),"Temps d'attente")</f>
        <v>Temps d'attente</v>
      </c>
      <c r="F288" s="4" t="str">
        <f>IFERROR(__xludf.DUMMYFUNCTION("GOOGLETRANSLATE(B288,""en"",""tr"")"),"Bekleme süresi")</f>
        <v>Bekleme süresi</v>
      </c>
      <c r="G288" s="4" t="str">
        <f>IFERROR(__xludf.DUMMYFUNCTION("GOOGLETRANSLATE(B288,""en"",""ru"")"),"Время ожидания")</f>
        <v>Время ожидания</v>
      </c>
      <c r="H288" s="4" t="str">
        <f>IFERROR(__xludf.DUMMYFUNCTION("GOOGLETRANSLATE(B288,""en"",""it"")"),"Tempo di attesa")</f>
        <v>Tempo di attesa</v>
      </c>
      <c r="I288" s="4" t="str">
        <f>IFERROR(__xludf.DUMMYFUNCTION("GOOGLETRANSLATE(B288,""en"",""de"")"),"Wartezeit")</f>
        <v>Wartezeit</v>
      </c>
      <c r="J288" s="4" t="str">
        <f>IFERROR(__xludf.DUMMYFUNCTION("GOOGLETRANSLATE(B288,""en"",""ko"")"),"대기 시간")</f>
        <v>대기 시간</v>
      </c>
      <c r="K288" s="4" t="str">
        <f>IFERROR(__xludf.DUMMYFUNCTION("GOOGLETRANSLATE(B288,""en"",""zh"")"),"等待的时间")</f>
        <v>等待的时间</v>
      </c>
      <c r="L288" s="4" t="str">
        <f>IFERROR(__xludf.DUMMYFUNCTION("GOOGLETRANSLATE(B288,""en"",""es"")"),"Tiempo de espera")</f>
        <v>Tiempo de espera</v>
      </c>
      <c r="M288" s="4" t="str">
        <f>IFERROR(__xludf.DUMMYFUNCTION("GOOGLETRANSLATE(B288,""en"",""iw"")"),"זמן המתנה")</f>
        <v>זמן המתנה</v>
      </c>
      <c r="N288" s="4" t="str">
        <f>IFERROR(__xludf.DUMMYFUNCTION("GOOGLETRANSLATE(B288,""en"",""bn"")"),"অপেক্ষার সময়")</f>
        <v>অপেক্ষার সময়</v>
      </c>
      <c r="O288" s="4" t="str">
        <f>IFERROR(__xludf.DUMMYFUNCTION("GOOGLETRANSLATE(B288,""en"",""pt"")"),"Tempo de espera")</f>
        <v>Tempo de espera</v>
      </c>
      <c r="P288" s="4"/>
    </row>
    <row r="289">
      <c r="A289" s="7" t="s">
        <v>798</v>
      </c>
      <c r="B289" s="3" t="s">
        <v>799</v>
      </c>
      <c r="C289" s="4" t="str">
        <f>IFERROR(__xludf.DUMMYFUNCTION("GOOGLETRANSLATE(B289,""en"",""hi"")"),"मिनट")</f>
        <v>मिनट</v>
      </c>
      <c r="D289" s="4" t="str">
        <f>IFERROR(__xludf.DUMMYFUNCTION("GOOGLETRANSLATE(B289,""en"",""ar"")"),"دقيقة")</f>
        <v>دقيقة</v>
      </c>
      <c r="E289" s="4" t="str">
        <f>IFERROR(__xludf.DUMMYFUNCTION("GOOGLETRANSLATE(B289,""en"",""fr"")"),"minutes")</f>
        <v>minutes</v>
      </c>
      <c r="F289" s="4" t="str">
        <f>IFERROR(__xludf.DUMMYFUNCTION("GOOGLETRANSLATE(B289,""en"",""tr"")"),"dakika")</f>
        <v>dakika</v>
      </c>
      <c r="G289" s="4" t="str">
        <f>IFERROR(__xludf.DUMMYFUNCTION("GOOGLETRANSLATE(B289,""en"",""ru"")"),"минут")</f>
        <v>минут</v>
      </c>
      <c r="H289" s="4" t="str">
        <f>IFERROR(__xludf.DUMMYFUNCTION("GOOGLETRANSLATE(B289,""en"",""it"")"),"min")</f>
        <v>min</v>
      </c>
      <c r="I289" s="4" t="str">
        <f>IFERROR(__xludf.DUMMYFUNCTION("GOOGLETRANSLATE(B289,""en"",""de"")"),"Min")</f>
        <v>Min</v>
      </c>
      <c r="J289" s="4" t="str">
        <f>IFERROR(__xludf.DUMMYFUNCTION("GOOGLETRANSLATE(B289,""en"",""ko"")"),"분")</f>
        <v>분</v>
      </c>
      <c r="K289" s="4" t="str">
        <f>IFERROR(__xludf.DUMMYFUNCTION("GOOGLETRANSLATE(B289,""en"",""zh"")"),"分钟")</f>
        <v>分钟</v>
      </c>
      <c r="L289" s="4" t="str">
        <f>IFERROR(__xludf.DUMMYFUNCTION("GOOGLETRANSLATE(B289,""en"",""es"")"),"minutos")</f>
        <v>minutos</v>
      </c>
      <c r="M289" s="4" t="str">
        <f>IFERROR(__xludf.DUMMYFUNCTION("GOOGLETRANSLATE(B289,""en"",""iw"")"),"דקות")</f>
        <v>דקות</v>
      </c>
      <c r="N289" s="4" t="str">
        <f>IFERROR(__xludf.DUMMYFUNCTION("GOOGLETRANSLATE(B289,""en"",""bn"")"),"মিনিট")</f>
        <v>মিনিট</v>
      </c>
      <c r="O289" s="4" t="str">
        <f>IFERROR(__xludf.DUMMYFUNCTION("GOOGLETRANSLATE(B289,""en"",""pt"")"),"minutos")</f>
        <v>minutos</v>
      </c>
      <c r="P289" s="4"/>
    </row>
    <row r="290">
      <c r="A290" s="7" t="s">
        <v>800</v>
      </c>
      <c r="B290" s="3" t="s">
        <v>801</v>
      </c>
      <c r="C290" s="4" t="str">
        <f>IFERROR(__xludf.DUMMYFUNCTION("GOOGLETRANSLATE(B290,""en"",""hi"")"),"निःशुल्क प्रतीक्षा समय")</f>
        <v>निःशुल्क प्रतीक्षा समय</v>
      </c>
      <c r="D290" s="4" t="str">
        <f>IFERROR(__xludf.DUMMYFUNCTION("GOOGLETRANSLATE(B290,""en"",""ar"")"),"وقت انتظار مجاني")</f>
        <v>وقت انتظار مجاني</v>
      </c>
      <c r="E290" s="4" t="str">
        <f>IFERROR(__xludf.DUMMYFUNCTION("GOOGLETRANSLATE(B290,""en"",""fr"")"),"Temps d'attente gratuit")</f>
        <v>Temps d'attente gratuit</v>
      </c>
      <c r="F290" s="4" t="str">
        <f>IFERROR(__xludf.DUMMYFUNCTION("GOOGLETRANSLATE(B290,""en"",""tr"")"),"Ücretsiz Bekleme Süresi")</f>
        <v>Ücretsiz Bekleme Süresi</v>
      </c>
      <c r="G290" s="4" t="str">
        <f>IFERROR(__xludf.DUMMYFUNCTION("GOOGLETRANSLATE(B290,""en"",""ru"")"),"Бесплатное время ожидания")</f>
        <v>Бесплатное время ожидания</v>
      </c>
      <c r="H290" s="4" t="str">
        <f>IFERROR(__xludf.DUMMYFUNCTION("GOOGLETRANSLATE(B290,""en"",""it"")"),"Tempo di attesa gratuito")</f>
        <v>Tempo di attesa gratuito</v>
      </c>
      <c r="I290" s="4" t="str">
        <f>IFERROR(__xludf.DUMMYFUNCTION("GOOGLETRANSLATE(B290,""en"",""de"")"),"Kostenlose Wartezeit")</f>
        <v>Kostenlose Wartezeit</v>
      </c>
      <c r="J290" s="4" t="str">
        <f>IFERROR(__xludf.DUMMYFUNCTION("GOOGLETRANSLATE(B290,""en"",""ko"")"),"무료 대기 시간")</f>
        <v>무료 대기 시간</v>
      </c>
      <c r="K290" s="4" t="str">
        <f>IFERROR(__xludf.DUMMYFUNCTION("GOOGLETRANSLATE(B290,""en"",""zh"")"),"免费等候时间")</f>
        <v>免费等候时间</v>
      </c>
      <c r="L290" s="4" t="str">
        <f>IFERROR(__xludf.DUMMYFUNCTION("GOOGLETRANSLATE(B290,""en"",""es"")"),"Tiempo de espera gratuito")</f>
        <v>Tiempo de espera gratuito</v>
      </c>
      <c r="M290" s="4" t="str">
        <f>IFERROR(__xludf.DUMMYFUNCTION("GOOGLETRANSLATE(B290,""en"",""iw"")"),"זמן המתנה חינם")</f>
        <v>זמן המתנה חינם</v>
      </c>
      <c r="N290" s="4" t="str">
        <f>IFERROR(__xludf.DUMMYFUNCTION("GOOGLETRANSLATE(B290,""en"",""bn"")"),"বিনামূল্যে অপেক্ষার সময়")</f>
        <v>বিনামূল্যে অপেক্ষার সময়</v>
      </c>
      <c r="O290" s="4" t="str">
        <f>IFERROR(__xludf.DUMMYFUNCTION("GOOGLETRANSLATE(B290,""en"",""pt"")"),"Tempo de espera grátis")</f>
        <v>Tempo de espera grátis</v>
      </c>
      <c r="P290" s="4"/>
    </row>
    <row r="291">
      <c r="A291" s="7" t="s">
        <v>802</v>
      </c>
      <c r="B291" s="9" t="s">
        <v>803</v>
      </c>
      <c r="C291" s="4" t="str">
        <f>IFERROR(__xludf.DUMMYFUNCTION("GOOGLETRANSLATE(B291,""en"",""hi"")"),"यात्रा शुरू होने से पहले निःशुल्क प्रतीक्षा समय")</f>
        <v>यात्रा शुरू होने से पहले निःशुल्क प्रतीक्षा समय</v>
      </c>
      <c r="D291" s="4" t="str">
        <f>IFERROR(__xludf.DUMMYFUNCTION("GOOGLETRANSLATE(B291,""en"",""ar"")"),"وقت انتظار مجاني قبل بدء الرحلة")</f>
        <v>وقت انتظار مجاني قبل بدء الرحلة</v>
      </c>
      <c r="E291" s="4" t="str">
        <f>IFERROR(__xludf.DUMMYFUNCTION("GOOGLETRANSLATE(B291,""en"",""fr"")"),"Temps d'attente gratuit avant le début du voyage")</f>
        <v>Temps d'attente gratuit avant le début du voyage</v>
      </c>
      <c r="F291" s="4" t="str">
        <f>IFERROR(__xludf.DUMMYFUNCTION("GOOGLETRANSLATE(B291,""en"",""tr"")"),"Yolculuk Başlamadan Önce Ücretsiz Bekleme Süresi")</f>
        <v>Yolculuk Başlamadan Önce Ücretsiz Bekleme Süresi</v>
      </c>
      <c r="G291" s="4" t="str">
        <f>IFERROR(__xludf.DUMMYFUNCTION("GOOGLETRANSLATE(B291,""en"",""ru"")"),"Бесплатное время ожидания перед началом поездки")</f>
        <v>Бесплатное время ожидания перед началом поездки</v>
      </c>
      <c r="H291" s="4" t="str">
        <f>IFERROR(__xludf.DUMMYFUNCTION("GOOGLETRANSLATE(B291,""en"",""it"")"),"Tempo di attesa gratuito prima dell'inizio del viaggio")</f>
        <v>Tempo di attesa gratuito prima dell'inizio del viaggio</v>
      </c>
      <c r="I291" s="4" t="str">
        <f>IFERROR(__xludf.DUMMYFUNCTION("GOOGLETRANSLATE(B291,""en"",""de"")"),"Kostenlose Wartezeit vor Reisebeginn")</f>
        <v>Kostenlose Wartezeit vor Reisebeginn</v>
      </c>
      <c r="J291" s="4" t="str">
        <f>IFERROR(__xludf.DUMMYFUNCTION("GOOGLETRANSLATE(B291,""en"",""ko"")"),"여행 시작 전 무료 대기 시간")</f>
        <v>여행 시작 전 무료 대기 시간</v>
      </c>
      <c r="K291" s="4" t="str">
        <f>IFERROR(__xludf.DUMMYFUNCTION("GOOGLETRANSLATE(B291,""en"",""zh"")"),"行程开始前的免费等待时间")</f>
        <v>行程开始前的免费等待时间</v>
      </c>
      <c r="L291" s="4" t="str">
        <f>IFERROR(__xludf.DUMMYFUNCTION("GOOGLETRANSLATE(B291,""en"",""es"")"),"Tiempo de espera gratuito antes del inicio del viaje")</f>
        <v>Tiempo de espera gratuito antes del inicio del viaje</v>
      </c>
      <c r="M291" s="4" t="str">
        <f>IFERROR(__xludf.DUMMYFUNCTION("GOOGLETRANSLATE(B291,""en"",""iw"")"),"זמן המתנה חינם לפני תחילת הטיול")</f>
        <v>זמן המתנה חינם לפני תחילת הטיול</v>
      </c>
      <c r="N291" s="4" t="str">
        <f>IFERROR(__xludf.DUMMYFUNCTION("GOOGLETRANSLATE(B291,""en"",""bn"")"),"ট্রিপ শুরুর আগে বিনামূল্যে অপেক্ষার সময়")</f>
        <v>ট্রিপ শুরুর আগে বিনামূল্যে অপেক্ষার সময়</v>
      </c>
      <c r="O291" s="4" t="str">
        <f>IFERROR(__xludf.DUMMYFUNCTION("GOOGLETRANSLATE(B291,""en"",""pt"")"),"Tempo de espera gratuito antes do início da viagem")</f>
        <v>Tempo de espera gratuito antes do início da viagem</v>
      </c>
      <c r="P291" s="4"/>
    </row>
    <row r="292">
      <c r="A292" s="7" t="s">
        <v>804</v>
      </c>
      <c r="B292" s="9" t="s">
        <v>805</v>
      </c>
      <c r="C292" s="4" t="str">
        <f>IFERROR(__xludf.DUMMYFUNCTION("GOOGLETRANSLATE(B292,""en"",""hi"")"),"यात्रा शुरू होने के बाद निःशुल्क प्रतीक्षा समय")</f>
        <v>यात्रा शुरू होने के बाद निःशुल्क प्रतीक्षा समय</v>
      </c>
      <c r="D292" s="4" t="str">
        <f>IFERROR(__xludf.DUMMYFUNCTION("GOOGLETRANSLATE(B292,""en"",""ar"")"),"وقت انتظار مجاني بعد بدء الرحلة")</f>
        <v>وقت انتظار مجاني بعد بدء الرحلة</v>
      </c>
      <c r="E292" s="4" t="str">
        <f>IFERROR(__xludf.DUMMYFUNCTION("GOOGLETRANSLATE(B292,""en"",""fr"")"),"Temps d'attente gratuit après le début du voyage")</f>
        <v>Temps d'attente gratuit après le début du voyage</v>
      </c>
      <c r="F292" s="4" t="str">
        <f>IFERROR(__xludf.DUMMYFUNCTION("GOOGLETRANSLATE(B292,""en"",""tr"")"),"Yolculuk Başladıktan Sonra Ücretsiz Bekleme Süresi")</f>
        <v>Yolculuk Başladıktan Sonra Ücretsiz Bekleme Süresi</v>
      </c>
      <c r="G292" s="4" t="str">
        <f>IFERROR(__xludf.DUMMYFUNCTION("GOOGLETRANSLATE(B292,""en"",""ru"")"),"Бесплатное время ожидания после начала поездки")</f>
        <v>Бесплатное время ожидания после начала поездки</v>
      </c>
      <c r="H292" s="4" t="str">
        <f>IFERROR(__xludf.DUMMYFUNCTION("GOOGLETRANSLATE(B292,""en"",""it"")"),"Tempo di attesa gratuito dopo l'inizio del viaggio")</f>
        <v>Tempo di attesa gratuito dopo l'inizio del viaggio</v>
      </c>
      <c r="I292" s="4" t="str">
        <f>IFERROR(__xludf.DUMMYFUNCTION("GOOGLETRANSLATE(B292,""en"",""de"")"),"Kostenlose Wartezeit nach Reisebeginn")</f>
        <v>Kostenlose Wartezeit nach Reisebeginn</v>
      </c>
      <c r="J292" s="4" t="str">
        <f>IFERROR(__xludf.DUMMYFUNCTION("GOOGLETRANSLATE(B292,""en"",""ko"")"),"여행 시작 후 무료 대기 시간")</f>
        <v>여행 시작 후 무료 대기 시간</v>
      </c>
      <c r="K292" s="4" t="str">
        <f>IFERROR(__xludf.DUMMYFUNCTION("GOOGLETRANSLATE(B292,""en"",""zh"")"),"行程开始后的免费等待时间")</f>
        <v>行程开始后的免费等待时间</v>
      </c>
      <c r="L292" s="4" t="str">
        <f>IFERROR(__xludf.DUMMYFUNCTION("GOOGLETRANSLATE(B292,""en"",""es"")"),"Tiempo de espera gratuito después del inicio del viaje")</f>
        <v>Tiempo de espera gratuito después del inicio del viaje</v>
      </c>
      <c r="M292" s="4" t="str">
        <f>IFERROR(__xludf.DUMMYFUNCTION("GOOGLETRANSLATE(B292,""en"",""iw"")"),"זמן המתנה חינם לאחר תחילת הטיול")</f>
        <v>זמן המתנה חינם לאחר תחילת הטיול</v>
      </c>
      <c r="N292" s="4" t="str">
        <f>IFERROR(__xludf.DUMMYFUNCTION("GOOGLETRANSLATE(B292,""en"",""bn"")"),"ট্রিপ শুরুর পরে বিনামূল্যে অপেক্ষার সময়")</f>
        <v>ট্রিপ শুরুর পরে বিনামূল্যে অপেক্ষার সময়</v>
      </c>
      <c r="O292" s="4" t="str">
        <f>IFERROR(__xludf.DUMMYFUNCTION("GOOGLETRANSLATE(B292,""en"",""pt"")"),"Tempo de espera gratuito após o início da viagem")</f>
        <v>Tempo de espera gratuito após o início da viagem</v>
      </c>
      <c r="P292" s="4"/>
    </row>
    <row r="293">
      <c r="A293" s="7" t="s">
        <v>806</v>
      </c>
      <c r="B293" s="9" t="s">
        <v>807</v>
      </c>
      <c r="C293" s="4" t="str">
        <f>IFERROR(__xludf.DUMMYFUNCTION("GOOGLETRANSLATE(B293,""en"",""hi"")"),"प्रतीक्षारत कीमत")</f>
        <v>प्रतीक्षारत कीमत</v>
      </c>
      <c r="D293" s="4" t="str">
        <f>IFERROR(__xludf.DUMMYFUNCTION("GOOGLETRANSLATE(B293,""en"",""ar"")"),"سعر الانتظار")</f>
        <v>سعر الانتظار</v>
      </c>
      <c r="E293" s="4" t="str">
        <f>IFERROR(__xludf.DUMMYFUNCTION("GOOGLETRANSLATE(B293,""en"",""fr"")"),"Prix ​​d'attente")</f>
        <v>Prix ​​d'attente</v>
      </c>
      <c r="F293" s="4" t="str">
        <f>IFERROR(__xludf.DUMMYFUNCTION("GOOGLETRANSLATE(B293,""en"",""tr"")"),"Bekleyen Fiyat")</f>
        <v>Bekleyen Fiyat</v>
      </c>
      <c r="G293" s="4" t="str">
        <f>IFERROR(__xludf.DUMMYFUNCTION("GOOGLETRANSLATE(B293,""en"",""ru"")"),"Цена ожидания")</f>
        <v>Цена ожидания</v>
      </c>
      <c r="H293" s="4" t="str">
        <f>IFERROR(__xludf.DUMMYFUNCTION("GOOGLETRANSLATE(B293,""en"",""it"")"),"Prezzo in attesa")</f>
        <v>Prezzo in attesa</v>
      </c>
      <c r="I293" s="4" t="str">
        <f>IFERROR(__xludf.DUMMYFUNCTION("GOOGLETRANSLATE(B293,""en"",""de"")"),"Wartepreis")</f>
        <v>Wartepreis</v>
      </c>
      <c r="J293" s="4" t="str">
        <f>IFERROR(__xludf.DUMMYFUNCTION("GOOGLETRANSLATE(B293,""en"",""ko"")"),"대기 가격")</f>
        <v>대기 가격</v>
      </c>
      <c r="K293" s="4" t="str">
        <f>IFERROR(__xludf.DUMMYFUNCTION("GOOGLETRANSLATE(B293,""en"",""zh"")"),"等待价格")</f>
        <v>等待价格</v>
      </c>
      <c r="L293" s="4" t="str">
        <f>IFERROR(__xludf.DUMMYFUNCTION("GOOGLETRANSLATE(B293,""en"",""es"")"),"Precio en espera")</f>
        <v>Precio en espera</v>
      </c>
      <c r="M293" s="4" t="str">
        <f>IFERROR(__xludf.DUMMYFUNCTION("GOOGLETRANSLATE(B293,""en"",""iw"")"),"מחיר מחכה")</f>
        <v>מחיר מחכה</v>
      </c>
      <c r="N293" s="4" t="str">
        <f>IFERROR(__xludf.DUMMYFUNCTION("GOOGLETRANSLATE(B293,""en"",""bn"")"),"অপেক্ষায় দাম")</f>
        <v>অপেক্ষায় দাম</v>
      </c>
      <c r="O293" s="4" t="str">
        <f>IFERROR(__xludf.DUMMYFUNCTION("GOOGLETRANSLATE(B293,""en"",""pt"")"),"Preço de espera")</f>
        <v>Preço de espera</v>
      </c>
      <c r="P293" s="4"/>
    </row>
    <row r="294">
      <c r="A294" s="7" t="s">
        <v>808</v>
      </c>
      <c r="B294" s="9" t="s">
        <v>809</v>
      </c>
      <c r="C294" s="4" t="str">
        <f>IFERROR(__xludf.DUMMYFUNCTION("GOOGLETRANSLATE(B294,""en"",""hi"")"),"छूट")</f>
        <v>छूट</v>
      </c>
      <c r="D294" s="4" t="str">
        <f>IFERROR(__xludf.DUMMYFUNCTION("GOOGLETRANSLATE(B294,""en"",""ar"")"),"تخفيض")</f>
        <v>تخفيض</v>
      </c>
      <c r="E294" s="4" t="str">
        <f>IFERROR(__xludf.DUMMYFUNCTION("GOOGLETRANSLATE(B294,""en"",""fr"")"),"Rabais")</f>
        <v>Rabais</v>
      </c>
      <c r="F294" s="4" t="str">
        <f>IFERROR(__xludf.DUMMYFUNCTION("GOOGLETRANSLATE(B294,""en"",""tr"")"),"İndirim")</f>
        <v>İndirim</v>
      </c>
      <c r="G294" s="4" t="str">
        <f>IFERROR(__xludf.DUMMYFUNCTION("GOOGLETRANSLATE(B294,""en"",""ru"")"),"Скидка")</f>
        <v>Скидка</v>
      </c>
      <c r="H294" s="4" t="str">
        <f>IFERROR(__xludf.DUMMYFUNCTION("GOOGLETRANSLATE(B294,""en"",""it"")"),"Sconto")</f>
        <v>Sconto</v>
      </c>
      <c r="I294" s="4" t="str">
        <f>IFERROR(__xludf.DUMMYFUNCTION("GOOGLETRANSLATE(B294,""en"",""de"")"),"Rabatt")</f>
        <v>Rabatt</v>
      </c>
      <c r="J294" s="4" t="str">
        <f>IFERROR(__xludf.DUMMYFUNCTION("GOOGLETRANSLATE(B294,""en"",""ko"")"),"할인")</f>
        <v>할인</v>
      </c>
      <c r="K294" s="4" t="str">
        <f>IFERROR(__xludf.DUMMYFUNCTION("GOOGLETRANSLATE(B294,""en"",""zh"")"),"折扣")</f>
        <v>折扣</v>
      </c>
      <c r="L294" s="4" t="str">
        <f>IFERROR(__xludf.DUMMYFUNCTION("GOOGLETRANSLATE(B294,""en"",""es"")"),"Descuento")</f>
        <v>Descuento</v>
      </c>
      <c r="M294" s="4" t="str">
        <f>IFERROR(__xludf.DUMMYFUNCTION("GOOGLETRANSLATE(B294,""en"",""iw"")"),"הנחה")</f>
        <v>הנחה</v>
      </c>
      <c r="N294" s="4" t="str">
        <f>IFERROR(__xludf.DUMMYFUNCTION("GOOGLETRANSLATE(B294,""en"",""bn"")"),"ছাড়")</f>
        <v>ছাড়</v>
      </c>
      <c r="O294" s="4" t="str">
        <f>IFERROR(__xludf.DUMMYFUNCTION("GOOGLETRANSLATE(B294,""en"",""pt"")"),"Desconto")</f>
        <v>Desconto</v>
      </c>
      <c r="P294" s="4"/>
    </row>
    <row r="295">
      <c r="A295" s="19" t="s">
        <v>810</v>
      </c>
      <c r="B295" s="3" t="s">
        <v>811</v>
      </c>
      <c r="C295" s="4" t="str">
        <f>IFERROR(__xludf.DUMMYFUNCTION("GOOGLETRANSLATE(B295,""en"",""hi"")"),"आपके स्थान पर सेवा उपलब्ध नहीं है")</f>
        <v>आपके स्थान पर सेवा उपलब्ध नहीं है</v>
      </c>
      <c r="D295" s="4" t="str">
        <f>IFERROR(__xludf.DUMMYFUNCTION("GOOGLETRANSLATE(B295,""en"",""ar"")"),"الخدمة غير متوفرة في موقعك")</f>
        <v>الخدمة غير متوفرة في موقعك</v>
      </c>
      <c r="E295" s="4" t="str">
        <f>IFERROR(__xludf.DUMMYFUNCTION("GOOGLETRANSLATE(B295,""en"",""fr"")"),"Service non disponible dans votre région")</f>
        <v>Service non disponible dans votre région</v>
      </c>
      <c r="F295" s="4" t="str">
        <f>IFERROR(__xludf.DUMMYFUNCTION("GOOGLETRANSLATE(B295,""en"",""tr"")"),"Bulunduğunuz yerde hizmet mevcut değil")</f>
        <v>Bulunduğunuz yerde hizmet mevcut değil</v>
      </c>
      <c r="G295" s="4" t="str">
        <f>IFERROR(__xludf.DUMMYFUNCTION("GOOGLETRANSLATE(B295,""en"",""ru"")"),"Услуга недоступна в вашем регионе")</f>
        <v>Услуга недоступна в вашем регионе</v>
      </c>
      <c r="H295" s="4" t="str">
        <f>IFERROR(__xludf.DUMMYFUNCTION("GOOGLETRANSLATE(B295,""en"",""it"")"),"Servizio non disponibile nella tua località")</f>
        <v>Servizio non disponibile nella tua località</v>
      </c>
      <c r="I295" s="4" t="str">
        <f>IFERROR(__xludf.DUMMYFUNCTION("GOOGLETRANSLATE(B295,""en"",""de"")"),"Der Dienst ist an Ihrem Standort nicht verfügbar")</f>
        <v>Der Dienst ist an Ihrem Standort nicht verfügbar</v>
      </c>
      <c r="J295" s="4" t="str">
        <f>IFERROR(__xludf.DUMMYFUNCTION("GOOGLETRANSLATE(B295,""en"",""ko"")"),"귀하의 지역에서는 서비스를 이용할 수 없습니다")</f>
        <v>귀하의 지역에서는 서비스를 이용할 수 없습니다</v>
      </c>
      <c r="K295" s="4" t="str">
        <f>IFERROR(__xludf.DUMMYFUNCTION("GOOGLETRANSLATE(B295,""en"",""zh"")"),"您所在的位置不提供服务")</f>
        <v>您所在的位置不提供服务</v>
      </c>
      <c r="L295" s="4" t="str">
        <f>IFERROR(__xludf.DUMMYFUNCTION("GOOGLETRANSLATE(B295,""en"",""es"")"),"Servicio no disponible en su ubicación")</f>
        <v>Servicio no disponible en su ubicación</v>
      </c>
      <c r="M295" s="4" t="str">
        <f>IFERROR(__xludf.DUMMYFUNCTION("GOOGLETRANSLATE(B295,""en"",""iw"")"),"השירות אינו זמין במיקומך")</f>
        <v>השירות אינו זמין במיקומך</v>
      </c>
      <c r="N295" s="4" t="str">
        <f>IFERROR(__xludf.DUMMYFUNCTION("GOOGLETRANSLATE(B295,""en"",""bn"")"),"আপনার অবস্থানে পরিষেবা উপলব্ধ নেই৷")</f>
        <v>আপনার অবস্থানে পরিষেবা উপলব্ধ নেই৷</v>
      </c>
      <c r="O295" s="4" t="str">
        <f>IFERROR(__xludf.DUMMYFUNCTION("GOOGLETRANSLATE(B295,""en"",""pt"")"),"Serviço não disponível em sua localidade")</f>
        <v>Serviço não disponível em sua localidade</v>
      </c>
      <c r="P295" s="4"/>
    </row>
    <row r="296">
      <c r="A296" s="20" t="s">
        <v>812</v>
      </c>
      <c r="B296" s="9" t="s">
        <v>813</v>
      </c>
      <c r="C296" s="4" t="str">
        <f>IFERROR(__xludf.DUMMYFUNCTION("GOOGLETRANSLATE(B296,""en"",""hi"")"),"टैक्स सहित")</f>
        <v>टैक्स सहित</v>
      </c>
      <c r="D296" s="4" t="str">
        <f>IFERROR(__xludf.DUMMYFUNCTION("GOOGLETRANSLATE(B296,""en"",""ar"")"),"شامل الضريبة")</f>
        <v>شامل الضريبة</v>
      </c>
      <c r="E296" s="4" t="str">
        <f>IFERROR(__xludf.DUMMYFUNCTION("GOOGLETRANSLATE(B296,""en"",""fr"")"),"TAXE incluse")</f>
        <v>TAXE incluse</v>
      </c>
      <c r="F296" s="4" t="str">
        <f>IFERROR(__xludf.DUMMYFUNCTION("GOOGLETRANSLATE(B296,""en"",""tr"")"),"VERGİ dahil")</f>
        <v>VERGİ dahil</v>
      </c>
      <c r="G296" s="4" t="str">
        <f>IFERROR(__xludf.DUMMYFUNCTION("GOOGLETRANSLATE(B296,""en"",""ru"")"),"С учетом НАЛОГА")</f>
        <v>С учетом НАЛОГА</v>
      </c>
      <c r="H296" s="4" t="str">
        <f>IFERROR(__xludf.DUMMYFUNCTION("GOOGLETRANSLATE(B296,""en"",""it"")"),"Incluso IVA")</f>
        <v>Incluso IVA</v>
      </c>
      <c r="I296" s="4" t="str">
        <f>IFERROR(__xludf.DUMMYFUNCTION("GOOGLETRANSLATE(B296,""en"",""de"")"),"Inklusive Steuern")</f>
        <v>Inklusive Steuern</v>
      </c>
      <c r="J296" s="4" t="str">
        <f>IFERROR(__xludf.DUMMYFUNCTION("GOOGLETRANSLATE(B296,""en"",""ko"")"),"세금 포함")</f>
        <v>세금 포함</v>
      </c>
      <c r="K296" s="4" t="str">
        <f>IFERROR(__xludf.DUMMYFUNCTION("GOOGLETRANSLATE(B296,""en"",""zh"")"),"含税")</f>
        <v>含税</v>
      </c>
      <c r="L296" s="4" t="str">
        <f>IFERROR(__xludf.DUMMYFUNCTION("GOOGLETRANSLATE(B296,""en"",""es"")"),"Incluye IVA")</f>
        <v>Incluye IVA</v>
      </c>
      <c r="M296" s="4" t="str">
        <f>IFERROR(__xludf.DUMMYFUNCTION("GOOGLETRANSLATE(B296,""en"",""iw"")"),"כולל מס")</f>
        <v>כולל מס</v>
      </c>
      <c r="N296" s="4" t="str">
        <f>IFERROR(__xludf.DUMMYFUNCTION("GOOGLETRANSLATE(B296,""en"",""bn"")"),"ট্যাক্স সহ")</f>
        <v>ট্যাক্স সহ</v>
      </c>
      <c r="O296" s="4" t="str">
        <f>IFERROR(__xludf.DUMMYFUNCTION("GOOGLETRANSLATE(B296,""en"",""pt"")"),"Incluindo IMPOSTO")</f>
        <v>Incluindo IMPOSTO</v>
      </c>
      <c r="P296" s="4"/>
    </row>
    <row r="297">
      <c r="A297" s="7" t="s">
        <v>814</v>
      </c>
      <c r="B297" s="9" t="s">
        <v>815</v>
      </c>
      <c r="C297" s="4" t="str">
        <f>IFERROR(__xludf.DUMMYFUNCTION("GOOGLETRANSLATE(B297,""en"",""hi"")"),"वृद्धि शुल्क")</f>
        <v>वृद्धि शुल्क</v>
      </c>
      <c r="D297" s="4" t="str">
        <f>IFERROR(__xludf.DUMMYFUNCTION("GOOGLETRANSLATE(B297,""en"",""ar"")"),"رسوم الطفرة")</f>
        <v>رسوم الطفرة</v>
      </c>
      <c r="E297" s="4" t="str">
        <f>IFERROR(__xludf.DUMMYFUNCTION("GOOGLETRANSLATE(B297,""en"",""fr"")"),"Frais de surtension")</f>
        <v>Frais de surtension</v>
      </c>
      <c r="F297" s="4" t="str">
        <f>IFERROR(__xludf.DUMMYFUNCTION("GOOGLETRANSLATE(B297,""en"",""tr"")"),"Dalgalanma ücreti")</f>
        <v>Dalgalanma ücreti</v>
      </c>
      <c r="G297" s="4" t="str">
        <f>IFERROR(__xludf.DUMMYFUNCTION("GOOGLETRANSLATE(B297,""en"",""ru"")"),"Дополнительный сбор")</f>
        <v>Дополнительный сбор</v>
      </c>
      <c r="H297" s="4" t="str">
        <f>IFERROR(__xludf.DUMMYFUNCTION("GOOGLETRANSLATE(B297,""en"",""it"")"),"Tassa di aumento")</f>
        <v>Tassa di aumento</v>
      </c>
      <c r="I297" s="4" t="str">
        <f>IFERROR(__xludf.DUMMYFUNCTION("GOOGLETRANSLATE(B297,""en"",""de"")"),"Zusatzgebühr")</f>
        <v>Zusatzgebühr</v>
      </c>
      <c r="J297" s="4" t="str">
        <f>IFERROR(__xludf.DUMMYFUNCTION("GOOGLETRANSLATE(B297,""en"",""ko"")"),"서지 수수료")</f>
        <v>서지 수수료</v>
      </c>
      <c r="K297" s="4" t="str">
        <f>IFERROR(__xludf.DUMMYFUNCTION("GOOGLETRANSLATE(B297,""en"",""zh"")"),"浪涌费")</f>
        <v>浪涌费</v>
      </c>
      <c r="L297" s="4" t="str">
        <f>IFERROR(__xludf.DUMMYFUNCTION("GOOGLETRANSLATE(B297,""en"",""es"")"),"Tarifa de aumento")</f>
        <v>Tarifa de aumento</v>
      </c>
      <c r="M297" s="4" t="str">
        <f>IFERROR(__xludf.DUMMYFUNCTION("GOOGLETRANSLATE(B297,""en"",""iw"")"),"עמלת נחשול")</f>
        <v>עמלת נחשול</v>
      </c>
      <c r="N297" s="4" t="str">
        <f>IFERROR(__xludf.DUMMYFUNCTION("GOOGLETRANSLATE(B297,""en"",""bn"")"),"সার্জ ফি")</f>
        <v>সার্জ ফি</v>
      </c>
      <c r="O297" s="4" t="str">
        <f>IFERROR(__xludf.DUMMYFUNCTION("GOOGLETRANSLATE(B297,""en"",""pt"")"),"Taxa de sobretensão")</f>
        <v>Taxa de sobretensão</v>
      </c>
      <c r="P297" s="4"/>
    </row>
    <row r="298">
      <c r="A298" s="21" t="s">
        <v>816</v>
      </c>
      <c r="B298" s="22" t="s">
        <v>817</v>
      </c>
      <c r="C298" s="4" t="str">
        <f>IFERROR(__xludf.DUMMYFUNCTION("GOOGLETRANSLATE(B298,""en"",""hi"")"),"भुगतान का तरीका चुनें")</f>
        <v>भुगतान का तरीका चुनें</v>
      </c>
      <c r="D298" s="4" t="str">
        <f>IFERROR(__xludf.DUMMYFUNCTION("GOOGLETRANSLATE(B298,""en"",""ar"")"),"اختر وسيلة الدفع")</f>
        <v>اختر وسيلة الدفع</v>
      </c>
      <c r="E298" s="4" t="str">
        <f>IFERROR(__xludf.DUMMYFUNCTION("GOOGLETRANSLATE(B298,""en"",""fr"")"),"Choisissez le mode de paiement")</f>
        <v>Choisissez le mode de paiement</v>
      </c>
      <c r="F298" s="4" t="str">
        <f>IFERROR(__xludf.DUMMYFUNCTION("GOOGLETRANSLATE(B298,""en"",""tr"")"),"Ödeme yöntemini seçin")</f>
        <v>Ödeme yöntemini seçin</v>
      </c>
      <c r="G298" s="4" t="str">
        <f>IFERROR(__xludf.DUMMYFUNCTION("GOOGLETRANSLATE(B298,""en"",""ru"")"),"Выберите способ оплаты")</f>
        <v>Выберите способ оплаты</v>
      </c>
      <c r="H298" s="4" t="str">
        <f>IFERROR(__xludf.DUMMYFUNCTION("GOOGLETRANSLATE(B298,""en"",""it"")"),"Scegli il metodo di pagamento")</f>
        <v>Scegli il metodo di pagamento</v>
      </c>
      <c r="I298" s="4" t="str">
        <f>IFERROR(__xludf.DUMMYFUNCTION("GOOGLETRANSLATE(B298,""en"",""de"")"),"Zahlungsart auswählen")</f>
        <v>Zahlungsart auswählen</v>
      </c>
      <c r="J298" s="4" t="str">
        <f>IFERROR(__xludf.DUMMYFUNCTION("GOOGLETRANSLATE(B298,""en"",""ko"")"),"결제 방법 선택")</f>
        <v>결제 방법 선택</v>
      </c>
      <c r="K298" s="4" t="str">
        <f>IFERROR(__xludf.DUMMYFUNCTION("GOOGLETRANSLATE(B298,""en"",""zh"")"),"选择付款方式")</f>
        <v>选择付款方式</v>
      </c>
      <c r="L298" s="4" t="str">
        <f>IFERROR(__xludf.DUMMYFUNCTION("GOOGLETRANSLATE(B298,""en"",""es"")"),"Elige el método de pago")</f>
        <v>Elige el método de pago</v>
      </c>
      <c r="M298" s="4" t="str">
        <f>IFERROR(__xludf.DUMMYFUNCTION("GOOGLETRANSLATE(B298,""en"",""iw"")"),"בחר אמצעי תשלום")</f>
        <v>בחר אמצעי תשלום</v>
      </c>
      <c r="N298" s="4" t="str">
        <f>IFERROR(__xludf.DUMMYFUNCTION("GOOGLETRANSLATE(B298,""en"",""bn"")"),"পরিশোধের পদ্ধতি নির্বাচন করুন")</f>
        <v>পরিশোধের পদ্ধতি নির্বাচন করুন</v>
      </c>
      <c r="O298" s="4" t="str">
        <f>IFERROR(__xludf.DUMMYFUNCTION("GOOGLETRANSLATE(B298,""en"",""pt"")"),"Escolha o método de pagamento")</f>
        <v>Escolha o método de pagamento</v>
      </c>
      <c r="P298" s="4"/>
    </row>
    <row r="299">
      <c r="A299" s="21" t="s">
        <v>818</v>
      </c>
      <c r="B299" s="8" t="s">
        <v>819</v>
      </c>
      <c r="C299" s="4" t="str">
        <f>IFERROR(__xludf.DUMMYFUNCTION("GOOGLETRANSLATE(B299,""en"",""hi"")"),"किराये की सवारी")</f>
        <v>किराये की सवारी</v>
      </c>
      <c r="D299" s="4" t="str">
        <f>IFERROR(__xludf.DUMMYFUNCTION("GOOGLETRANSLATE(B299,""en"",""ar"")"),"ركوب الإيجار")</f>
        <v>ركوب الإيجار</v>
      </c>
      <c r="E299" s="4" t="str">
        <f>IFERROR(__xludf.DUMMYFUNCTION("GOOGLETRANSLATE(B299,""en"",""fr"")"),"Balade en location")</f>
        <v>Balade en location</v>
      </c>
      <c r="F299" s="4" t="str">
        <f>IFERROR(__xludf.DUMMYFUNCTION("GOOGLETRANSLATE(B299,""en"",""tr"")"),"Kiralık Yolculuk")</f>
        <v>Kiralık Yolculuk</v>
      </c>
      <c r="G299" s="4" t="str">
        <f>IFERROR(__xludf.DUMMYFUNCTION("GOOGLETRANSLATE(B299,""en"",""ru"")"),"Прокат езды")</f>
        <v>Прокат езды</v>
      </c>
      <c r="H299" s="4" t="str">
        <f>IFERROR(__xludf.DUMMYFUNCTION("GOOGLETRANSLATE(B299,""en"",""it"")"),"Giro a noleggio")</f>
        <v>Giro a noleggio</v>
      </c>
      <c r="I299" s="4" t="str">
        <f>IFERROR(__xludf.DUMMYFUNCTION("GOOGLETRANSLATE(B299,""en"",""de"")"),"Mietfahrt")</f>
        <v>Mietfahrt</v>
      </c>
      <c r="J299" s="4" t="str">
        <f>IFERROR(__xludf.DUMMYFUNCTION("GOOGLETRANSLATE(B299,""en"",""ko"")"),"렌탈 라이드")</f>
        <v>렌탈 라이드</v>
      </c>
      <c r="K299" s="4" t="str">
        <f>IFERROR(__xludf.DUMMYFUNCTION("GOOGLETRANSLATE(B299,""en"",""zh"")"),"出租乘车")</f>
        <v>出租乘车</v>
      </c>
      <c r="L299" s="4" t="str">
        <f>IFERROR(__xludf.DUMMYFUNCTION("GOOGLETRANSLATE(B299,""en"",""es"")"),"Paseo de alquiler")</f>
        <v>Paseo de alquiler</v>
      </c>
      <c r="M299" s="4" t="str">
        <f>IFERROR(__xludf.DUMMYFUNCTION("GOOGLETRANSLATE(B299,""en"",""iw"")"),"נסיעה להשכרה")</f>
        <v>נסיעה להשכרה</v>
      </c>
      <c r="N299" s="4" t="str">
        <f>IFERROR(__xludf.DUMMYFUNCTION("GOOGLETRANSLATE(B299,""en"",""bn"")"),"ভাড়ার রাইড")</f>
        <v>ভাড়ার রাইড</v>
      </c>
      <c r="O299" s="4" t="str">
        <f>IFERROR(__xludf.DUMMYFUNCTION("GOOGLETRANSLATE(B299,""en"",""pt"")"),"Passeio de aluguel")</f>
        <v>Passeio de aluguel</v>
      </c>
      <c r="P299" s="4"/>
    </row>
    <row r="300">
      <c r="A300" s="21" t="s">
        <v>820</v>
      </c>
      <c r="B300" s="8" t="s">
        <v>821</v>
      </c>
      <c r="C300" s="4" t="str">
        <f>IFERROR(__xludf.DUMMYFUNCTION("GOOGLETRANSLATE(B300,""en"",""hi"")"),"नियमित")</f>
        <v>नियमित</v>
      </c>
      <c r="D300" s="4" t="str">
        <f>IFERROR(__xludf.DUMMYFUNCTION("GOOGLETRANSLATE(B300,""en"",""ar"")"),"عادي")</f>
        <v>عادي</v>
      </c>
      <c r="E300" s="4" t="str">
        <f>IFERROR(__xludf.DUMMYFUNCTION("GOOGLETRANSLATE(B300,""en"",""fr"")"),"Régulier")</f>
        <v>Régulier</v>
      </c>
      <c r="F300" s="4" t="str">
        <f>IFERROR(__xludf.DUMMYFUNCTION("GOOGLETRANSLATE(B300,""en"",""tr"")"),"Düzenli")</f>
        <v>Düzenli</v>
      </c>
      <c r="G300" s="4" t="str">
        <f>IFERROR(__xludf.DUMMYFUNCTION("GOOGLETRANSLATE(B300,""en"",""ru"")"),"Обычный")</f>
        <v>Обычный</v>
      </c>
      <c r="H300" s="4" t="str">
        <f>IFERROR(__xludf.DUMMYFUNCTION("GOOGLETRANSLATE(B300,""en"",""it"")"),"Regolare")</f>
        <v>Regolare</v>
      </c>
      <c r="I300" s="4" t="str">
        <f>IFERROR(__xludf.DUMMYFUNCTION("GOOGLETRANSLATE(B300,""en"",""de"")"),"Regulär")</f>
        <v>Regulär</v>
      </c>
      <c r="J300" s="4" t="str">
        <f>IFERROR(__xludf.DUMMYFUNCTION("GOOGLETRANSLATE(B300,""en"",""ko"")"),"정기적인")</f>
        <v>정기적인</v>
      </c>
      <c r="K300" s="4" t="str">
        <f>IFERROR(__xludf.DUMMYFUNCTION("GOOGLETRANSLATE(B300,""en"",""zh"")"),"常规的")</f>
        <v>常规的</v>
      </c>
      <c r="L300" s="4" t="str">
        <f>IFERROR(__xludf.DUMMYFUNCTION("GOOGLETRANSLATE(B300,""en"",""es"")"),"Regular")</f>
        <v>Regular</v>
      </c>
      <c r="M300" s="4" t="str">
        <f>IFERROR(__xludf.DUMMYFUNCTION("GOOGLETRANSLATE(B300,""en"",""iw"")"),"רגיל")</f>
        <v>רגיל</v>
      </c>
      <c r="N300" s="4" t="str">
        <f>IFERROR(__xludf.DUMMYFUNCTION("GOOGLETRANSLATE(B300,""en"",""bn"")"),"নিয়মিত")</f>
        <v>নিয়মিত</v>
      </c>
      <c r="O300" s="4" t="str">
        <f>IFERROR(__xludf.DUMMYFUNCTION("GOOGLETRANSLATE(B300,""en"",""pt"")"),"Regular")</f>
        <v>Regular</v>
      </c>
      <c r="P300" s="4"/>
    </row>
    <row r="301">
      <c r="A301" s="21" t="s">
        <v>822</v>
      </c>
      <c r="B301" s="8" t="s">
        <v>823</v>
      </c>
      <c r="C301" s="4" t="str">
        <f>IFERROR(__xludf.DUMMYFUNCTION("GOOGLETRANSLATE(B301,""en"",""hi"")"),"पैकेज का नाम")</f>
        <v>पैकेज का नाम</v>
      </c>
      <c r="D301" s="4" t="str">
        <f>IFERROR(__xludf.DUMMYFUNCTION("GOOGLETRANSLATE(B301,""en"",""ar"")"),"اسم الحزمة")</f>
        <v>اسم الحزمة</v>
      </c>
      <c r="E301" s="4" t="str">
        <f>IFERROR(__xludf.DUMMYFUNCTION("GOOGLETRANSLATE(B301,""en"",""fr"")"),"Nom du paquet")</f>
        <v>Nom du paquet</v>
      </c>
      <c r="F301" s="4" t="str">
        <f>IFERROR(__xludf.DUMMYFUNCTION("GOOGLETRANSLATE(B301,""en"",""tr"")"),"Paket ismi")</f>
        <v>Paket ismi</v>
      </c>
      <c r="G301" s="4" t="str">
        <f>IFERROR(__xludf.DUMMYFUNCTION("GOOGLETRANSLATE(B301,""en"",""ru"")"),"Имя пакета")</f>
        <v>Имя пакета</v>
      </c>
      <c r="H301" s="4" t="str">
        <f>IFERROR(__xludf.DUMMYFUNCTION("GOOGLETRANSLATE(B301,""en"",""it"")"),"Nome del pacchetto")</f>
        <v>Nome del pacchetto</v>
      </c>
      <c r="I301" s="4" t="str">
        <f>IFERROR(__xludf.DUMMYFUNCTION("GOOGLETRANSLATE(B301,""en"",""de"")"),"Paketnamen")</f>
        <v>Paketnamen</v>
      </c>
      <c r="J301" s="4" t="str">
        <f>IFERROR(__xludf.DUMMYFUNCTION("GOOGLETRANSLATE(B301,""en"",""ko"")"),"패키지 이름")</f>
        <v>패키지 이름</v>
      </c>
      <c r="K301" s="4" t="str">
        <f>IFERROR(__xludf.DUMMYFUNCTION("GOOGLETRANSLATE(B301,""en"",""zh"")"),"包裹名字")</f>
        <v>包裹名字</v>
      </c>
      <c r="L301" s="4" t="str">
        <f>IFERROR(__xludf.DUMMYFUNCTION("GOOGLETRANSLATE(B301,""en"",""es"")"),"Nombre del paquete")</f>
        <v>Nombre del paquete</v>
      </c>
      <c r="M301" s="4" t="str">
        <f>IFERROR(__xludf.DUMMYFUNCTION("GOOGLETRANSLATE(B301,""en"",""iw"")"),"שם חבילה")</f>
        <v>שם חבילה</v>
      </c>
      <c r="N301" s="4" t="str">
        <f>IFERROR(__xludf.DUMMYFUNCTION("GOOGLETRANSLATE(B301,""en"",""bn"")"),"প্যাকেজের নাম")</f>
        <v>প্যাকেজের নাম</v>
      </c>
      <c r="O301" s="4" t="str">
        <f>IFERROR(__xludf.DUMMYFUNCTION("GOOGLETRANSLATE(B301,""en"",""pt"")"),"Nome do pacote")</f>
        <v>Nome do pacote</v>
      </c>
      <c r="P301" s="4"/>
    </row>
    <row r="302">
      <c r="A302" s="21" t="s">
        <v>824</v>
      </c>
      <c r="B302" s="22" t="s">
        <v>825</v>
      </c>
      <c r="C302" s="4" t="str">
        <f>IFERROR(__xludf.DUMMYFUNCTION("GOOGLETRANSLATE(B302,""en"",""hi"")"),"कृपया वैध रेफरल कोड दर्ज करें")</f>
        <v>कृपया वैध रेफरल कोड दर्ज करें</v>
      </c>
      <c r="D302" s="4" t="str">
        <f>IFERROR(__xludf.DUMMYFUNCTION("GOOGLETRANSLATE(B302,""en"",""ar"")"),"الرجاء إدخال رمز الإحالة صالح")</f>
        <v>الرجاء إدخال رمز الإحالة صالح</v>
      </c>
      <c r="E302" s="4" t="str">
        <f>IFERROR(__xludf.DUMMYFUNCTION("GOOGLETRANSLATE(B302,""en"",""fr"")"),"veuillez entrer un code de parrainage valide")</f>
        <v>veuillez entrer un code de parrainage valide</v>
      </c>
      <c r="F302" s="4" t="str">
        <f>IFERROR(__xludf.DUMMYFUNCTION("GOOGLETRANSLATE(B302,""en"",""tr"")"),"lütfen geçerli yönlendirme kodunu girin")</f>
        <v>lütfen geçerli yönlendirme kodunu girin</v>
      </c>
      <c r="G302" s="4" t="str">
        <f>IFERROR(__xludf.DUMMYFUNCTION("GOOGLETRANSLATE(B302,""en"",""ru"")"),"пожалуйста, введите действительный реферальный код")</f>
        <v>пожалуйста, введите действительный реферальный код</v>
      </c>
      <c r="H302" s="4" t="str">
        <f>IFERROR(__xludf.DUMMYFUNCTION("GOOGLETRANSLATE(B302,""en"",""it"")"),"inserisci un codice di riferimento valido")</f>
        <v>inserisci un codice di riferimento valido</v>
      </c>
      <c r="I302" s="4" t="str">
        <f>IFERROR(__xludf.DUMMYFUNCTION("GOOGLETRANSLATE(B302,""en"",""de"")"),"Bitte geben Sie einen gültigen Empfehlungscode ein")</f>
        <v>Bitte geben Sie einen gültigen Empfehlungscode ein</v>
      </c>
      <c r="J302" s="4" t="str">
        <f>IFERROR(__xludf.DUMMYFUNCTION("GOOGLETRANSLATE(B302,""en"",""ko"")"),"유효한 추천 코드를 입력해주세요")</f>
        <v>유효한 추천 코드를 입력해주세요</v>
      </c>
      <c r="K302" s="4" t="str">
        <f>IFERROR(__xludf.DUMMYFUNCTION("GOOGLETRANSLATE(B302,""en"",""zh"")"),"请输入有效的推荐码")</f>
        <v>请输入有效的推荐码</v>
      </c>
      <c r="L302" s="4" t="str">
        <f>IFERROR(__xludf.DUMMYFUNCTION("GOOGLETRANSLATE(B302,""en"",""es"")"),"por favor ingrese un código de referencia válido")</f>
        <v>por favor ingrese un código de referencia válido</v>
      </c>
      <c r="M302" s="4" t="str">
        <f>IFERROR(__xludf.DUMMYFUNCTION("GOOGLETRANSLATE(B302,""en"",""iw"")"),"אנא הזן קוד הפניה חוקי")</f>
        <v>אנא הזן קוד הפניה חוקי</v>
      </c>
      <c r="N302" s="4" t="str">
        <f>IFERROR(__xludf.DUMMYFUNCTION("GOOGLETRANSLATE(B302,""en"",""bn"")"),"বৈধ রেফারেল কোড লিখুন দয়া করে")</f>
        <v>বৈধ রেফারেল কোড লিখুন দয়া করে</v>
      </c>
      <c r="O302" s="4" t="str">
        <f>IFERROR(__xludf.DUMMYFUNCTION("GOOGLETRANSLATE(B302,""en"",""pt"")"),"insira um código de referência válido")</f>
        <v>insira um código de referência válido</v>
      </c>
      <c r="P302" s="4"/>
    </row>
    <row r="303">
      <c r="A303" s="21" t="s">
        <v>826</v>
      </c>
      <c r="B303" s="22" t="s">
        <v>827</v>
      </c>
      <c r="C303" s="4" t="str">
        <f>IFERROR(__xludf.DUMMYFUNCTION("GOOGLETRANSLATE(B303,""en"",""hi"")"),"ड्राइवर अंदर आता है")</f>
        <v>ड्राइवर अंदर आता है</v>
      </c>
      <c r="D303" s="4" t="str">
        <f>IFERROR(__xludf.DUMMYFUNCTION("GOOGLETRANSLATE(B303,""en"",""ar"")"),"يصل السائق")</f>
        <v>يصل السائق</v>
      </c>
      <c r="E303" s="4" t="str">
        <f>IFERROR(__xludf.DUMMYFUNCTION("GOOGLETRANSLATE(B303,""en"",""fr"")"),"Le chauffeur arrive")</f>
        <v>Le chauffeur arrive</v>
      </c>
      <c r="F303" s="4" t="str">
        <f>IFERROR(__xludf.DUMMYFUNCTION("GOOGLETRANSLATE(B303,""en"",""tr"")"),"Sürücü içeri giriyor")</f>
        <v>Sürücü içeri giriyor</v>
      </c>
      <c r="G303" s="4" t="str">
        <f>IFERROR(__xludf.DUMMYFUNCTION("GOOGLETRANSLATE(B303,""en"",""ru"")"),"Водитель приезжает в")</f>
        <v>Водитель приезжает в</v>
      </c>
      <c r="H303" s="4" t="str">
        <f>IFERROR(__xludf.DUMMYFUNCTION("GOOGLETRANSLATE(B303,""en"",""it"")"),"Arriva l'autista")</f>
        <v>Arriva l'autista</v>
      </c>
      <c r="I303" s="4" t="str">
        <f>IFERROR(__xludf.DUMMYFUNCTION("GOOGLETRANSLATE(B303,""en"",""de"")"),"Der Fahrer kommt herein")</f>
        <v>Der Fahrer kommt herein</v>
      </c>
      <c r="J303" s="4" t="str">
        <f>IFERROR(__xludf.DUMMYFUNCTION("GOOGLETRANSLATE(B303,""en"",""ko"")"),"운전기사가 도착합니다")</f>
        <v>운전기사가 도착합니다</v>
      </c>
      <c r="K303" s="4" t="str">
        <f>IFERROR(__xludf.DUMMYFUNCTION("GOOGLETRANSLATE(B303,""en"",""zh"")"),"司机抵达")</f>
        <v>司机抵达</v>
      </c>
      <c r="L303" s="4" t="str">
        <f>IFERROR(__xludf.DUMMYFUNCTION("GOOGLETRANSLATE(B303,""en"",""es"")"),"El conductor llega")</f>
        <v>El conductor llega</v>
      </c>
      <c r="M303" s="4" t="str">
        <f>IFERROR(__xludf.DUMMYFUNCTION("GOOGLETRANSLATE(B303,""en"",""iw"")"),"נהג נכנס")</f>
        <v>נהג נכנס</v>
      </c>
      <c r="N303" s="4" t="str">
        <f>IFERROR(__xludf.DUMMYFUNCTION("GOOGLETRANSLATE(B303,""en"",""bn"")"),"ড্রাইভার আসে")</f>
        <v>ড্রাইভার আসে</v>
      </c>
      <c r="O303" s="4" t="str">
        <f>IFERROR(__xludf.DUMMYFUNCTION("GOOGLETRANSLATE(B303,""en"",""pt"")"),"O motorista chega")</f>
        <v>O motorista chega</v>
      </c>
      <c r="P303" s="4"/>
    </row>
    <row r="304">
      <c r="A304" s="21" t="s">
        <v>828</v>
      </c>
      <c r="B304" s="22" t="s">
        <v>829</v>
      </c>
      <c r="C304" s="4" t="str">
        <f>IFERROR(__xludf.DUMMYFUNCTION("GOOGLETRANSLATE(B304,""en"",""hi"")"),"कृपया सही ईमेल पता दें")</f>
        <v>कृपया सही ईमेल पता दें</v>
      </c>
      <c r="D304" s="4" t="str">
        <f>IFERROR(__xludf.DUMMYFUNCTION("GOOGLETRANSLATE(B304,""en"",""ar"")"),"الرجاء إدخال عنوان بريد إلكتروني صالح")</f>
        <v>الرجاء إدخال عنوان بريد إلكتروني صالح</v>
      </c>
      <c r="E304" s="4" t="str">
        <f>IFERROR(__xludf.DUMMYFUNCTION("GOOGLETRANSLATE(B304,""en"",""fr"")"),"Veuillez entrer une adresse e-mail valide")</f>
        <v>Veuillez entrer une adresse e-mail valide</v>
      </c>
      <c r="F304" s="4" t="str">
        <f>IFERROR(__xludf.DUMMYFUNCTION("GOOGLETRANSLATE(B304,""en"",""tr"")"),"Lütfen geçerli bir e-posta adresi girin")</f>
        <v>Lütfen geçerli bir e-posta adresi girin</v>
      </c>
      <c r="G304" s="4" t="str">
        <f>IFERROR(__xludf.DUMMYFUNCTION("GOOGLETRANSLATE(B304,""en"",""ru"")"),"Пожалуйста введите верный адрес электронной почты")</f>
        <v>Пожалуйста введите верный адрес электронной почты</v>
      </c>
      <c r="H304" s="4" t="str">
        <f>IFERROR(__xludf.DUMMYFUNCTION("GOOGLETRANSLATE(B304,""en"",""it"")"),"Inserisci indirizzo email valido")</f>
        <v>Inserisci indirizzo email valido</v>
      </c>
      <c r="I304" s="4" t="str">
        <f>IFERROR(__xludf.DUMMYFUNCTION("GOOGLETRANSLATE(B304,""en"",""de"")"),"Bitte geben Sie eine gültige Email Adresse an")</f>
        <v>Bitte geben Sie eine gültige Email Adresse an</v>
      </c>
      <c r="J304" s="4" t="str">
        <f>IFERROR(__xludf.DUMMYFUNCTION("GOOGLETRANSLATE(B304,""en"",""ko"")"),"유효한 이메일 주소를 입력해주세요")</f>
        <v>유효한 이메일 주소를 입력해주세요</v>
      </c>
      <c r="K304" s="4" t="str">
        <f>IFERROR(__xludf.DUMMYFUNCTION("GOOGLETRANSLATE(B304,""en"",""zh"")"),"请输入有效的电子邮件地址")</f>
        <v>请输入有效的电子邮件地址</v>
      </c>
      <c r="L304" s="4" t="str">
        <f>IFERROR(__xludf.DUMMYFUNCTION("GOOGLETRANSLATE(B304,""en"",""es"")"),"Por favor ingrese una dirección de correo electrónico válida")</f>
        <v>Por favor ingrese una dirección de correo electrónico válida</v>
      </c>
      <c r="M304" s="4" t="str">
        <f>IFERROR(__xludf.DUMMYFUNCTION("GOOGLETRANSLATE(B304,""en"",""iw"")"),"נא להזין כתובת אימייל חוקית")</f>
        <v>נא להזין כתובת אימייל חוקית</v>
      </c>
      <c r="N304" s="4" t="str">
        <f>IFERROR(__xludf.DUMMYFUNCTION("GOOGLETRANSLATE(B304,""en"",""bn"")"),"বৈধ ইমেইল ঠিকানা লিখুন")</f>
        <v>বৈধ ইমেইল ঠিকানা লিখুন</v>
      </c>
      <c r="O304" s="4" t="str">
        <f>IFERROR(__xludf.DUMMYFUNCTION("GOOGLETRANSLATE(B304,""en"",""pt"")"),"Por favor insira o endereço de e-mail válido")</f>
        <v>Por favor insira o endereço de e-mail válido</v>
      </c>
      <c r="P304" s="4"/>
    </row>
    <row r="305">
      <c r="A305" s="21" t="s">
        <v>830</v>
      </c>
      <c r="B305" s="22" t="s">
        <v>831</v>
      </c>
      <c r="C305" s="4" t="str">
        <f>IFERROR(__xludf.DUMMYFUNCTION("GOOGLETRANSLATE(B305,""en"",""hi"")"),"खाता हटा दो")</f>
        <v>खाता हटा दो</v>
      </c>
      <c r="D305" s="4" t="str">
        <f>IFERROR(__xludf.DUMMYFUNCTION("GOOGLETRANSLATE(B305,""en"",""ar"")"),"حذف الحساب")</f>
        <v>حذف الحساب</v>
      </c>
      <c r="E305" s="4" t="str">
        <f>IFERROR(__xludf.DUMMYFUNCTION("GOOGLETRANSLATE(B305,""en"",""fr"")"),"Supprimer le compte")</f>
        <v>Supprimer le compte</v>
      </c>
      <c r="F305" s="4" t="str">
        <f>IFERROR(__xludf.DUMMYFUNCTION("GOOGLETRANSLATE(B305,""en"",""tr"")"),"Hesabı sil")</f>
        <v>Hesabı sil</v>
      </c>
      <c r="G305" s="4" t="str">
        <f>IFERROR(__xludf.DUMMYFUNCTION("GOOGLETRANSLATE(B305,""en"",""ru"")"),"Удалить аккаунт")</f>
        <v>Удалить аккаунт</v>
      </c>
      <c r="H305" s="4" t="str">
        <f>IFERROR(__xludf.DUMMYFUNCTION("GOOGLETRANSLATE(B305,""en"",""it"")"),"Eliminare l'account")</f>
        <v>Eliminare l'account</v>
      </c>
      <c r="I305" s="4" t="str">
        <f>IFERROR(__xludf.DUMMYFUNCTION("GOOGLETRANSLATE(B305,""en"",""de"")"),"Konto löschen")</f>
        <v>Konto löschen</v>
      </c>
      <c r="J305" s="4" t="str">
        <f>IFERROR(__xludf.DUMMYFUNCTION("GOOGLETRANSLATE(B305,""en"",""ko"")"),"계정 삭제")</f>
        <v>계정 삭제</v>
      </c>
      <c r="K305" s="4" t="str">
        <f>IFERROR(__xludf.DUMMYFUNCTION("GOOGLETRANSLATE(B305,""en"",""zh"")"),"删除帐户")</f>
        <v>删除帐户</v>
      </c>
      <c r="L305" s="4" t="str">
        <f>IFERROR(__xludf.DUMMYFUNCTION("GOOGLETRANSLATE(B305,""en"",""es"")"),"Borrar cuenta")</f>
        <v>Borrar cuenta</v>
      </c>
      <c r="M305" s="4" t="str">
        <f>IFERROR(__xludf.DUMMYFUNCTION("GOOGLETRANSLATE(B305,""en"",""iw"")"),"מחק חשבון")</f>
        <v>מחק חשבון</v>
      </c>
      <c r="N305" s="4" t="str">
        <f>IFERROR(__xludf.DUMMYFUNCTION("GOOGLETRANSLATE(B305,""en"",""bn"")"),"হিসাব মুছে ফেলা")</f>
        <v>হিসাব মুছে ফেলা</v>
      </c>
      <c r="O305" s="4" t="str">
        <f>IFERROR(__xludf.DUMMYFUNCTION("GOOGLETRANSLATE(B305,""en"",""pt"")"),"Deletar conta")</f>
        <v>Deletar conta</v>
      </c>
      <c r="P305" s="4"/>
    </row>
    <row r="306">
      <c r="A306" s="21" t="s">
        <v>832</v>
      </c>
      <c r="B306" s="22" t="s">
        <v>833</v>
      </c>
      <c r="C306" s="4" t="str">
        <f>IFERROR(__xludf.DUMMYFUNCTION("GOOGLETRANSLATE(B306,""en"",""hi"")"),"30 दिनों के बाद आपका खाता स्थायी रूप से हटा दिया जाएगा")</f>
        <v>30 दिनों के बाद आपका खाता स्थायी रूप से हटा दिया जाएगा</v>
      </c>
      <c r="D306" s="4" t="str">
        <f>IFERROR(__xludf.DUMMYFUNCTION("GOOGLETRANSLATE(B306,""en"",""ar"")"),"بعد 30 يومًا، سيتم حذف حسابك نهائيًا")</f>
        <v>بعد 30 يومًا، سيتم حذف حسابك نهائيًا</v>
      </c>
      <c r="E306" s="4" t="str">
        <f>IFERROR(__xludf.DUMMYFUNCTION("GOOGLETRANSLATE(B306,""en"",""fr"")"),"Après 30 jours, votre compte sera définitivement supprimé")</f>
        <v>Après 30 jours, votre compte sera définitivement supprimé</v>
      </c>
      <c r="F306" s="4" t="str">
        <f>IFERROR(__xludf.DUMMYFUNCTION("GOOGLETRANSLATE(B306,""en"",""tr"")"),"30 Gün Sonra Hesabınız Kalıcı Olarak Silinecek")</f>
        <v>30 Gün Sonra Hesabınız Kalıcı Olarak Silinecek</v>
      </c>
      <c r="G306" s="4" t="str">
        <f>IFERROR(__xludf.DUMMYFUNCTION("GOOGLETRANSLATE(B306,""en"",""ru"")"),"Через 30 дней ваша учетная запись будет удалена навсегда.")</f>
        <v>Через 30 дней ваша учетная запись будет удалена навсегда.</v>
      </c>
      <c r="H306" s="4" t="str">
        <f>IFERROR(__xludf.DUMMYFUNCTION("GOOGLETRANSLATE(B306,""en"",""it"")"),"Dopo 30 giorni il tuo account verrà eliminato definitivamente")</f>
        <v>Dopo 30 giorni il tuo account verrà eliminato definitivamente</v>
      </c>
      <c r="I306" s="4" t="str">
        <f>IFERROR(__xludf.DUMMYFUNCTION("GOOGLETRANSLATE(B306,""en"",""de"")"),"Nach 30 Tagen wird Ihr Konto dauerhaft gelöscht")</f>
        <v>Nach 30 Tagen wird Ihr Konto dauerhaft gelöscht</v>
      </c>
      <c r="J306" s="4" t="str">
        <f>IFERROR(__xludf.DUMMYFUNCTION("GOOGLETRANSLATE(B306,""en"",""ko"")"),"30일 후 귀하의 계정은 영구적으로 삭제됩니다")</f>
        <v>30일 후 귀하의 계정은 영구적으로 삭제됩니다</v>
      </c>
      <c r="K306" s="4" t="str">
        <f>IFERROR(__xludf.DUMMYFUNCTION("GOOGLETRANSLATE(B306,""en"",""zh"")"),"30 天后您的帐户将被永久删除")</f>
        <v>30 天后您的帐户将被永久删除</v>
      </c>
      <c r="L306" s="4" t="str">
        <f>IFERROR(__xludf.DUMMYFUNCTION("GOOGLETRANSLATE(B306,""en"",""es"")"),"Después de 30 días, su cuenta se eliminará permanentemente")</f>
        <v>Después de 30 días, su cuenta se eliminará permanentemente</v>
      </c>
      <c r="M306" s="4" t="str">
        <f>IFERROR(__xludf.DUMMYFUNCTION("GOOGLETRANSLATE(B306,""en"",""iw"")"),"לאחר 30 יום החשבון שלך יימחק לצמיתות")</f>
        <v>לאחר 30 יום החשבון שלך יימחק לצמיתות</v>
      </c>
      <c r="N306" s="4" t="str">
        <f>IFERROR(__xludf.DUMMYFUNCTION("GOOGLETRANSLATE(B306,""en"",""bn"")"),"30 দিন পরে আপনার অ্যাকাউন্ট স্থায়ীভাবে মুছে ফেলা হবে")</f>
        <v>30 দিন পরে আপনার অ্যাকাউন্ট স্থায়ীভাবে মুছে ফেলা হবে</v>
      </c>
      <c r="O306" s="4" t="str">
        <f>IFERROR(__xludf.DUMMYFUNCTION("GOOGLETRANSLATE(B306,""en"",""pt"")"),"Após 30 dias, sua conta será excluída permanentemente")</f>
        <v>Após 30 dias, sua conta será excluída permanentemente</v>
      </c>
      <c r="P306" s="4"/>
    </row>
    <row r="307">
      <c r="A307" s="21" t="s">
        <v>834</v>
      </c>
      <c r="B307" s="22" t="s">
        <v>835</v>
      </c>
      <c r="C307" s="4" t="str">
        <f>IFERROR(__xludf.DUMMYFUNCTION("GOOGLETRANSLATE(B307,""en"",""hi"")"),"रद्द करने का कारण जोड़ें")</f>
        <v>रद्द करने का कारण जोड़ें</v>
      </c>
      <c r="D307" s="4" t="str">
        <f>IFERROR(__xludf.DUMMYFUNCTION("GOOGLETRANSLATE(B307,""en"",""ar"")"),"أضف سبب الإلغاء")</f>
        <v>أضف سبب الإلغاء</v>
      </c>
      <c r="E307" s="4" t="str">
        <f>IFERROR(__xludf.DUMMYFUNCTION("GOOGLETRANSLATE(B307,""en"",""fr"")"),"Ajouter un motif d'annulation")</f>
        <v>Ajouter un motif d'annulation</v>
      </c>
      <c r="F307" s="4" t="str">
        <f>IFERROR(__xludf.DUMMYFUNCTION("GOOGLETRANSLATE(B307,""en"",""tr"")"),"İptal Nedeni Ekle")</f>
        <v>İptal Nedeni Ekle</v>
      </c>
      <c r="G307" s="4" t="str">
        <f>IFERROR(__xludf.DUMMYFUNCTION("GOOGLETRANSLATE(B307,""en"",""ru"")"),"Добавить причину отмены")</f>
        <v>Добавить причину отмены</v>
      </c>
      <c r="H307" s="4" t="str">
        <f>IFERROR(__xludf.DUMMYFUNCTION("GOOGLETRANSLATE(B307,""en"",""it"")"),"Aggiungi motivo di annullamento")</f>
        <v>Aggiungi motivo di annullamento</v>
      </c>
      <c r="I307" s="4" t="str">
        <f>IFERROR(__xludf.DUMMYFUNCTION("GOOGLETRANSLATE(B307,""en"",""de"")"),"Abbruchgrund hinzufügen")</f>
        <v>Abbruchgrund hinzufügen</v>
      </c>
      <c r="J307" s="4" t="str">
        <f>IFERROR(__xludf.DUMMYFUNCTION("GOOGLETRANSLATE(B307,""en"",""ko"")"),"취소 사유 추가")</f>
        <v>취소 사유 추가</v>
      </c>
      <c r="K307" s="4" t="str">
        <f>IFERROR(__xludf.DUMMYFUNCTION("GOOGLETRANSLATE(B307,""en"",""zh"")"),"添加取消原因")</f>
        <v>添加取消原因</v>
      </c>
      <c r="L307" s="4" t="str">
        <f>IFERROR(__xludf.DUMMYFUNCTION("GOOGLETRANSLATE(B307,""en"",""es"")"),"Agregar motivo de cancelación")</f>
        <v>Agregar motivo de cancelación</v>
      </c>
      <c r="M307" s="4" t="str">
        <f>IFERROR(__xludf.DUMMYFUNCTION("GOOGLETRANSLATE(B307,""en"",""iw"")"),"הוסף סיבה לביטול")</f>
        <v>הוסף סיבה לביטול</v>
      </c>
      <c r="N307" s="4" t="str">
        <f>IFERROR(__xludf.DUMMYFUNCTION("GOOGLETRANSLATE(B307,""en"",""bn"")"),"বাতিল কারণ যোগ করুন")</f>
        <v>বাতিল কারণ যোগ করুন</v>
      </c>
      <c r="O307" s="4" t="str">
        <f>IFERROR(__xludf.DUMMYFUNCTION("GOOGLETRANSLATE(B307,""en"",""pt"")"),"Adicionar motivo de cancelamento")</f>
        <v>Adicionar motivo de cancelamento</v>
      </c>
      <c r="P307" s="4"/>
    </row>
    <row r="308">
      <c r="A308" s="21" t="s">
        <v>836</v>
      </c>
      <c r="B308" s="22" t="s">
        <v>837</v>
      </c>
      <c r="C308" s="4" t="str">
        <f>IFERROR(__xludf.DUMMYFUNCTION("GOOGLETRANSLATE(B308,""en"",""hi"")"),"यात्री के साथ चैट करें")</f>
        <v>यात्री के साथ चैट करें</v>
      </c>
      <c r="D308" s="4" t="str">
        <f>IFERROR(__xludf.DUMMYFUNCTION("GOOGLETRANSLATE(B308,""en"",""ar"")"),"الدردشة مع الركاب")</f>
        <v>الدردشة مع الركاب</v>
      </c>
      <c r="E308" s="4" t="str">
        <f>IFERROR(__xludf.DUMMYFUNCTION("GOOGLETRANSLATE(B308,""en"",""fr"")"),"Discutez avec le passager")</f>
        <v>Discutez avec le passager</v>
      </c>
      <c r="F308" s="4" t="str">
        <f>IFERROR(__xludf.DUMMYFUNCTION("GOOGLETRANSLATE(B308,""en"",""tr"")"),"Yolcu ile Sohbet")</f>
        <v>Yolcu ile Sohbet</v>
      </c>
      <c r="G308" s="4" t="str">
        <f>IFERROR(__xludf.DUMMYFUNCTION("GOOGLETRANSLATE(B308,""en"",""ru"")"),"Чат с пассажиром")</f>
        <v>Чат с пассажиром</v>
      </c>
      <c r="H308" s="4" t="str">
        <f>IFERROR(__xludf.DUMMYFUNCTION("GOOGLETRANSLATE(B308,""en"",""it"")"),"Chatta con il passeggero")</f>
        <v>Chatta con il passeggero</v>
      </c>
      <c r="I308" s="4" t="str">
        <f>IFERROR(__xludf.DUMMYFUNCTION("GOOGLETRANSLATE(B308,""en"",""de"")"),"Chatten Sie mit Passagier")</f>
        <v>Chatten Sie mit Passagier</v>
      </c>
      <c r="J308" s="4" t="str">
        <f>IFERROR(__xludf.DUMMYFUNCTION("GOOGLETRANSLATE(B308,""en"",""ko"")"),"승객과 채팅")</f>
        <v>승객과 채팅</v>
      </c>
      <c r="K308" s="4" t="str">
        <f>IFERROR(__xludf.DUMMYFUNCTION("GOOGLETRANSLATE(B308,""en"",""zh"")"),"与乘客聊天")</f>
        <v>与乘客聊天</v>
      </c>
      <c r="L308" s="4" t="str">
        <f>IFERROR(__xludf.DUMMYFUNCTION("GOOGLETRANSLATE(B308,""en"",""es"")"),"Chatea con el pasajero")</f>
        <v>Chatea con el pasajero</v>
      </c>
      <c r="M308" s="4" t="str">
        <f>IFERROR(__xludf.DUMMYFUNCTION("GOOGLETRANSLATE(B308,""en"",""iw"")"),"צ'אט עם Passenger")</f>
        <v>צ'אט עם Passenger</v>
      </c>
      <c r="N308" s="4" t="str">
        <f>IFERROR(__xludf.DUMMYFUNCTION("GOOGLETRANSLATE(B308,""en"",""bn"")"),"যাত্রীর সাথে চ্যাট করুন")</f>
        <v>যাত্রীর সাথে চ্যাট করুন</v>
      </c>
      <c r="O308" s="4" t="str">
        <f>IFERROR(__xludf.DUMMYFUNCTION("GOOGLETRANSLATE(B308,""en"",""pt"")"),"Converse com o passageiro")</f>
        <v>Converse com o passageiro</v>
      </c>
      <c r="P308" s="4"/>
    </row>
    <row r="309">
      <c r="A309" s="21" t="s">
        <v>838</v>
      </c>
      <c r="B309" s="22" t="s">
        <v>839</v>
      </c>
      <c r="C309" s="4" t="str">
        <f>IFERROR(__xludf.DUMMYFUNCTION("GOOGLETRANSLATE(B309,""en"",""hi"")"),"उपलब्ध")</f>
        <v>उपलब्ध</v>
      </c>
      <c r="D309" s="4" t="str">
        <f>IFERROR(__xludf.DUMMYFUNCTION("GOOGLETRANSLATE(B309,""en"",""ar"")"),"متاح")</f>
        <v>متاح</v>
      </c>
      <c r="E309" s="4" t="str">
        <f>IFERROR(__xludf.DUMMYFUNCTION("GOOGLETRANSLATE(B309,""en"",""fr"")"),"Disponible")</f>
        <v>Disponible</v>
      </c>
      <c r="F309" s="4" t="str">
        <f>IFERROR(__xludf.DUMMYFUNCTION("GOOGLETRANSLATE(B309,""en"",""tr"")"),"Mevcut")</f>
        <v>Mevcut</v>
      </c>
      <c r="G309" s="4" t="str">
        <f>IFERROR(__xludf.DUMMYFUNCTION("GOOGLETRANSLATE(B309,""en"",""ru"")"),"Доступный")</f>
        <v>Доступный</v>
      </c>
      <c r="H309" s="4" t="str">
        <f>IFERROR(__xludf.DUMMYFUNCTION("GOOGLETRANSLATE(B309,""en"",""it"")"),"Disponibile")</f>
        <v>Disponibile</v>
      </c>
      <c r="I309" s="4" t="str">
        <f>IFERROR(__xludf.DUMMYFUNCTION("GOOGLETRANSLATE(B309,""en"",""de"")"),"Verfügbar")</f>
        <v>Verfügbar</v>
      </c>
      <c r="J309" s="4" t="str">
        <f>IFERROR(__xludf.DUMMYFUNCTION("GOOGLETRANSLATE(B309,""en"",""ko"")"),"사용 가능")</f>
        <v>사용 가능</v>
      </c>
      <c r="K309" s="4" t="str">
        <f>IFERROR(__xludf.DUMMYFUNCTION("GOOGLETRANSLATE(B309,""en"",""zh"")"),"可用的")</f>
        <v>可用的</v>
      </c>
      <c r="L309" s="4" t="str">
        <f>IFERROR(__xludf.DUMMYFUNCTION("GOOGLETRANSLATE(B309,""en"",""es"")"),"Disponible")</f>
        <v>Disponible</v>
      </c>
      <c r="M309" s="4" t="str">
        <f>IFERROR(__xludf.DUMMYFUNCTION("GOOGLETRANSLATE(B309,""en"",""iw"")"),"זמין")</f>
        <v>זמין</v>
      </c>
      <c r="N309" s="4" t="str">
        <f>IFERROR(__xludf.DUMMYFUNCTION("GOOGLETRANSLATE(B309,""en"",""bn"")"),"পাওয়া যায়")</f>
        <v>পাওয়া যায়</v>
      </c>
      <c r="O309" s="4" t="str">
        <f>IFERROR(__xludf.DUMMYFUNCTION("GOOGLETRANSLATE(B309,""en"",""pt"")"),"Disponível")</f>
        <v>Disponível</v>
      </c>
      <c r="P309" s="4"/>
    </row>
    <row r="310">
      <c r="A310" s="21" t="s">
        <v>840</v>
      </c>
      <c r="B310" s="22" t="s">
        <v>841</v>
      </c>
      <c r="C310" s="4" t="str">
        <f>IFERROR(__xludf.DUMMYFUNCTION("GOOGLETRANSLATE(B310,""en"",""hi"")"),"सवार")</f>
        <v>सवार</v>
      </c>
      <c r="D310" s="4" t="str">
        <f>IFERROR(__xludf.DUMMYFUNCTION("GOOGLETRANSLATE(B310,""en"",""ar"")"),"صعد على متنها")</f>
        <v>صعد على متنها</v>
      </c>
      <c r="E310" s="4" t="str">
        <f>IFERROR(__xludf.DUMMYFUNCTION("GOOGLETRANSLATE(B310,""en"",""fr"")"),"À bord")</f>
        <v>À bord</v>
      </c>
      <c r="F310" s="4" t="str">
        <f>IFERROR(__xludf.DUMMYFUNCTION("GOOGLETRANSLATE(B310,""en"",""tr"")"),"Gemide")</f>
        <v>Gemide</v>
      </c>
      <c r="G310" s="4" t="str">
        <f>IFERROR(__xludf.DUMMYFUNCTION("GOOGLETRANSLATE(B310,""en"",""ru"")"),"На борту")</f>
        <v>На борту</v>
      </c>
      <c r="H310" s="4" t="str">
        <f>IFERROR(__xludf.DUMMYFUNCTION("GOOGLETRANSLATE(B310,""en"",""it"")"),"A bordo")</f>
        <v>A bordo</v>
      </c>
      <c r="I310" s="4" t="str">
        <f>IFERROR(__xludf.DUMMYFUNCTION("GOOGLETRANSLATE(B310,""en"",""de"")"),"An Bord")</f>
        <v>An Bord</v>
      </c>
      <c r="J310" s="4" t="str">
        <f>IFERROR(__xludf.DUMMYFUNCTION("GOOGLETRANSLATE(B310,""en"",""ko"")"),"온보드")</f>
        <v>온보드</v>
      </c>
      <c r="K310" s="4" t="str">
        <f>IFERROR(__xludf.DUMMYFUNCTION("GOOGLETRANSLATE(B310,""en"",""zh"")"),"在船上")</f>
        <v>在船上</v>
      </c>
      <c r="L310" s="4" t="str">
        <f>IFERROR(__xludf.DUMMYFUNCTION("GOOGLETRANSLATE(B310,""en"",""es"")"),"A bordo")</f>
        <v>A bordo</v>
      </c>
      <c r="M310" s="4" t="str">
        <f>IFERROR(__xludf.DUMMYFUNCTION("GOOGLETRANSLATE(B310,""en"",""iw"")"),"בעניין")</f>
        <v>בעניין</v>
      </c>
      <c r="N310" s="4" t="str">
        <f>IFERROR(__xludf.DUMMYFUNCTION("GOOGLETRANSLATE(B310,""en"",""bn"")"),"বোর্ডে")</f>
        <v>বোর্ডে</v>
      </c>
      <c r="O310" s="4" t="str">
        <f>IFERROR(__xludf.DUMMYFUNCTION("GOOGLETRANSLATE(B310,""en"",""pt"")"),"A bordo")</f>
        <v>A bordo</v>
      </c>
      <c r="P310" s="4"/>
    </row>
    <row r="311">
      <c r="A311" s="21" t="s">
        <v>842</v>
      </c>
      <c r="B311" s="22" t="s">
        <v>843</v>
      </c>
      <c r="C311" s="4" t="str">
        <f>IFERROR(__xludf.DUMMYFUNCTION("GOOGLETRANSLATE(B311,""en"",""hi"")"),"ऑफलाइन")</f>
        <v>ऑफलाइन</v>
      </c>
      <c r="D311" s="4" t="str">
        <f>IFERROR(__xludf.DUMMYFUNCTION("GOOGLETRANSLATE(B311,""en"",""ar"")"),"غير متصل على الانترنت")</f>
        <v>غير متصل على الانترنت</v>
      </c>
      <c r="E311" s="4" t="str">
        <f>IFERROR(__xludf.DUMMYFUNCTION("GOOGLETRANSLATE(B311,""en"",""fr"")"),"Hors ligne")</f>
        <v>Hors ligne</v>
      </c>
      <c r="F311" s="4" t="str">
        <f>IFERROR(__xludf.DUMMYFUNCTION("GOOGLETRANSLATE(B311,""en"",""tr"")"),"Çevrimdışı")</f>
        <v>Çevrimdışı</v>
      </c>
      <c r="G311" s="4" t="str">
        <f>IFERROR(__xludf.DUMMYFUNCTION("GOOGLETRANSLATE(B311,""en"",""ru"")"),"Не в сети")</f>
        <v>Не в сети</v>
      </c>
      <c r="H311" s="4" t="str">
        <f>IFERROR(__xludf.DUMMYFUNCTION("GOOGLETRANSLATE(B311,""en"",""it"")"),"disconnesso")</f>
        <v>disconnesso</v>
      </c>
      <c r="I311" s="4" t="str">
        <f>IFERROR(__xludf.DUMMYFUNCTION("GOOGLETRANSLATE(B311,""en"",""de"")"),"Offline")</f>
        <v>Offline</v>
      </c>
      <c r="J311" s="4" t="str">
        <f>IFERROR(__xludf.DUMMYFUNCTION("GOOGLETRANSLATE(B311,""en"",""ko"")"),"오프라인")</f>
        <v>오프라인</v>
      </c>
      <c r="K311" s="4" t="str">
        <f>IFERROR(__xludf.DUMMYFUNCTION("GOOGLETRANSLATE(B311,""en"",""zh"")"),"离线")</f>
        <v>离线</v>
      </c>
      <c r="L311" s="4" t="str">
        <f>IFERROR(__xludf.DUMMYFUNCTION("GOOGLETRANSLATE(B311,""en"",""es"")"),"Desconectado")</f>
        <v>Desconectado</v>
      </c>
      <c r="M311" s="4" t="str">
        <f>IFERROR(__xludf.DUMMYFUNCTION("GOOGLETRANSLATE(B311,""en"",""iw"")"),"לא מקוון")</f>
        <v>לא מקוון</v>
      </c>
      <c r="N311" s="4" t="str">
        <f>IFERROR(__xludf.DUMMYFUNCTION("GOOGLETRANSLATE(B311,""en"",""bn"")"),"অফলাইন")</f>
        <v>অফলাইন</v>
      </c>
      <c r="O311" s="4" t="str">
        <f>IFERROR(__xludf.DUMMYFUNCTION("GOOGLETRANSLATE(B311,""en"",""pt"")"),"desligada")</f>
        <v>desligada</v>
      </c>
      <c r="P311" s="4"/>
    </row>
    <row r="312">
      <c r="A312" s="21" t="s">
        <v>844</v>
      </c>
      <c r="B312" s="22" t="s">
        <v>505</v>
      </c>
      <c r="C312" s="4" t="str">
        <f>IFERROR(__xludf.DUMMYFUNCTION("GOOGLETRANSLATE(B312,""en"",""hi"")"),"डाटा प्राप्त नहीं हुआ")</f>
        <v>डाटा प्राप्त नहीं हुआ</v>
      </c>
      <c r="D312" s="4" t="str">
        <f>IFERROR(__xludf.DUMMYFUNCTION("GOOGLETRANSLATE(B312,""en"",""ar"")"),"لاتوجد بيانات")</f>
        <v>لاتوجد بيانات</v>
      </c>
      <c r="E312" s="4" t="str">
        <f>IFERROR(__xludf.DUMMYFUNCTION("GOOGLETRANSLATE(B312,""en"",""fr"")"),"Aucune donnée disponible")</f>
        <v>Aucune donnée disponible</v>
      </c>
      <c r="F312" s="4" t="str">
        <f>IFERROR(__xludf.DUMMYFUNCTION("GOOGLETRANSLATE(B312,""en"",""tr"")"),"Veri bulunamadı")</f>
        <v>Veri bulunamadı</v>
      </c>
      <c r="G312" s="4" t="str">
        <f>IFERROR(__xludf.DUMMYFUNCTION("GOOGLETRANSLATE(B312,""en"",""ru"")"),"Данные не найдены")</f>
        <v>Данные не найдены</v>
      </c>
      <c r="H312" s="4" t="str">
        <f>IFERROR(__xludf.DUMMYFUNCTION("GOOGLETRANSLATE(B312,""en"",""it"")"),"Nessun dato trovato")</f>
        <v>Nessun dato trovato</v>
      </c>
      <c r="I312" s="4" t="str">
        <f>IFERROR(__xludf.DUMMYFUNCTION("GOOGLETRANSLATE(B312,""en"",""de"")"),"Keine Daten gefunden")</f>
        <v>Keine Daten gefunden</v>
      </c>
      <c r="J312" s="4" t="str">
        <f>IFERROR(__xludf.DUMMYFUNCTION("GOOGLETRANSLATE(B312,""en"",""ko"")"),"데이터가 없습니다")</f>
        <v>데이터가 없습니다</v>
      </c>
      <c r="K312" s="4" t="str">
        <f>IFERROR(__xludf.DUMMYFUNCTION("GOOGLETRANSLATE(B312,""en"",""zh"")"),"没有找到数据")</f>
        <v>没有找到数据</v>
      </c>
      <c r="L312" s="4" t="str">
        <f>IFERROR(__xludf.DUMMYFUNCTION("GOOGLETRANSLATE(B312,""en"",""es"")"),"Datos no encontrados")</f>
        <v>Datos no encontrados</v>
      </c>
      <c r="M312" s="4" t="str">
        <f>IFERROR(__xludf.DUMMYFUNCTION("GOOGLETRANSLATE(B312,""en"",""iw"")"),"לא נמצאו נתונים")</f>
        <v>לא נמצאו נתונים</v>
      </c>
      <c r="N312" s="4" t="str">
        <f>IFERROR(__xludf.DUMMYFUNCTION("GOOGLETRANSLATE(B312,""en"",""bn"")"),"কোন তথ্য পাওয়া যায়নি")</f>
        <v>কোন তথ্য পাওয়া যায়নি</v>
      </c>
      <c r="O312" s="4" t="str">
        <f>IFERROR(__xludf.DUMMYFUNCTION("GOOGLETRANSLATE(B312,""en"",""pt"")"),"Nenhum dado encontrado")</f>
        <v>Nenhum dado encontrado</v>
      </c>
      <c r="P312" s="4"/>
    </row>
    <row r="313">
      <c r="A313" s="21" t="s">
        <v>845</v>
      </c>
      <c r="B313" s="22" t="s">
        <v>846</v>
      </c>
      <c r="C313" s="4" t="str">
        <f>IFERROR(__xludf.DUMMYFUNCTION("GOOGLETRANSLATE(B313,""en"",""hi"")"),"वाहन प्रबंधित करें")</f>
        <v>वाहन प्रबंधित करें</v>
      </c>
      <c r="D313" s="4" t="str">
        <f>IFERROR(__xludf.DUMMYFUNCTION("GOOGLETRANSLATE(B313,""en"",""ar"")"),"إدارة المركبات")</f>
        <v>إدارة المركبات</v>
      </c>
      <c r="E313" s="4" t="str">
        <f>IFERROR(__xludf.DUMMYFUNCTION("GOOGLETRANSLATE(B313,""en"",""fr"")"),"Gérer les véhicules")</f>
        <v>Gérer les véhicules</v>
      </c>
      <c r="F313" s="4" t="str">
        <f>IFERROR(__xludf.DUMMYFUNCTION("GOOGLETRANSLATE(B313,""en"",""tr"")"),"Araçları Yönet")</f>
        <v>Araçları Yönet</v>
      </c>
      <c r="G313" s="4" t="str">
        <f>IFERROR(__xludf.DUMMYFUNCTION("GOOGLETRANSLATE(B313,""en"",""ru"")"),"Управление транспортными средствами")</f>
        <v>Управление транспортными средствами</v>
      </c>
      <c r="H313" s="4" t="str">
        <f>IFERROR(__xludf.DUMMYFUNCTION("GOOGLETRANSLATE(B313,""en"",""it"")"),"Gestisci i veicoli")</f>
        <v>Gestisci i veicoli</v>
      </c>
      <c r="I313" s="4" t="str">
        <f>IFERROR(__xludf.DUMMYFUNCTION("GOOGLETRANSLATE(B313,""en"",""de"")"),"Fahrzeuge verwalten")</f>
        <v>Fahrzeuge verwalten</v>
      </c>
      <c r="J313" s="4" t="str">
        <f>IFERROR(__xludf.DUMMYFUNCTION("GOOGLETRANSLATE(B313,""en"",""ko"")"),"차량 관리")</f>
        <v>차량 관리</v>
      </c>
      <c r="K313" s="4" t="str">
        <f>IFERROR(__xludf.DUMMYFUNCTION("GOOGLETRANSLATE(B313,""en"",""zh"")"),"管理车辆")</f>
        <v>管理车辆</v>
      </c>
      <c r="L313" s="4" t="str">
        <f>IFERROR(__xludf.DUMMYFUNCTION("GOOGLETRANSLATE(B313,""en"",""es"")"),"Administrar vehículos")</f>
        <v>Administrar vehículos</v>
      </c>
      <c r="M313" s="4" t="str">
        <f>IFERROR(__xludf.DUMMYFUNCTION("GOOGLETRANSLATE(B313,""en"",""iw"")"),"ניהול כלי רכב")</f>
        <v>ניהול כלי רכב</v>
      </c>
      <c r="N313" s="4" t="str">
        <f>IFERROR(__xludf.DUMMYFUNCTION("GOOGLETRANSLATE(B313,""en"",""bn"")"),"যানবাহন পরিচালনা করুন")</f>
        <v>যানবাহন পরিচালনা করুন</v>
      </c>
      <c r="O313" s="4" t="str">
        <f>IFERROR(__xludf.DUMMYFUNCTION("GOOGLETRANSLATE(B313,""en"",""pt"")"),"Gerenciar veículos")</f>
        <v>Gerenciar veículos</v>
      </c>
      <c r="P313" s="4"/>
    </row>
    <row r="314">
      <c r="A314" s="21" t="s">
        <v>847</v>
      </c>
      <c r="B314" s="22" t="s">
        <v>848</v>
      </c>
      <c r="C314" s="4" t="str">
        <f>IFERROR(__xludf.DUMMYFUNCTION("GOOGLETRANSLATE(B314,""en"",""hi"")"),"ड्राइवर प्रबंधित करें")</f>
        <v>ड्राइवर प्रबंधित करें</v>
      </c>
      <c r="D314" s="4" t="str">
        <f>IFERROR(__xludf.DUMMYFUNCTION("GOOGLETRANSLATE(B314,""en"",""ar"")"),"إدارة برامج التشغيل")</f>
        <v>إدارة برامج التشغيل</v>
      </c>
      <c r="E314" s="4" t="str">
        <f>IFERROR(__xludf.DUMMYFUNCTION("GOOGLETRANSLATE(B314,""en"",""fr"")"),"Gérer les pilotes")</f>
        <v>Gérer les pilotes</v>
      </c>
      <c r="F314" s="4" t="str">
        <f>IFERROR(__xludf.DUMMYFUNCTION("GOOGLETRANSLATE(B314,""en"",""tr"")"),"Sürücüleri Yönet")</f>
        <v>Sürücüleri Yönet</v>
      </c>
      <c r="G314" s="4" t="str">
        <f>IFERROR(__xludf.DUMMYFUNCTION("GOOGLETRANSLATE(B314,""en"",""ru"")"),"Управление драйверами")</f>
        <v>Управление драйверами</v>
      </c>
      <c r="H314" s="4" t="str">
        <f>IFERROR(__xludf.DUMMYFUNCTION("GOOGLETRANSLATE(B314,""en"",""it"")"),"Gestisci i conducenti")</f>
        <v>Gestisci i conducenti</v>
      </c>
      <c r="I314" s="4" t="str">
        <f>IFERROR(__xludf.DUMMYFUNCTION("GOOGLETRANSLATE(B314,""en"",""de"")"),"Treiber verwalten")</f>
        <v>Treiber verwalten</v>
      </c>
      <c r="J314" s="4" t="str">
        <f>IFERROR(__xludf.DUMMYFUNCTION("GOOGLETRANSLATE(B314,""en"",""ko"")"),"드라이버 관리")</f>
        <v>드라이버 관리</v>
      </c>
      <c r="K314" s="4" t="str">
        <f>IFERROR(__xludf.DUMMYFUNCTION("GOOGLETRANSLATE(B314,""en"",""zh"")"),"管理司机")</f>
        <v>管理司机</v>
      </c>
      <c r="L314" s="4" t="str">
        <f>IFERROR(__xludf.DUMMYFUNCTION("GOOGLETRANSLATE(B314,""en"",""es"")"),"Administrar controladores")</f>
        <v>Administrar controladores</v>
      </c>
      <c r="M314" s="4" t="str">
        <f>IFERROR(__xludf.DUMMYFUNCTION("GOOGLETRANSLATE(B314,""en"",""iw"")"),"נהל דרייברים")</f>
        <v>נהל דרייברים</v>
      </c>
      <c r="N314" s="4" t="str">
        <f>IFERROR(__xludf.DUMMYFUNCTION("GOOGLETRANSLATE(B314,""en"",""bn"")"),"ড্রাইভার পরিচালনা করুন")</f>
        <v>ড্রাইভার পরিচালনা করুন</v>
      </c>
      <c r="O314" s="4" t="str">
        <f>IFERROR(__xludf.DUMMYFUNCTION("GOOGLETRANSLATE(B314,""en"",""pt"")"),"Gerenciar motoristas")</f>
        <v>Gerenciar motoristas</v>
      </c>
      <c r="P314" s="4"/>
    </row>
    <row r="315">
      <c r="A315" s="21" t="s">
        <v>849</v>
      </c>
      <c r="B315" s="22" t="s">
        <v>850</v>
      </c>
      <c r="C315" s="4" t="str">
        <f>IFERROR(__xludf.DUMMYFUNCTION("GOOGLETRANSLATE(B315,""en"",""hi"")"),"ड्राइवर सफलतापूर्वक जोड़ा गया")</f>
        <v>ड्राइवर सफलतापूर्वक जोड़ा गया</v>
      </c>
      <c r="D315" s="4" t="str">
        <f>IFERROR(__xludf.DUMMYFUNCTION("GOOGLETRANSLATE(B315,""en"",""ar"")"),"تمت إضافة برنامج التشغيل بنجاح")</f>
        <v>تمت إضافة برنامج التشغيل بنجاح</v>
      </c>
      <c r="E315" s="4" t="str">
        <f>IFERROR(__xludf.DUMMYFUNCTION("GOOGLETRANSLATE(B315,""en"",""fr"")"),"Pilote ajouté avec succès")</f>
        <v>Pilote ajouté avec succès</v>
      </c>
      <c r="F315" s="4" t="str">
        <f>IFERROR(__xludf.DUMMYFUNCTION("GOOGLETRANSLATE(B315,""en"",""tr"")"),"Sürücü Başarıyla Eklendi")</f>
        <v>Sürücü Başarıyla Eklendi</v>
      </c>
      <c r="G315" s="4" t="str">
        <f>IFERROR(__xludf.DUMMYFUNCTION("GOOGLETRANSLATE(B315,""en"",""ru"")"),"Драйвер успешно добавлен")</f>
        <v>Драйвер успешно добавлен</v>
      </c>
      <c r="H315" s="4" t="str">
        <f>IFERROR(__xludf.DUMMYFUNCTION("GOOGLETRANSLATE(B315,""en"",""it"")"),"Driver aggiunto correttamente")</f>
        <v>Driver aggiunto correttamente</v>
      </c>
      <c r="I315" s="4" t="str">
        <f>IFERROR(__xludf.DUMMYFUNCTION("GOOGLETRANSLATE(B315,""en"",""de"")"),"Treiber erfolgreich hinzugefügt")</f>
        <v>Treiber erfolgreich hinzugefügt</v>
      </c>
      <c r="J315" s="4" t="str">
        <f>IFERROR(__xludf.DUMMYFUNCTION("GOOGLETRANSLATE(B315,""en"",""ko"")"),"드라이버가 성공적으로 추가되었습니다")</f>
        <v>드라이버가 성공적으로 추가되었습니다</v>
      </c>
      <c r="K315" s="4" t="str">
        <f>IFERROR(__xludf.DUMMYFUNCTION("GOOGLETRANSLATE(B315,""en"",""zh"")"),"驱动添加成功")</f>
        <v>驱动添加成功</v>
      </c>
      <c r="L315" s="4" t="str">
        <f>IFERROR(__xludf.DUMMYFUNCTION("GOOGLETRANSLATE(B315,""en"",""es"")"),"Controlador agregado exitosamente")</f>
        <v>Controlador agregado exitosamente</v>
      </c>
      <c r="M315" s="4" t="str">
        <f>IFERROR(__xludf.DUMMYFUNCTION("GOOGLETRANSLATE(B315,""en"",""iw"")"),"מנהל ההתקן נוסף בהצלחה")</f>
        <v>מנהל ההתקן נוסף בהצלחה</v>
      </c>
      <c r="N315" s="4" t="str">
        <f>IFERROR(__xludf.DUMMYFUNCTION("GOOGLETRANSLATE(B315,""en"",""bn"")"),"ড্রাইভার সফলভাবে যোগ করা হয়েছে")</f>
        <v>ড্রাইভার সফলভাবে যোগ করা হয়েছে</v>
      </c>
      <c r="O315" s="4" t="str">
        <f>IFERROR(__xludf.DUMMYFUNCTION("GOOGLETRANSLATE(B315,""en"",""pt"")"),"Driver adicionado com sucesso")</f>
        <v>Driver adicionado com sucesso</v>
      </c>
      <c r="P315" s="4"/>
    </row>
    <row r="316">
      <c r="A316" s="21" t="s">
        <v>851</v>
      </c>
      <c r="B316" s="22" t="s">
        <v>852</v>
      </c>
      <c r="C316" s="4" t="str">
        <f>IFERROR(__xludf.DUMMYFUNCTION("GOOGLETRANSLATE(B316,""en"",""hi"")"),"कोई ड्राइवर नहीं ")</f>
        <v>कोई ड्राइवर नहीं </v>
      </c>
      <c r="D316" s="4" t="str">
        <f>IFERROR(__xludf.DUMMYFUNCTION("GOOGLETRANSLATE(B316,""en"",""ar"")"),"لا سائق ")</f>
        <v>لا سائق </v>
      </c>
      <c r="E316" s="4" t="str">
        <f>IFERROR(__xludf.DUMMYFUNCTION("GOOGLETRANSLATE(B316,""en"",""fr"")"),"Pas de pilote ")</f>
        <v>Pas de pilote </v>
      </c>
      <c r="F316" s="4" t="str">
        <f>IFERROR(__xludf.DUMMYFUNCTION("GOOGLETRANSLATE(B316,""en"",""tr"")"),"Sürücü Yok ")</f>
        <v>Sürücü Yok </v>
      </c>
      <c r="G316" s="4" t="str">
        <f>IFERROR(__xludf.DUMMYFUNCTION("GOOGLETRANSLATE(B316,""en"",""ru"")"),"Нет драйвера ")</f>
        <v>Нет драйвера </v>
      </c>
      <c r="H316" s="4" t="str">
        <f>IFERROR(__xludf.DUMMYFUNCTION("GOOGLETRANSLATE(B316,""en"",""it"")"),"Nessun autista ")</f>
        <v>Nessun autista </v>
      </c>
      <c r="I316" s="4" t="str">
        <f>IFERROR(__xludf.DUMMYFUNCTION("GOOGLETRANSLATE(B316,""en"",""de"")"),"Kein Fahrer ")</f>
        <v>Kein Fahrer </v>
      </c>
      <c r="J316" s="4" t="str">
        <f>IFERROR(__xludf.DUMMYFUNCTION("GOOGLETRANSLATE(B316,""en"",""ko"")"),"드라이버 없음 ")</f>
        <v>드라이버 없음 </v>
      </c>
      <c r="K316" s="4" t="str">
        <f>IFERROR(__xludf.DUMMYFUNCTION("GOOGLETRANSLATE(B316,""en"",""zh"")"),"没有司机 ")</f>
        <v>没有司机 </v>
      </c>
      <c r="L316" s="4" t="str">
        <f>IFERROR(__xludf.DUMMYFUNCTION("GOOGLETRANSLATE(B316,""en"",""es"")"),"Sin conductor ")</f>
        <v>Sin conductor </v>
      </c>
      <c r="M316" s="4" t="str">
        <f>IFERROR(__xludf.DUMMYFUNCTION("GOOGLETRANSLATE(B316,""en"",""iw"")"),"אין נהג ")</f>
        <v>אין נהג </v>
      </c>
      <c r="N316" s="4" t="str">
        <f>IFERROR(__xludf.DUMMYFUNCTION("GOOGLETRANSLATE(B316,""en"",""bn"")"),"ড্রাইভার নেই ")</f>
        <v>ড্রাইভার নেই </v>
      </c>
      <c r="O316" s="4" t="str">
        <f>IFERROR(__xludf.DUMMYFUNCTION("GOOGLETRANSLATE(B316,""en"",""pt"")"),"Sem motorista ")</f>
        <v>Sem motorista </v>
      </c>
      <c r="P316" s="4"/>
    </row>
    <row r="317">
      <c r="A317" s="21" t="s">
        <v>853</v>
      </c>
      <c r="B317" s="22" t="s">
        <v>854</v>
      </c>
      <c r="C317" s="4" t="str">
        <f>IFERROR(__xludf.DUMMYFUNCTION("GOOGLETRANSLATE(B317,""en"",""hi"")"),"नया ड्राइवर + असाइन करें")</f>
        <v>नया ड्राइवर + असाइन करें</v>
      </c>
      <c r="D317" s="4" t="str">
        <f>IFERROR(__xludf.DUMMYFUNCTION("GOOGLETRANSLATE(B317,""en"",""ar"")"),"تعيين سائق جديد +")</f>
        <v>تعيين سائق جديد +</v>
      </c>
      <c r="E317" s="4" t="str">
        <f>IFERROR(__xludf.DUMMYFUNCTION("GOOGLETRANSLATE(B317,""en"",""fr"")"),"Attribuer un nouveau chauffeur +")</f>
        <v>Attribuer un nouveau chauffeur +</v>
      </c>
      <c r="F317" s="4" t="str">
        <f>IFERROR(__xludf.DUMMYFUNCTION("GOOGLETRANSLATE(B317,""en"",""tr"")"),"Yeni Sürücü Ata +")</f>
        <v>Yeni Sürücü Ata +</v>
      </c>
      <c r="G317" s="4" t="str">
        <f>IFERROR(__xludf.DUMMYFUNCTION("GOOGLETRANSLATE(B317,""en"",""ru"")"),"Назначить нового водителя +")</f>
        <v>Назначить нового водителя +</v>
      </c>
      <c r="H317" s="4" t="str">
        <f>IFERROR(__xludf.DUMMYFUNCTION("GOOGLETRANSLATE(B317,""en"",""it"")"),"Assegna nuovo conducente +")</f>
        <v>Assegna nuovo conducente +</v>
      </c>
      <c r="I317" s="4" t="str">
        <f>IFERROR(__xludf.DUMMYFUNCTION("GOOGLETRANSLATE(B317,""en"",""de"")"),"Neuen Fahrer + zuweisen")</f>
        <v>Neuen Fahrer + zuweisen</v>
      </c>
      <c r="J317" s="4" t="str">
        <f>IFERROR(__xludf.DUMMYFUNCTION("GOOGLETRANSLATE(B317,""en"",""ko"")"),"새 운전자 할당 +")</f>
        <v>새 운전자 할당 +</v>
      </c>
      <c r="K317" s="4" t="str">
        <f>IFERROR(__xludf.DUMMYFUNCTION("GOOGLETRANSLATE(B317,""en"",""zh"")"),"分配新驱动程序 +")</f>
        <v>分配新驱动程序 +</v>
      </c>
      <c r="L317" s="4" t="str">
        <f>IFERROR(__xludf.DUMMYFUNCTION("GOOGLETRANSLATE(B317,""en"",""es"")"),"Asignar nuevo conductor +")</f>
        <v>Asignar nuevo conductor +</v>
      </c>
      <c r="M317" s="4" t="str">
        <f>IFERROR(__xludf.DUMMYFUNCTION("GOOGLETRANSLATE(B317,""en"",""iw"")"),"הקצה דרייבר חדש +")</f>
        <v>הקצה דרייבר חדש +</v>
      </c>
      <c r="N317" s="4" t="str">
        <f>IFERROR(__xludf.DUMMYFUNCTION("GOOGLETRANSLATE(B317,""en"",""bn"")"),"নতুন ড্রাইভার বরাদ্দ করুন +")</f>
        <v>নতুন ড্রাইভার বরাদ্দ করুন +</v>
      </c>
      <c r="O317" s="4" t="str">
        <f>IFERROR(__xludf.DUMMYFUNCTION("GOOGLETRANSLATE(B317,""en"",""pt"")"),"Atribuir novo driver +")</f>
        <v>Atribuir novo driver +</v>
      </c>
      <c r="P317" s="4"/>
    </row>
    <row r="318">
      <c r="A318" s="21" t="s">
        <v>855</v>
      </c>
      <c r="B318" s="22" t="s">
        <v>856</v>
      </c>
      <c r="C318" s="4" t="str">
        <f>IFERROR(__xludf.DUMMYFUNCTION("GOOGLETRANSLATE(B318,""en"",""hi"")"),"कृपया ड्राइवर का चयन करें")</f>
        <v>कृपया ड्राइवर का चयन करें</v>
      </c>
      <c r="D318" s="4" t="str">
        <f>IFERROR(__xludf.DUMMYFUNCTION("GOOGLETRANSLATE(B318,""en"",""ar"")"),"الرجاء تحديد السائق")</f>
        <v>الرجاء تحديد السائق</v>
      </c>
      <c r="E318" s="4" t="str">
        <f>IFERROR(__xludf.DUMMYFUNCTION("GOOGLETRANSLATE(B318,""en"",""fr"")"),"Veuillez sélectionner le pilote")</f>
        <v>Veuillez sélectionner le pilote</v>
      </c>
      <c r="F318" s="4" t="str">
        <f>IFERROR(__xludf.DUMMYFUNCTION("GOOGLETRANSLATE(B318,""en"",""tr"")"),"Lütfen Sürücüyü Seçin")</f>
        <v>Lütfen Sürücüyü Seçin</v>
      </c>
      <c r="G318" s="4" t="str">
        <f>IFERROR(__xludf.DUMMYFUNCTION("GOOGLETRANSLATE(B318,""en"",""ru"")"),"Пожалуйста, выберите драйвер")</f>
        <v>Пожалуйста, выберите драйвер</v>
      </c>
      <c r="H318" s="4" t="str">
        <f>IFERROR(__xludf.DUMMYFUNCTION("GOOGLETRANSLATE(B318,""en"",""it"")"),"Seleziona conducente")</f>
        <v>Seleziona conducente</v>
      </c>
      <c r="I318" s="4" t="str">
        <f>IFERROR(__xludf.DUMMYFUNCTION("GOOGLETRANSLATE(B318,""en"",""de"")"),"Bitte wählen Sie Treiber aus")</f>
        <v>Bitte wählen Sie Treiber aus</v>
      </c>
      <c r="J318" s="4" t="str">
        <f>IFERROR(__xludf.DUMMYFUNCTION("GOOGLETRANSLATE(B318,""en"",""ko"")"),"드라이버를 선택해 주세요")</f>
        <v>드라이버를 선택해 주세요</v>
      </c>
      <c r="K318" s="4" t="str">
        <f>IFERROR(__xludf.DUMMYFUNCTION("GOOGLETRANSLATE(B318,""en"",""zh"")"),"请选择驱动程序")</f>
        <v>请选择驱动程序</v>
      </c>
      <c r="L318" s="4" t="str">
        <f>IFERROR(__xludf.DUMMYFUNCTION("GOOGLETRANSLATE(B318,""en"",""es"")"),"Por favor seleccione el controlador")</f>
        <v>Por favor seleccione el controlador</v>
      </c>
      <c r="M318" s="4" t="str">
        <f>IFERROR(__xludf.DUMMYFUNCTION("GOOGLETRANSLATE(B318,""en"",""iw"")"),"נא בחר מנהל התקן")</f>
        <v>נא בחר מנהל התקן</v>
      </c>
      <c r="N318" s="4" t="str">
        <f>IFERROR(__xludf.DUMMYFUNCTION("GOOGLETRANSLATE(B318,""en"",""bn"")"),"অনুগ্রহ করে ড্রাইভার নির্বাচন করুন")</f>
        <v>অনুগ্রহ করে ড্রাইভার নির্বাচন করুন</v>
      </c>
      <c r="O318" s="4" t="str">
        <f>IFERROR(__xludf.DUMMYFUNCTION("GOOGLETRANSLATE(B318,""en"",""pt"")"),"Selecione o driver")</f>
        <v>Selecione o driver</v>
      </c>
      <c r="P318" s="4"/>
    </row>
    <row r="319">
      <c r="A319" s="21" t="s">
        <v>857</v>
      </c>
      <c r="B319" s="22" t="s">
        <v>858</v>
      </c>
      <c r="C319" s="4" t="str">
        <f>IFERROR(__xludf.DUMMYFUNCTION("GOOGLETRANSLATE(B319,""en"",""hi"")"),"बेड़ा सौंपा नहीं गया")</f>
        <v>बेड़ा सौंपा नहीं गया</v>
      </c>
      <c r="D319" s="4" t="str">
        <f>IFERROR(__xludf.DUMMYFUNCTION("GOOGLETRANSLATE(B319,""en"",""ar"")"),"لم يتم تعيين الأسطول")</f>
        <v>لم يتم تعيين الأسطول</v>
      </c>
      <c r="E319" s="4" t="str">
        <f>IFERROR(__xludf.DUMMYFUNCTION("GOOGLETRANSLATE(B319,""en"",""fr"")"),"Flotte non attribuée")</f>
        <v>Flotte non attribuée</v>
      </c>
      <c r="F319" s="4" t="str">
        <f>IFERROR(__xludf.DUMMYFUNCTION("GOOGLETRANSLATE(B319,""en"",""tr"")"),"Filo Atanmadı")</f>
        <v>Filo Atanmadı</v>
      </c>
      <c r="G319" s="4" t="str">
        <f>IFERROR(__xludf.DUMMYFUNCTION("GOOGLETRANSLATE(B319,""en"",""ru"")"),"Флот не назначен")</f>
        <v>Флот не назначен</v>
      </c>
      <c r="H319" s="4" t="str">
        <f>IFERROR(__xludf.DUMMYFUNCTION("GOOGLETRANSLATE(B319,""en"",""it"")"),"Flotta non assegnata")</f>
        <v>Flotta non assegnata</v>
      </c>
      <c r="I319" s="4" t="str">
        <f>IFERROR(__xludf.DUMMYFUNCTION("GOOGLETRANSLATE(B319,""en"",""de"")"),"Flotte nicht zugewiesen")</f>
        <v>Flotte nicht zugewiesen</v>
      </c>
      <c r="J319" s="4" t="str">
        <f>IFERROR(__xludf.DUMMYFUNCTION("GOOGLETRANSLATE(B319,""en"",""ko"")"),"함대가 할당되지 않음")</f>
        <v>함대가 할당되지 않음</v>
      </c>
      <c r="K319" s="4" t="str">
        <f>IFERROR(__xludf.DUMMYFUNCTION("GOOGLETRANSLATE(B319,""en"",""zh"")"),"舰队未分配")</f>
        <v>舰队未分配</v>
      </c>
      <c r="L319" s="4" t="str">
        <f>IFERROR(__xludf.DUMMYFUNCTION("GOOGLETRANSLATE(B319,""en"",""es"")"),"Flota no asignada")</f>
        <v>Flota no asignada</v>
      </c>
      <c r="M319" s="4" t="str">
        <f>IFERROR(__xludf.DUMMYFUNCTION("GOOGLETRANSLATE(B319,""en"",""iw"")"),"צי לא הוקצה")</f>
        <v>צי לא הוקצה</v>
      </c>
      <c r="N319" s="4" t="str">
        <f>IFERROR(__xludf.DUMMYFUNCTION("GOOGLETRANSLATE(B319,""en"",""bn"")"),"ফ্লিট অ্যাসাইন করা হয়নি")</f>
        <v>ফ্লিট অ্যাসাইন করা হয়নি</v>
      </c>
      <c r="O319" s="4" t="str">
        <f>IFERROR(__xludf.DUMMYFUNCTION("GOOGLETRANSLATE(B319,""en"",""pt"")"),"Frota não atribuída")</f>
        <v>Frota não atribuída</v>
      </c>
      <c r="P319" s="4"/>
    </row>
    <row r="320">
      <c r="A320" s="21" t="s">
        <v>859</v>
      </c>
      <c r="B320" s="22" t="s">
        <v>860</v>
      </c>
      <c r="C320" s="4" t="str">
        <f>IFERROR(__xludf.DUMMYFUNCTION("GOOGLETRANSLATE(B320,""en"",""hi"")"),"कोई ड्राइवर नहीं मिला")</f>
        <v>कोई ड्राइवर नहीं मिला</v>
      </c>
      <c r="D320" s="4" t="str">
        <f>IFERROR(__xludf.DUMMYFUNCTION("GOOGLETRANSLATE(B320,""en"",""ar"")"),"لم يتم العثور على برامج تشغيل")</f>
        <v>لم يتم العثور على برامج تشغيل</v>
      </c>
      <c r="E320" s="4" t="str">
        <f>IFERROR(__xludf.DUMMYFUNCTION("GOOGLETRANSLATE(B320,""en"",""fr"")"),"Aucun pilote trouvé")</f>
        <v>Aucun pilote trouvé</v>
      </c>
      <c r="F320" s="4" t="str">
        <f>IFERROR(__xludf.DUMMYFUNCTION("GOOGLETRANSLATE(B320,""en"",""tr"")"),"Sürücü Bulunamadı")</f>
        <v>Sürücü Bulunamadı</v>
      </c>
      <c r="G320" s="4" t="str">
        <f>IFERROR(__xludf.DUMMYFUNCTION("GOOGLETRANSLATE(B320,""en"",""ru"")"),"Драйверы не найдены")</f>
        <v>Драйверы не найдены</v>
      </c>
      <c r="H320" s="4" t="str">
        <f>IFERROR(__xludf.DUMMYFUNCTION("GOOGLETRANSLATE(B320,""en"",""it"")"),"Nessun driver trovato")</f>
        <v>Nessun driver trovato</v>
      </c>
      <c r="I320" s="4" t="str">
        <f>IFERROR(__xludf.DUMMYFUNCTION("GOOGLETRANSLATE(B320,""en"",""de"")"),"Keine Treiber gefunden")</f>
        <v>Keine Treiber gefunden</v>
      </c>
      <c r="J320" s="4" t="str">
        <f>IFERROR(__xludf.DUMMYFUNCTION("GOOGLETRANSLATE(B320,""en"",""ko"")"),"드라이버를 찾을 수 없습니다")</f>
        <v>드라이버를 찾을 수 없습니다</v>
      </c>
      <c r="K320" s="4" t="str">
        <f>IFERROR(__xludf.DUMMYFUNCTION("GOOGLETRANSLATE(B320,""en"",""zh"")"),"未找到驱动程序")</f>
        <v>未找到驱动程序</v>
      </c>
      <c r="L320" s="4" t="str">
        <f>IFERROR(__xludf.DUMMYFUNCTION("GOOGLETRANSLATE(B320,""en"",""es"")"),"No se encontraron controladores")</f>
        <v>No se encontraron controladores</v>
      </c>
      <c r="M320" s="4" t="str">
        <f>IFERROR(__xludf.DUMMYFUNCTION("GOOGLETRANSLATE(B320,""en"",""iw"")"),"לא נמצאו דרייברים")</f>
        <v>לא נמצאו דרייברים</v>
      </c>
      <c r="N320" s="4" t="str">
        <f>IFERROR(__xludf.DUMMYFUNCTION("GOOGLETRANSLATE(B320,""en"",""bn"")"),"কোন ড্রাইভার পাওয়া যায়নি")</f>
        <v>কোন ড্রাইভার পাওয়া যায়নি</v>
      </c>
      <c r="O320" s="4" t="str">
        <f>IFERROR(__xludf.DUMMYFUNCTION("GOOGLETRANSLATE(B320,""en"",""pt"")"),"Nenhum driver encontrado")</f>
        <v>Nenhum driver encontrado</v>
      </c>
      <c r="P320" s="4"/>
    </row>
    <row r="321">
      <c r="A321" s="21" t="s">
        <v>861</v>
      </c>
      <c r="B321" s="22" t="s">
        <v>862</v>
      </c>
      <c r="C321" s="4" t="str">
        <f>IFERROR(__xludf.DUMMYFUNCTION("GOOGLETRANSLATE(B321,""en"",""hi"")"),"तारीख़ चुनें")</f>
        <v>तारीख़ चुनें</v>
      </c>
      <c r="D321" s="4" t="str">
        <f>IFERROR(__xludf.DUMMYFUNCTION("GOOGLETRANSLATE(B321,""en"",""ar"")"),"حدد تاريخ")</f>
        <v>حدد تاريخ</v>
      </c>
      <c r="E321" s="4" t="str">
        <f>IFERROR(__xludf.DUMMYFUNCTION("GOOGLETRANSLATE(B321,""en"",""fr"")"),"Sélectionner une date")</f>
        <v>Sélectionner une date</v>
      </c>
      <c r="F321" s="4" t="str">
        <f>IFERROR(__xludf.DUMMYFUNCTION("GOOGLETRANSLATE(B321,""en"",""tr"")"),"Tarih seç")</f>
        <v>Tarih seç</v>
      </c>
      <c r="G321" s="4" t="str">
        <f>IFERROR(__xludf.DUMMYFUNCTION("GOOGLETRANSLATE(B321,""en"",""ru"")"),"Выберите дату")</f>
        <v>Выберите дату</v>
      </c>
      <c r="H321" s="4" t="str">
        <f>IFERROR(__xludf.DUMMYFUNCTION("GOOGLETRANSLATE(B321,""en"",""it"")"),"Seleziona Data")</f>
        <v>Seleziona Data</v>
      </c>
      <c r="I321" s="4" t="str">
        <f>IFERROR(__xludf.DUMMYFUNCTION("GOOGLETRANSLATE(B321,""en"",""de"")"),"Datum auswählen")</f>
        <v>Datum auswählen</v>
      </c>
      <c r="J321" s="4" t="str">
        <f>IFERROR(__xludf.DUMMYFUNCTION("GOOGLETRANSLATE(B321,""en"",""ko"")"),"날짜 선택")</f>
        <v>날짜 선택</v>
      </c>
      <c r="K321" s="4" t="str">
        <f>IFERROR(__xludf.DUMMYFUNCTION("GOOGLETRANSLATE(B321,""en"",""zh"")"),"选择日期")</f>
        <v>选择日期</v>
      </c>
      <c r="L321" s="4" t="str">
        <f>IFERROR(__xludf.DUMMYFUNCTION("GOOGLETRANSLATE(B321,""en"",""es"")"),"Seleccione fecha")</f>
        <v>Seleccione fecha</v>
      </c>
      <c r="M321" s="4" t="str">
        <f>IFERROR(__xludf.DUMMYFUNCTION("GOOGLETRANSLATE(B321,""en"",""iw"")"),"בחר תאריך")</f>
        <v>בחר תאריך</v>
      </c>
      <c r="N321" s="4" t="str">
        <f>IFERROR(__xludf.DUMMYFUNCTION("GOOGLETRANSLATE(B321,""en"",""bn"")"),"তারিখ নির্বাচন করুন")</f>
        <v>তারিখ নির্বাচন করুন</v>
      </c>
      <c r="O321" s="4" t="str">
        <f>IFERROR(__xludf.DUMMYFUNCTION("GOOGLETRANSLATE(B321,""en"",""pt"")"),"Selecione a data")</f>
        <v>Selecione a data</v>
      </c>
      <c r="P321" s="4"/>
    </row>
    <row r="322">
      <c r="A322" s="21" t="s">
        <v>863</v>
      </c>
      <c r="B322" s="22" t="s">
        <v>864</v>
      </c>
      <c r="C322" s="4" t="str">
        <f>IFERROR(__xludf.DUMMYFUNCTION("GOOGLETRANSLATE(B322,""en"",""hi"")"),"उपयोगकर्ता")</f>
        <v>उपयोगकर्ता</v>
      </c>
      <c r="D322" s="4" t="str">
        <f>IFERROR(__xludf.DUMMYFUNCTION("GOOGLETRANSLATE(B322,""en"",""ar"")"),"مستخدم")</f>
        <v>مستخدم</v>
      </c>
      <c r="E322" s="4" t="str">
        <f>IFERROR(__xludf.DUMMYFUNCTION("GOOGLETRANSLATE(B322,""en"",""fr"")"),"Utilisateur")</f>
        <v>Utilisateur</v>
      </c>
      <c r="F322" s="4" t="str">
        <f>IFERROR(__xludf.DUMMYFUNCTION("GOOGLETRANSLATE(B322,""en"",""tr"")"),"Kullanıcı")</f>
        <v>Kullanıcı</v>
      </c>
      <c r="G322" s="4" t="str">
        <f>IFERROR(__xludf.DUMMYFUNCTION("GOOGLETRANSLATE(B322,""en"",""ru"")"),"Пользователь")</f>
        <v>Пользователь</v>
      </c>
      <c r="H322" s="4" t="str">
        <f>IFERROR(__xludf.DUMMYFUNCTION("GOOGLETRANSLATE(B322,""en"",""it"")"),"Utente")</f>
        <v>Utente</v>
      </c>
      <c r="I322" s="4" t="str">
        <f>IFERROR(__xludf.DUMMYFUNCTION("GOOGLETRANSLATE(B322,""en"",""de"")"),"Benutzer")</f>
        <v>Benutzer</v>
      </c>
      <c r="J322" s="4" t="str">
        <f>IFERROR(__xludf.DUMMYFUNCTION("GOOGLETRANSLATE(B322,""en"",""ko"")"),"사용자")</f>
        <v>사용자</v>
      </c>
      <c r="K322" s="4" t="str">
        <f>IFERROR(__xludf.DUMMYFUNCTION("GOOGLETRANSLATE(B322,""en"",""zh"")"),"用户")</f>
        <v>用户</v>
      </c>
      <c r="L322" s="4" t="str">
        <f>IFERROR(__xludf.DUMMYFUNCTION("GOOGLETRANSLATE(B322,""en"",""es"")"),"Usuario")</f>
        <v>Usuario</v>
      </c>
      <c r="M322" s="4" t="str">
        <f>IFERROR(__xludf.DUMMYFUNCTION("GOOGLETRANSLATE(B322,""en"",""iw"")"),"מִשׁתַמֵשׁ")</f>
        <v>מִשׁתַמֵשׁ</v>
      </c>
      <c r="N322" s="4" t="str">
        <f>IFERROR(__xludf.DUMMYFUNCTION("GOOGLETRANSLATE(B322,""en"",""bn"")"),"ব্যবহারকারী")</f>
        <v>ব্যবহারকারী</v>
      </c>
      <c r="O322" s="4" t="str">
        <f>IFERROR(__xludf.DUMMYFUNCTION("GOOGLETRANSLATE(B322,""en"",""pt"")"),"Do utilizador")</f>
        <v>Do utilizador</v>
      </c>
      <c r="P322" s="4"/>
    </row>
    <row r="323">
      <c r="A323" s="21" t="s">
        <v>865</v>
      </c>
      <c r="B323" s="22" t="s">
        <v>866</v>
      </c>
      <c r="C323" s="4" t="str">
        <f>IFERROR(__xludf.DUMMYFUNCTION("GOOGLETRANSLATE(B323,""en"",""hi"")"),"चालक")</f>
        <v>चालक</v>
      </c>
      <c r="D323" s="4" t="str">
        <f>IFERROR(__xludf.DUMMYFUNCTION("GOOGLETRANSLATE(B323,""en"",""ar"")"),"سائق")</f>
        <v>سائق</v>
      </c>
      <c r="E323" s="4" t="str">
        <f>IFERROR(__xludf.DUMMYFUNCTION("GOOGLETRANSLATE(B323,""en"",""fr"")"),"Conducteur")</f>
        <v>Conducteur</v>
      </c>
      <c r="F323" s="4" t="str">
        <f>IFERROR(__xludf.DUMMYFUNCTION("GOOGLETRANSLATE(B323,""en"",""tr"")"),"Sürücü")</f>
        <v>Sürücü</v>
      </c>
      <c r="G323" s="4" t="str">
        <f>IFERROR(__xludf.DUMMYFUNCTION("GOOGLETRANSLATE(B323,""en"",""ru"")"),"Водитель")</f>
        <v>Водитель</v>
      </c>
      <c r="H323" s="4" t="str">
        <f>IFERROR(__xludf.DUMMYFUNCTION("GOOGLETRANSLATE(B323,""en"",""it"")"),"Autista")</f>
        <v>Autista</v>
      </c>
      <c r="I323" s="4" t="str">
        <f>IFERROR(__xludf.DUMMYFUNCTION("GOOGLETRANSLATE(B323,""en"",""de"")"),"Treiber")</f>
        <v>Treiber</v>
      </c>
      <c r="J323" s="4" t="str">
        <f>IFERROR(__xludf.DUMMYFUNCTION("GOOGLETRANSLATE(B323,""en"",""ko"")"),"운전사")</f>
        <v>운전사</v>
      </c>
      <c r="K323" s="4" t="str">
        <f>IFERROR(__xludf.DUMMYFUNCTION("GOOGLETRANSLATE(B323,""en"",""zh"")"),"司机")</f>
        <v>司机</v>
      </c>
      <c r="L323" s="4" t="str">
        <f>IFERROR(__xludf.DUMMYFUNCTION("GOOGLETRANSLATE(B323,""en"",""es"")"),"Conductor")</f>
        <v>Conductor</v>
      </c>
      <c r="M323" s="4" t="str">
        <f>IFERROR(__xludf.DUMMYFUNCTION("GOOGLETRANSLATE(B323,""en"",""iw"")"),"נהג")</f>
        <v>נהג</v>
      </c>
      <c r="N323" s="4" t="str">
        <f>IFERROR(__xludf.DUMMYFUNCTION("GOOGLETRANSLATE(B323,""en"",""bn"")"),"ড্রাইভার")</f>
        <v>ড্রাইভার</v>
      </c>
      <c r="O323" s="4" t="str">
        <f>IFERROR(__xludf.DUMMYFUNCTION("GOOGLETRANSLATE(B323,""en"",""pt"")"),"Motorista")</f>
        <v>Motorista</v>
      </c>
      <c r="P323" s="4"/>
    </row>
    <row r="324">
      <c r="A324" s="21" t="s">
        <v>867</v>
      </c>
      <c r="B324" s="23" t="s">
        <v>868</v>
      </c>
      <c r="C324" s="4" t="str">
        <f>IFERROR(__xludf.DUMMYFUNCTION("GOOGLETRANSLATE(B324,""en"",""hi"")"),"ड्राइवर को नियुक्त नहीं किया गया")</f>
        <v>ड्राइवर को नियुक्त नहीं किया गया</v>
      </c>
      <c r="D324" s="4" t="str">
        <f>IFERROR(__xludf.DUMMYFUNCTION("GOOGLETRANSLATE(B324,""en"",""ar"")"),"لم يتم تعيين برنامج التشغيل")</f>
        <v>لم يتم تعيين برنامج التشغيل</v>
      </c>
      <c r="E324" s="4" t="str">
        <f>IFERROR(__xludf.DUMMYFUNCTION("GOOGLETRANSLATE(B324,""en"",""fr"")"),"Chauffeur non attribué")</f>
        <v>Chauffeur non attribué</v>
      </c>
      <c r="F324" s="4" t="str">
        <f>IFERROR(__xludf.DUMMYFUNCTION("GOOGLETRANSLATE(B324,""en"",""tr"")"),"Sürücü Atanmadı")</f>
        <v>Sürücü Atanmadı</v>
      </c>
      <c r="G324" s="4" t="str">
        <f>IFERROR(__xludf.DUMMYFUNCTION("GOOGLETRANSLATE(B324,""en"",""ru"")"),"Драйвер не назначен")</f>
        <v>Драйвер не назначен</v>
      </c>
      <c r="H324" s="4" t="str">
        <f>IFERROR(__xludf.DUMMYFUNCTION("GOOGLETRANSLATE(B324,""en"",""it"")"),"Autista non assegnato")</f>
        <v>Autista non assegnato</v>
      </c>
      <c r="I324" s="4" t="str">
        <f>IFERROR(__xludf.DUMMYFUNCTION("GOOGLETRANSLATE(B324,""en"",""de"")"),"Treiber nicht zugewiesen")</f>
        <v>Treiber nicht zugewiesen</v>
      </c>
      <c r="J324" s="4" t="str">
        <f>IFERROR(__xludf.DUMMYFUNCTION("GOOGLETRANSLATE(B324,""en"",""ko"")"),"드라이버가 할당되지 않음")</f>
        <v>드라이버가 할당되지 않음</v>
      </c>
      <c r="K324" s="4" t="str">
        <f>IFERROR(__xludf.DUMMYFUNCTION("GOOGLETRANSLATE(B324,""en"",""zh"")"),"未分配驱动程序")</f>
        <v>未分配驱动程序</v>
      </c>
      <c r="L324" s="4" t="str">
        <f>IFERROR(__xludf.DUMMYFUNCTION("GOOGLETRANSLATE(B324,""en"",""es"")"),"Conductor no asignado")</f>
        <v>Conductor no asignado</v>
      </c>
      <c r="M324" s="4" t="str">
        <f>IFERROR(__xludf.DUMMYFUNCTION("GOOGLETRANSLATE(B324,""en"",""iw"")"),"נהג לא הוקצה")</f>
        <v>נהג לא הוקצה</v>
      </c>
      <c r="N324" s="4" t="str">
        <f>IFERROR(__xludf.DUMMYFUNCTION("GOOGLETRANSLATE(B324,""en"",""bn"")"),"ড্রাইভার নিয়োগ করা হয়নি")</f>
        <v>ড্রাইভার নিয়োগ করা হয়নি</v>
      </c>
      <c r="O324" s="4" t="str">
        <f>IFERROR(__xludf.DUMMYFUNCTION("GOOGLETRANSLATE(B324,""en"",""pt"")"),"Motorista não atribuído")</f>
        <v>Motorista não atribuído</v>
      </c>
      <c r="P324" s="4"/>
    </row>
    <row r="325">
      <c r="A325" s="21" t="s">
        <v>869</v>
      </c>
      <c r="B325" s="23" t="s">
        <v>870</v>
      </c>
      <c r="C325" s="4" t="str">
        <f>IFERROR(__xludf.DUMMYFUNCTION("GOOGLETRANSLATE(B325,""en"",""hi"")"),"अनुमोदन के लिए प्रतीक्षा")</f>
        <v>अनुमोदन के लिए प्रतीक्षा</v>
      </c>
      <c r="D325" s="4" t="str">
        <f>IFERROR(__xludf.DUMMYFUNCTION("GOOGLETRANSLATE(B325,""en"",""ar"")"),"بانتظار الموافقة")</f>
        <v>بانتظار الموافقة</v>
      </c>
      <c r="E325" s="4" t="str">
        <f>IFERROR(__xludf.DUMMYFUNCTION("GOOGLETRANSLATE(B325,""en"",""fr"")"),"En attente d'approbation")</f>
        <v>En attente d'approbation</v>
      </c>
      <c r="F325" s="4" t="str">
        <f>IFERROR(__xludf.DUMMYFUNCTION("GOOGLETRANSLATE(B325,""en"",""tr"")"),"Onay bekleniyor")</f>
        <v>Onay bekleniyor</v>
      </c>
      <c r="G325" s="4" t="str">
        <f>IFERROR(__xludf.DUMMYFUNCTION("GOOGLETRANSLATE(B325,""en"",""ru"")"),"Ожидание подтверждения")</f>
        <v>Ожидание подтверждения</v>
      </c>
      <c r="H325" s="4" t="str">
        <f>IFERROR(__xludf.DUMMYFUNCTION("GOOGLETRANSLATE(B325,""en"",""it"")"),"In attesa di approvazione")</f>
        <v>In attesa di approvazione</v>
      </c>
      <c r="I325" s="4" t="str">
        <f>IFERROR(__xludf.DUMMYFUNCTION("GOOGLETRANSLATE(B325,""en"",""de"")"),"Warten auf die Bestätigung")</f>
        <v>Warten auf die Bestätigung</v>
      </c>
      <c r="J325" s="4" t="str">
        <f>IFERROR(__xludf.DUMMYFUNCTION("GOOGLETRANSLATE(B325,""en"",""ko"")"),"승인 대기 중")</f>
        <v>승인 대기 중</v>
      </c>
      <c r="K325" s="4" t="str">
        <f>IFERROR(__xludf.DUMMYFUNCTION("GOOGLETRANSLATE(B325,""en"",""zh"")"),"等待批准")</f>
        <v>等待批准</v>
      </c>
      <c r="L325" s="4" t="str">
        <f>IFERROR(__xludf.DUMMYFUNCTION("GOOGLETRANSLATE(B325,""en"",""es"")"),"A la espera de la aprobación")</f>
        <v>A la espera de la aprobación</v>
      </c>
      <c r="M325" s="4" t="str">
        <f>IFERROR(__xludf.DUMMYFUNCTION("GOOGLETRANSLATE(B325,""en"",""iw"")"),"מחכה לאישור")</f>
        <v>מחכה לאישור</v>
      </c>
      <c r="N325" s="4" t="str">
        <f>IFERROR(__xludf.DUMMYFUNCTION("GOOGLETRANSLATE(B325,""en"",""bn"")"),"অনুমোদনের জন্য অপেক্ষা করছে")</f>
        <v>অনুমোদনের জন্য অপেক্ষা করছে</v>
      </c>
      <c r="O325" s="4" t="str">
        <f>IFERROR(__xludf.DUMMYFUNCTION("GOOGLETRANSLATE(B325,""en"",""pt"")"),"Esperando aprovação")</f>
        <v>Esperando aprovação</v>
      </c>
      <c r="P325" s="4"/>
    </row>
    <row r="326">
      <c r="A326" s="21" t="s">
        <v>871</v>
      </c>
      <c r="B326" s="22" t="s">
        <v>872</v>
      </c>
      <c r="C326" s="4" t="str">
        <f>IFERROR(__xludf.DUMMYFUNCTION("GOOGLETRANSLATE(B326,""en"",""hi"")"),"कोई वाहन नहीं मिला")</f>
        <v>कोई वाहन नहीं मिला</v>
      </c>
      <c r="D326" s="4" t="str">
        <f>IFERROR(__xludf.DUMMYFUNCTION("GOOGLETRANSLATE(B326,""en"",""ar"")"),"لم يتم العثور على مركبة")</f>
        <v>لم يتم العثور على مركبة</v>
      </c>
      <c r="E326" s="4" t="str">
        <f>IFERROR(__xludf.DUMMYFUNCTION("GOOGLETRANSLATE(B326,""en"",""fr"")"),"Aucun véhicule trouvé")</f>
        <v>Aucun véhicule trouvé</v>
      </c>
      <c r="F326" s="4" t="str">
        <f>IFERROR(__xludf.DUMMYFUNCTION("GOOGLETRANSLATE(B326,""en"",""tr"")"),"Araç Bulunamadı")</f>
        <v>Araç Bulunamadı</v>
      </c>
      <c r="G326" s="4" t="str">
        <f>IFERROR(__xludf.DUMMYFUNCTION("GOOGLETRANSLATE(B326,""en"",""ru"")"),"Транспортное средство не найдено")</f>
        <v>Транспортное средство не найдено</v>
      </c>
      <c r="H326" s="4" t="str">
        <f>IFERROR(__xludf.DUMMYFUNCTION("GOOGLETRANSLATE(B326,""en"",""it"")"),"Nessun veicolo trovato")</f>
        <v>Nessun veicolo trovato</v>
      </c>
      <c r="I326" s="4" t="str">
        <f>IFERROR(__xludf.DUMMYFUNCTION("GOOGLETRANSLATE(B326,""en"",""de"")"),"Kein Fahrzeug gefunden")</f>
        <v>Kein Fahrzeug gefunden</v>
      </c>
      <c r="J326" s="4" t="str">
        <f>IFERROR(__xludf.DUMMYFUNCTION("GOOGLETRANSLATE(B326,""en"",""ko"")"),"차량을 찾을 수 없습니다")</f>
        <v>차량을 찾을 수 없습니다</v>
      </c>
      <c r="K326" s="4" t="str">
        <f>IFERROR(__xludf.DUMMYFUNCTION("GOOGLETRANSLATE(B326,""en"",""zh"")"),"未找到车辆")</f>
        <v>未找到车辆</v>
      </c>
      <c r="L326" s="4" t="str">
        <f>IFERROR(__xludf.DUMMYFUNCTION("GOOGLETRANSLATE(B326,""en"",""es"")"),"No se encontró ningún vehículo")</f>
        <v>No se encontró ningún vehículo</v>
      </c>
      <c r="M326" s="4" t="str">
        <f>IFERROR(__xludf.DUMMYFUNCTION("GOOGLETRANSLATE(B326,""en"",""iw"")"),"לא נמצא רכב")</f>
        <v>לא נמצא רכב</v>
      </c>
      <c r="N326" s="4" t="str">
        <f>IFERROR(__xludf.DUMMYFUNCTION("GOOGLETRANSLATE(B326,""en"",""bn"")"),"কোন যানবাহন পাওয়া যায়নি")</f>
        <v>কোন যানবাহন পাওয়া যায়নি</v>
      </c>
      <c r="O326" s="4" t="str">
        <f>IFERROR(__xludf.DUMMYFUNCTION("GOOGLETRANSLATE(B326,""en"",""pt"")"),"Nenhum veículo encontrado")</f>
        <v>Nenhum veículo encontrado</v>
      </c>
      <c r="P326" s="4"/>
    </row>
    <row r="327">
      <c r="A327" s="21" t="s">
        <v>873</v>
      </c>
      <c r="B327" s="22" t="s">
        <v>874</v>
      </c>
      <c r="C327" s="4" t="str">
        <f>IFERROR(__xludf.DUMMYFUNCTION("GOOGLETRANSLATE(B327,""en"",""hi"")"),"ड्राइवर नियुक्त करें")</f>
        <v>ड्राइवर नियुक्त करें</v>
      </c>
      <c r="D327" s="4" t="str">
        <f>IFERROR(__xludf.DUMMYFUNCTION("GOOGLETRANSLATE(B327,""en"",""ar"")"),"تعيين سائق")</f>
        <v>تعيين سائق</v>
      </c>
      <c r="E327" s="4" t="str">
        <f>IFERROR(__xludf.DUMMYFUNCTION("GOOGLETRANSLATE(B327,""en"",""fr"")"),"Attribuer un chauffeur")</f>
        <v>Attribuer un chauffeur</v>
      </c>
      <c r="F327" s="4" t="str">
        <f>IFERROR(__xludf.DUMMYFUNCTION("GOOGLETRANSLATE(B327,""en"",""tr"")"),"Sürücü Ata")</f>
        <v>Sürücü Ata</v>
      </c>
      <c r="G327" s="4" t="str">
        <f>IFERROR(__xludf.DUMMYFUNCTION("GOOGLETRANSLATE(B327,""en"",""ru"")"),"Назначить водителя")</f>
        <v>Назначить водителя</v>
      </c>
      <c r="H327" s="4" t="str">
        <f>IFERROR(__xludf.DUMMYFUNCTION("GOOGLETRANSLATE(B327,""en"",""it"")"),"Assegna conducente")</f>
        <v>Assegna conducente</v>
      </c>
      <c r="I327" s="4" t="str">
        <f>IFERROR(__xludf.DUMMYFUNCTION("GOOGLETRANSLATE(B327,""en"",""de"")"),"Fahrer zuweisen")</f>
        <v>Fahrer zuweisen</v>
      </c>
      <c r="J327" s="4" t="str">
        <f>IFERROR(__xludf.DUMMYFUNCTION("GOOGLETRANSLATE(B327,""en"",""ko"")"),"드라이버 할당")</f>
        <v>드라이버 할당</v>
      </c>
      <c r="K327" s="4" t="str">
        <f>IFERROR(__xludf.DUMMYFUNCTION("GOOGLETRANSLATE(B327,""en"",""zh"")"),"分配司机")</f>
        <v>分配司机</v>
      </c>
      <c r="L327" s="4" t="str">
        <f>IFERROR(__xludf.DUMMYFUNCTION("GOOGLETRANSLATE(B327,""en"",""es"")"),"Asignar controlador")</f>
        <v>Asignar controlador</v>
      </c>
      <c r="M327" s="4" t="str">
        <f>IFERROR(__xludf.DUMMYFUNCTION("GOOGLETRANSLATE(B327,""en"",""iw"")"),"הקצה דרייבר")</f>
        <v>הקצה דרייבר</v>
      </c>
      <c r="N327" s="4" t="str">
        <f>IFERROR(__xludf.DUMMYFUNCTION("GOOGLETRANSLATE(B327,""en"",""bn"")"),"ড্রাইভার নিয়োগ করুন")</f>
        <v>ড্রাইভার নিয়োগ করুন</v>
      </c>
      <c r="O327" s="4" t="str">
        <f>IFERROR(__xludf.DUMMYFUNCTION("GOOGLETRANSLATE(B327,""en"",""pt"")"),"Atribuir motorista")</f>
        <v>Atribuir motorista</v>
      </c>
      <c r="P327" s="4"/>
    </row>
    <row r="328">
      <c r="A328" s="21" t="s">
        <v>875</v>
      </c>
      <c r="B328" s="22" t="s">
        <v>876</v>
      </c>
      <c r="C328" s="4" t="str">
        <f>IFERROR(__xludf.DUMMYFUNCTION("GOOGLETRANSLATE(B328,""en"",""hi"")"),"दस्तावेज़ अपलोड करें")</f>
        <v>दस्तावेज़ अपलोड करें</v>
      </c>
      <c r="D328" s="4" t="str">
        <f>IFERROR(__xludf.DUMMYFUNCTION("GOOGLETRANSLATE(B328,""en"",""ar"")"),"تحميل المستندات")</f>
        <v>تحميل المستندات</v>
      </c>
      <c r="E328" s="4" t="str">
        <f>IFERROR(__xludf.DUMMYFUNCTION("GOOGLETRANSLATE(B328,""en"",""fr"")"),"Télécharger des documents")</f>
        <v>Télécharger des documents</v>
      </c>
      <c r="F328" s="4" t="str">
        <f>IFERROR(__xludf.DUMMYFUNCTION("GOOGLETRANSLATE(B328,""en"",""tr"")"),"Dokümanları Yükle")</f>
        <v>Dokümanları Yükle</v>
      </c>
      <c r="G328" s="4" t="str">
        <f>IFERROR(__xludf.DUMMYFUNCTION("GOOGLETRANSLATE(B328,""en"",""ru"")"),"Загрузить документы")</f>
        <v>Загрузить документы</v>
      </c>
      <c r="H328" s="4" t="str">
        <f>IFERROR(__xludf.DUMMYFUNCTION("GOOGLETRANSLATE(B328,""en"",""it"")"),"Carica documenti")</f>
        <v>Carica documenti</v>
      </c>
      <c r="I328" s="4" t="str">
        <f>IFERROR(__xludf.DUMMYFUNCTION("GOOGLETRANSLATE(B328,""en"",""de"")"),"Dokumente hochladen")</f>
        <v>Dokumente hochladen</v>
      </c>
      <c r="J328" s="4" t="str">
        <f>IFERROR(__xludf.DUMMYFUNCTION("GOOGLETRANSLATE(B328,""en"",""ko"")"),"문서 업로드")</f>
        <v>문서 업로드</v>
      </c>
      <c r="K328" s="4" t="str">
        <f>IFERROR(__xludf.DUMMYFUNCTION("GOOGLETRANSLATE(B328,""en"",""zh"")"),"上传文档")</f>
        <v>上传文档</v>
      </c>
      <c r="L328" s="4" t="str">
        <f>IFERROR(__xludf.DUMMYFUNCTION("GOOGLETRANSLATE(B328,""en"",""es"")"),"Subir documentos")</f>
        <v>Subir documentos</v>
      </c>
      <c r="M328" s="4" t="str">
        <f>IFERROR(__xludf.DUMMYFUNCTION("GOOGLETRANSLATE(B328,""en"",""iw"")"),"העלה מסמכים")</f>
        <v>העלה מסמכים</v>
      </c>
      <c r="N328" s="4" t="str">
        <f>IFERROR(__xludf.DUMMYFUNCTION("GOOGLETRANSLATE(B328,""en"",""bn"")"),"ডক্স আপলোড করুন")</f>
        <v>ডক্স আপলোড করুন</v>
      </c>
      <c r="O328" s="4" t="str">
        <f>IFERROR(__xludf.DUMMYFUNCTION("GOOGLETRANSLATE(B328,""en"",""pt"")"),"Carregar documentos")</f>
        <v>Carregar documentos</v>
      </c>
      <c r="P328" s="4"/>
    </row>
    <row r="329">
      <c r="A329" s="21" t="s">
        <v>877</v>
      </c>
      <c r="B329" s="22" t="s">
        <v>878</v>
      </c>
      <c r="C329" s="4" t="str">
        <f>IFERROR(__xludf.DUMMYFUNCTION("GOOGLETRANSLATE(B329,""en"",""hi"")"),"वाहन सफलतापूर्वक जोड़ा गया")</f>
        <v>वाहन सफलतापूर्वक जोड़ा गया</v>
      </c>
      <c r="D329" s="4" t="str">
        <f>IFERROR(__xludf.DUMMYFUNCTION("GOOGLETRANSLATE(B329,""en"",""ar"")"),"تمت إضافة السيارة بنجاح")</f>
        <v>تمت إضافة السيارة بنجاح</v>
      </c>
      <c r="E329" s="4" t="str">
        <f>IFERROR(__xludf.DUMMYFUNCTION("GOOGLETRANSLATE(B329,""en"",""fr"")"),"Véhicule ajouté avec succès")</f>
        <v>Véhicule ajouté avec succès</v>
      </c>
      <c r="F329" s="4" t="str">
        <f>IFERROR(__xludf.DUMMYFUNCTION("GOOGLETRANSLATE(B329,""en"",""tr"")"),"Araç Başarıyla Eklendi")</f>
        <v>Araç Başarıyla Eklendi</v>
      </c>
      <c r="G329" s="4" t="str">
        <f>IFERROR(__xludf.DUMMYFUNCTION("GOOGLETRANSLATE(B329,""en"",""ru"")"),"Транспортное средство успешно добавлено")</f>
        <v>Транспортное средство успешно добавлено</v>
      </c>
      <c r="H329" s="4" t="str">
        <f>IFERROR(__xludf.DUMMYFUNCTION("GOOGLETRANSLATE(B329,""en"",""it"")"),"Veicolo aggiunto con successo")</f>
        <v>Veicolo aggiunto con successo</v>
      </c>
      <c r="I329" s="4" t="str">
        <f>IFERROR(__xludf.DUMMYFUNCTION("GOOGLETRANSLATE(B329,""en"",""de"")"),"Fahrzeug erfolgreich hinzugefügt")</f>
        <v>Fahrzeug erfolgreich hinzugefügt</v>
      </c>
      <c r="J329" s="4" t="str">
        <f>IFERROR(__xludf.DUMMYFUNCTION("GOOGLETRANSLATE(B329,""en"",""ko"")"),"차량이 성공적으로 추가되었습니다")</f>
        <v>차량이 성공적으로 추가되었습니다</v>
      </c>
      <c r="K329" s="4" t="str">
        <f>IFERROR(__xludf.DUMMYFUNCTION("GOOGLETRANSLATE(B329,""en"",""zh"")"),"车辆添加成功")</f>
        <v>车辆添加成功</v>
      </c>
      <c r="L329" s="4" t="str">
        <f>IFERROR(__xludf.DUMMYFUNCTION("GOOGLETRANSLATE(B329,""en"",""es"")"),"Vehículo agregado exitosamente")</f>
        <v>Vehículo agregado exitosamente</v>
      </c>
      <c r="M329" s="4" t="str">
        <f>IFERROR(__xludf.DUMMYFUNCTION("GOOGLETRANSLATE(B329,""en"",""iw"")"),"הרכב נוסף בהצלחה")</f>
        <v>הרכב נוסף בהצלחה</v>
      </c>
      <c r="N329" s="4" t="str">
        <f>IFERROR(__xludf.DUMMYFUNCTION("GOOGLETRANSLATE(B329,""en"",""bn"")"),"যানবাহন সফলভাবে যোগ করা হয়েছে")</f>
        <v>যানবাহন সফলভাবে যোগ করা হয়েছে</v>
      </c>
      <c r="O329" s="4" t="str">
        <f>IFERROR(__xludf.DUMMYFUNCTION("GOOGLETRANSLATE(B329,""en"",""pt"")"),"Veículo adicionado com sucesso")</f>
        <v>Veículo adicionado com sucesso</v>
      </c>
      <c r="P329" s="4"/>
    </row>
    <row r="330">
      <c r="A330" s="21" t="s">
        <v>879</v>
      </c>
      <c r="B330" s="22" t="s">
        <v>880</v>
      </c>
      <c r="C330" s="4" t="str">
        <f>IFERROR(__xludf.DUMMYFUNCTION("GOOGLETRANSLATE(B330,""en"",""hi"")"),"तस्वीर जोड़ो")</f>
        <v>तस्वीर जोड़ो</v>
      </c>
      <c r="D330" s="4" t="str">
        <f>IFERROR(__xludf.DUMMYFUNCTION("GOOGLETRANSLATE(B330,""en"",""ar"")"),"إضافة صورة")</f>
        <v>إضافة صورة</v>
      </c>
      <c r="E330" s="4" t="str">
        <f>IFERROR(__xludf.DUMMYFUNCTION("GOOGLETRANSLATE(B330,""en"",""fr"")"),"Ajouter une photo")</f>
        <v>Ajouter une photo</v>
      </c>
      <c r="F330" s="4" t="str">
        <f>IFERROR(__xludf.DUMMYFUNCTION("GOOGLETRANSLATE(B330,""en"",""tr"")"),"Fotoğraf ekle")</f>
        <v>Fotoğraf ekle</v>
      </c>
      <c r="G330" s="4" t="str">
        <f>IFERROR(__xludf.DUMMYFUNCTION("GOOGLETRANSLATE(B330,""en"",""ru"")"),"Добавить фото")</f>
        <v>Добавить фото</v>
      </c>
      <c r="H330" s="4" t="str">
        <f>IFERROR(__xludf.DUMMYFUNCTION("GOOGLETRANSLATE(B330,""en"",""it"")"),"Aggiungi foto")</f>
        <v>Aggiungi foto</v>
      </c>
      <c r="I330" s="4" t="str">
        <f>IFERROR(__xludf.DUMMYFUNCTION("GOOGLETRANSLATE(B330,""en"",""de"")"),"Foto hinzufügen")</f>
        <v>Foto hinzufügen</v>
      </c>
      <c r="J330" s="4" t="str">
        <f>IFERROR(__xludf.DUMMYFUNCTION("GOOGLETRANSLATE(B330,""en"",""ko"")"),"사진 추가")</f>
        <v>사진 추가</v>
      </c>
      <c r="K330" s="4" t="str">
        <f>IFERROR(__xludf.DUMMYFUNCTION("GOOGLETRANSLATE(B330,""en"",""zh"")"),"添加照片")</f>
        <v>添加照片</v>
      </c>
      <c r="L330" s="4" t="str">
        <f>IFERROR(__xludf.DUMMYFUNCTION("GOOGLETRANSLATE(B330,""en"",""es"")"),"Añadir foto")</f>
        <v>Añadir foto</v>
      </c>
      <c r="M330" s="4" t="str">
        <f>IFERROR(__xludf.DUMMYFUNCTION("GOOGLETRANSLATE(B330,""en"",""iw"")"),"הוסף תמונה")</f>
        <v>הוסף תמונה</v>
      </c>
      <c r="N330" s="4" t="str">
        <f>IFERROR(__xludf.DUMMYFUNCTION("GOOGLETRANSLATE(B330,""en"",""bn"")"),"ঘফজ")</f>
        <v>ঘফজ</v>
      </c>
      <c r="O330" s="4" t="str">
        <f>IFERROR(__xludf.DUMMYFUNCTION("GOOGLETRANSLATE(B330,""en"",""pt"")"),"Adicionar foto")</f>
        <v>Adicionar foto</v>
      </c>
      <c r="P330" s="4"/>
    </row>
    <row r="331">
      <c r="A331" s="21" t="s">
        <v>881</v>
      </c>
      <c r="B331" s="22" t="s">
        <v>882</v>
      </c>
      <c r="C331" s="4" t="str">
        <f>IFERROR(__xludf.DUMMYFUNCTION("GOOGLETRANSLATE(B331,""en"",""hi"")"),"ड्राइवर के रूप में लॉगिन करें")</f>
        <v>ड्राइवर के रूप में लॉगिन करें</v>
      </c>
      <c r="D331" s="4" t="str">
        <f>IFERROR(__xludf.DUMMYFUNCTION("GOOGLETRANSLATE(B331,""en"",""ar"")"),"تسجيل الدخول كسائق")</f>
        <v>تسجيل الدخول كسائق</v>
      </c>
      <c r="E331" s="4" t="str">
        <f>IFERROR(__xludf.DUMMYFUNCTION("GOOGLETRANSLATE(B331,""en"",""fr"")"),"Connectez-vous en tant que pilote")</f>
        <v>Connectez-vous en tant que pilote</v>
      </c>
      <c r="F331" s="4" t="str">
        <f>IFERROR(__xludf.DUMMYFUNCTION("GOOGLETRANSLATE(B331,""en"",""tr"")"),"Sürücü olarak oturum açın")</f>
        <v>Sürücü olarak oturum açın</v>
      </c>
      <c r="G331" s="4" t="str">
        <f>IFERROR(__xludf.DUMMYFUNCTION("GOOGLETRANSLATE(B331,""en"",""ru"")"),"Войти как водитель")</f>
        <v>Войти как водитель</v>
      </c>
      <c r="H331" s="4" t="str">
        <f>IFERROR(__xludf.DUMMYFUNCTION("GOOGLETRANSLATE(B331,""en"",""it"")"),"Accedi come conducente")</f>
        <v>Accedi come conducente</v>
      </c>
      <c r="I331" s="4" t="str">
        <f>IFERROR(__xludf.DUMMYFUNCTION("GOOGLETRANSLATE(B331,""en"",""de"")"),"Melden Sie sich als Fahrer an")</f>
        <v>Melden Sie sich als Fahrer an</v>
      </c>
      <c r="J331" s="4" t="str">
        <f>IFERROR(__xludf.DUMMYFUNCTION("GOOGLETRANSLATE(B331,""en"",""ko"")"),"드라이버로 로그인")</f>
        <v>드라이버로 로그인</v>
      </c>
      <c r="K331" s="4" t="str">
        <f>IFERROR(__xludf.DUMMYFUNCTION("GOOGLETRANSLATE(B331,""en"",""zh"")"),"以司机身份登录")</f>
        <v>以司机身份登录</v>
      </c>
      <c r="L331" s="4" t="str">
        <f>IFERROR(__xludf.DUMMYFUNCTION("GOOGLETRANSLATE(B331,""en"",""es"")"),"Iniciar sesión como conductor")</f>
        <v>Iniciar sesión como conductor</v>
      </c>
      <c r="M331" s="4" t="str">
        <f>IFERROR(__xludf.DUMMYFUNCTION("GOOGLETRANSLATE(B331,""en"",""iw"")"),"התחבר כנהג")</f>
        <v>התחבר כנהג</v>
      </c>
      <c r="N331" s="4" t="str">
        <f>IFERROR(__xludf.DUMMYFUNCTION("GOOGLETRANSLATE(B331,""en"",""bn"")"),"ড্রাইভার হিসাবে লগইন করুন")</f>
        <v>ড্রাইভার হিসাবে লগইন করুন</v>
      </c>
      <c r="O331" s="4" t="str">
        <f>IFERROR(__xludf.DUMMYFUNCTION("GOOGLETRANSLATE(B331,""en"",""pt"")"),"Faça login como motorista")</f>
        <v>Faça login como motorista</v>
      </c>
      <c r="P331" s="4"/>
    </row>
    <row r="332">
      <c r="A332" s="21" t="s">
        <v>883</v>
      </c>
      <c r="B332" s="22" t="s">
        <v>884</v>
      </c>
      <c r="C332" s="4" t="str">
        <f>IFERROR(__xludf.DUMMYFUNCTION("GOOGLETRANSLATE(B332,""en"",""hi"")"),"स्वामी के रूप में लॉगिन करें")</f>
        <v>स्वामी के रूप में लॉगिन करें</v>
      </c>
      <c r="D332" s="4" t="str">
        <f>IFERROR(__xludf.DUMMYFUNCTION("GOOGLETRANSLATE(B332,""en"",""ar"")"),"تسجيل الدخول كمالك")</f>
        <v>تسجيل الدخول كمالك</v>
      </c>
      <c r="E332" s="4" t="str">
        <f>IFERROR(__xludf.DUMMYFUNCTION("GOOGLETRANSLATE(B332,""en"",""fr"")"),"Connectez-vous en tant que propriétaire")</f>
        <v>Connectez-vous en tant que propriétaire</v>
      </c>
      <c r="F332" s="4" t="str">
        <f>IFERROR(__xludf.DUMMYFUNCTION("GOOGLETRANSLATE(B332,""en"",""tr"")"),"Sahip olarak oturum açın")</f>
        <v>Sahip olarak oturum açın</v>
      </c>
      <c r="G332" s="4" t="str">
        <f>IFERROR(__xludf.DUMMYFUNCTION("GOOGLETRANSLATE(B332,""en"",""ru"")"),"Войти как владелец")</f>
        <v>Войти как владелец</v>
      </c>
      <c r="H332" s="4" t="str">
        <f>IFERROR(__xludf.DUMMYFUNCTION("GOOGLETRANSLATE(B332,""en"",""it"")"),"Accedi come proprietario")</f>
        <v>Accedi come proprietario</v>
      </c>
      <c r="I332" s="4" t="str">
        <f>IFERROR(__xludf.DUMMYFUNCTION("GOOGLETRANSLATE(B332,""en"",""de"")"),"Melden Sie sich als Eigentümer an")</f>
        <v>Melden Sie sich als Eigentümer an</v>
      </c>
      <c r="J332" s="4" t="str">
        <f>IFERROR(__xludf.DUMMYFUNCTION("GOOGLETRANSLATE(B332,""en"",""ko"")"),"소유자로 로그인")</f>
        <v>소유자로 로그인</v>
      </c>
      <c r="K332" s="4" t="str">
        <f>IFERROR(__xludf.DUMMYFUNCTION("GOOGLETRANSLATE(B332,""en"",""zh"")"),"以所有者身份登录")</f>
        <v>以所有者身份登录</v>
      </c>
      <c r="L332" s="4" t="str">
        <f>IFERROR(__xludf.DUMMYFUNCTION("GOOGLETRANSLATE(B332,""en"",""es"")"),"Iniciar sesión como propietario")</f>
        <v>Iniciar sesión como propietario</v>
      </c>
      <c r="M332" s="4" t="str">
        <f>IFERROR(__xludf.DUMMYFUNCTION("GOOGLETRANSLATE(B332,""en"",""iw"")"),"התחבר כבעלים")</f>
        <v>התחבר כבעלים</v>
      </c>
      <c r="N332" s="4" t="str">
        <f>IFERROR(__xludf.DUMMYFUNCTION("GOOGLETRANSLATE(B332,""en"",""bn"")"),"একটি মালিক হিসাবে লগইন করুন")</f>
        <v>একটি মালিক হিসাবে লগইন করুন</v>
      </c>
      <c r="O332" s="4" t="str">
        <f>IFERROR(__xludf.DUMMYFUNCTION("GOOGLETRANSLATE(B332,""en"",""pt"")"),"Faça login como proprietário")</f>
        <v>Faça login como proprietário</v>
      </c>
      <c r="P332" s="4"/>
    </row>
    <row r="333">
      <c r="A333" s="21" t="s">
        <v>885</v>
      </c>
      <c r="B333" s="22" t="s">
        <v>886</v>
      </c>
      <c r="C333" s="4" t="str">
        <f>IFERROR(__xludf.DUMMYFUNCTION("GOOGLETRANSLATE(B333,""en"",""hi"")"),"बेड़े का विवरण")</f>
        <v>बेड़े का विवरण</v>
      </c>
      <c r="D333" s="4" t="str">
        <f>IFERROR(__xludf.DUMMYFUNCTION("GOOGLETRANSLATE(B333,""en"",""ar"")"),"تفاصيل الأسطول")</f>
        <v>تفاصيل الأسطول</v>
      </c>
      <c r="E333" s="4" t="str">
        <f>IFERROR(__xludf.DUMMYFUNCTION("GOOGLETRANSLATE(B333,""en"",""fr"")"),"Détails de la flotte")</f>
        <v>Détails de la flotte</v>
      </c>
      <c r="F333" s="4" t="str">
        <f>IFERROR(__xludf.DUMMYFUNCTION("GOOGLETRANSLATE(B333,""en"",""tr"")"),"Filo Detayları")</f>
        <v>Filo Detayları</v>
      </c>
      <c r="G333" s="4" t="str">
        <f>IFERROR(__xludf.DUMMYFUNCTION("GOOGLETRANSLATE(B333,""en"",""ru"")"),"Детали флота")</f>
        <v>Детали флота</v>
      </c>
      <c r="H333" s="4" t="str">
        <f>IFERROR(__xludf.DUMMYFUNCTION("GOOGLETRANSLATE(B333,""en"",""it"")"),"Dettagli della flotta")</f>
        <v>Dettagli della flotta</v>
      </c>
      <c r="I333" s="4" t="str">
        <f>IFERROR(__xludf.DUMMYFUNCTION("GOOGLETRANSLATE(B333,""en"",""de"")"),"Flottendetails")</f>
        <v>Flottendetails</v>
      </c>
      <c r="J333" s="4" t="str">
        <f>IFERROR(__xludf.DUMMYFUNCTION("GOOGLETRANSLATE(B333,""en"",""ko"")"),"함대 세부정보")</f>
        <v>함대 세부정보</v>
      </c>
      <c r="K333" s="4" t="str">
        <f>IFERROR(__xludf.DUMMYFUNCTION("GOOGLETRANSLATE(B333,""en"",""zh"")"),"机队详情")</f>
        <v>机队详情</v>
      </c>
      <c r="L333" s="4" t="str">
        <f>IFERROR(__xludf.DUMMYFUNCTION("GOOGLETRANSLATE(B333,""en"",""es"")"),"Detalles de la flota")</f>
        <v>Detalles de la flota</v>
      </c>
      <c r="M333" s="4" t="str">
        <f>IFERROR(__xludf.DUMMYFUNCTION("GOOGLETRANSLATE(B333,""en"",""iw"")"),"פרטי הצי")</f>
        <v>פרטי הצי</v>
      </c>
      <c r="N333" s="4" t="str">
        <f>IFERROR(__xludf.DUMMYFUNCTION("GOOGLETRANSLATE(B333,""en"",""bn"")"),"নৌবহরের বিবরণ")</f>
        <v>নৌবহরের বিবরণ</v>
      </c>
      <c r="O333" s="4" t="str">
        <f>IFERROR(__xludf.DUMMYFUNCTION("GOOGLETRANSLATE(B333,""en"",""pt"")"),"Detalhes da Frota")</f>
        <v>Detalhes da Frota</v>
      </c>
      <c r="P333" s="4"/>
    </row>
    <row r="334">
      <c r="A334" s="21" t="s">
        <v>887</v>
      </c>
      <c r="B334" s="22" t="s">
        <v>888</v>
      </c>
      <c r="C334" s="4" t="str">
        <f>IFERROR(__xludf.DUMMYFUNCTION("GOOGLETRANSLATE(B334,""en"",""hi"")"),"ड्राइवर हटाएँ")</f>
        <v>ड्राइवर हटाएँ</v>
      </c>
      <c r="D334" s="4" t="str">
        <f>IFERROR(__xludf.DUMMYFUNCTION("GOOGLETRANSLATE(B334,""en"",""ar"")"),"حذف برنامج التشغيل")</f>
        <v>حذف برنامج التشغيل</v>
      </c>
      <c r="E334" s="4" t="str">
        <f>IFERROR(__xludf.DUMMYFUNCTION("GOOGLETRANSLATE(B334,""en"",""fr"")"),"Supprimer le pilote")</f>
        <v>Supprimer le pilote</v>
      </c>
      <c r="F334" s="4" t="str">
        <f>IFERROR(__xludf.DUMMYFUNCTION("GOOGLETRANSLATE(B334,""en"",""tr"")"),"Sürücüyü Sil")</f>
        <v>Sürücüyü Sil</v>
      </c>
      <c r="G334" s="4" t="str">
        <f>IFERROR(__xludf.DUMMYFUNCTION("GOOGLETRANSLATE(B334,""en"",""ru"")"),"Удалить драйвер")</f>
        <v>Удалить драйвер</v>
      </c>
      <c r="H334" s="4" t="str">
        <f>IFERROR(__xludf.DUMMYFUNCTION("GOOGLETRANSLATE(B334,""en"",""it"")"),"Elimina conducente")</f>
        <v>Elimina conducente</v>
      </c>
      <c r="I334" s="4" t="str">
        <f>IFERROR(__xludf.DUMMYFUNCTION("GOOGLETRANSLATE(B334,""en"",""de"")"),"Treiber löschen")</f>
        <v>Treiber löschen</v>
      </c>
      <c r="J334" s="4" t="str">
        <f>IFERROR(__xludf.DUMMYFUNCTION("GOOGLETRANSLATE(B334,""en"",""ko"")"),"드라이버 삭제")</f>
        <v>드라이버 삭제</v>
      </c>
      <c r="K334" s="4" t="str">
        <f>IFERROR(__xludf.DUMMYFUNCTION("GOOGLETRANSLATE(B334,""en"",""zh"")"),"删除驱动程序")</f>
        <v>删除驱动程序</v>
      </c>
      <c r="L334" s="4" t="str">
        <f>IFERROR(__xludf.DUMMYFUNCTION("GOOGLETRANSLATE(B334,""en"",""es"")"),"Eliminar controlador")</f>
        <v>Eliminar controlador</v>
      </c>
      <c r="M334" s="4" t="str">
        <f>IFERROR(__xludf.DUMMYFUNCTION("GOOGLETRANSLATE(B334,""en"",""iw"")"),"מחק דרייבר")</f>
        <v>מחק דרייבר</v>
      </c>
      <c r="N334" s="4" t="str">
        <f>IFERROR(__xludf.DUMMYFUNCTION("GOOGLETRANSLATE(B334,""en"",""bn"")"),"ড্রাইভার মুছুন")</f>
        <v>ড্রাইভার মুছুন</v>
      </c>
      <c r="O334" s="4" t="str">
        <f>IFERROR(__xludf.DUMMYFUNCTION("GOOGLETRANSLATE(B334,""en"",""pt"")"),"Excluir driver")</f>
        <v>Excluir driver</v>
      </c>
      <c r="P334" s="4"/>
    </row>
    <row r="335">
      <c r="A335" s="21" t="s">
        <v>889</v>
      </c>
      <c r="B335" s="22" t="s">
        <v>890</v>
      </c>
      <c r="C335" s="4" t="str">
        <f>IFERROR(__xludf.DUMMYFUNCTION("GOOGLETRANSLATE(B335,""en"",""hi"")"),"क्या आप वाकई इस ड्राइवर को हटाना चाहते हैं?")</f>
        <v>क्या आप वाकई इस ड्राइवर को हटाना चाहते हैं?</v>
      </c>
      <c r="D335" s="4" t="str">
        <f>IFERROR(__xludf.DUMMYFUNCTION("GOOGLETRANSLATE(B335,""en"",""ar"")"),"هل أنت متأكد أنك تريد حذف برنامج التشغيل هذا؟")</f>
        <v>هل أنت متأكد أنك تريد حذف برنامج التشغيل هذا؟</v>
      </c>
      <c r="E335" s="4" t="str">
        <f>IFERROR(__xludf.DUMMYFUNCTION("GOOGLETRANSLATE(B335,""en"",""fr"")"),"Etes-vous sûr de vouloir supprimer ce pilote ?")</f>
        <v>Etes-vous sûr de vouloir supprimer ce pilote ?</v>
      </c>
      <c r="F335" s="4" t="str">
        <f>IFERROR(__xludf.DUMMYFUNCTION("GOOGLETRANSLATE(B335,""en"",""tr"")"),"Bu sürücüyü silmek istediğinizden emin misiniz?")</f>
        <v>Bu sürücüyü silmek istediğinizden emin misiniz?</v>
      </c>
      <c r="G335" s="4" t="str">
        <f>IFERROR(__xludf.DUMMYFUNCTION("GOOGLETRANSLATE(B335,""en"",""ru"")"),"Вы уверены, что хотите удалить этот драйвер?")</f>
        <v>Вы уверены, что хотите удалить этот драйвер?</v>
      </c>
      <c r="H335" s="4" t="str">
        <f>IFERROR(__xludf.DUMMYFUNCTION("GOOGLETRANSLATE(B335,""en"",""it"")"),"Sei sicuro di voler eliminare questo driver?")</f>
        <v>Sei sicuro di voler eliminare questo driver?</v>
      </c>
      <c r="I335" s="4" t="str">
        <f>IFERROR(__xludf.DUMMYFUNCTION("GOOGLETRANSLATE(B335,""en"",""de"")"),"Möchten Sie diesen Treiber wirklich löschen?")</f>
        <v>Möchten Sie diesen Treiber wirklich löschen?</v>
      </c>
      <c r="J335" s="4" t="str">
        <f>IFERROR(__xludf.DUMMYFUNCTION("GOOGLETRANSLATE(B335,""en"",""ko"")"),"이 드라이버를 삭제하시겠습니까?")</f>
        <v>이 드라이버를 삭제하시겠습니까?</v>
      </c>
      <c r="K335" s="4" t="str">
        <f>IFERROR(__xludf.DUMMYFUNCTION("GOOGLETRANSLATE(B335,""en"",""zh"")"),"您确定要删除该驱动程序吗？")</f>
        <v>您确定要删除该驱动程序吗？</v>
      </c>
      <c r="L335" s="4" t="str">
        <f>IFERROR(__xludf.DUMMYFUNCTION("GOOGLETRANSLATE(B335,""en"",""es"")"),"¿Está seguro de que desea eliminar este controlador?")</f>
        <v>¿Está seguro de que desea eliminar este controlador?</v>
      </c>
      <c r="M335" s="4" t="str">
        <f>IFERROR(__xludf.DUMMYFUNCTION("GOOGLETRANSLATE(B335,""en"",""iw"")"),"האם אתה בטוח שברצונך למחוק את מנהל ההתקן הזה?")</f>
        <v>האם אתה בטוח שברצונך למחוק את מנהל ההתקן הזה?</v>
      </c>
      <c r="N335" s="4" t="str">
        <f>IFERROR(__xludf.DUMMYFUNCTION("GOOGLETRANSLATE(B335,""en"",""bn"")"),"আপনি কি এই ড্রাইভার মুছতে চান?")</f>
        <v>আপনি কি এই ড্রাইভার মুছতে চান?</v>
      </c>
      <c r="O335" s="4" t="str">
        <f>IFERROR(__xludf.DUMMYFUNCTION("GOOGLETRANSLATE(B335,""en"",""pt"")"),"Tem certeza de que deseja excluir este driver?")</f>
        <v>Tem certeza de que deseja excluir este driver?</v>
      </c>
      <c r="P335" s="4"/>
    </row>
    <row r="336">
      <c r="A336" s="21" t="s">
        <v>891</v>
      </c>
      <c r="B336" s="22" t="s">
        <v>892</v>
      </c>
      <c r="C336" s="4" t="str">
        <f>IFERROR(__xludf.DUMMYFUNCTION("GOOGLETRANSLATE(B336,""en"",""hi"")"),"हाँ")</f>
        <v>हाँ</v>
      </c>
      <c r="D336" s="4" t="str">
        <f>IFERROR(__xludf.DUMMYFUNCTION("GOOGLETRANSLATE(B336,""en"",""ar"")"),"نعم")</f>
        <v>نعم</v>
      </c>
      <c r="E336" s="4" t="str">
        <f>IFERROR(__xludf.DUMMYFUNCTION("GOOGLETRANSLATE(B336,""en"",""fr"")"),"Oui")</f>
        <v>Oui</v>
      </c>
      <c r="F336" s="4" t="str">
        <f>IFERROR(__xludf.DUMMYFUNCTION("GOOGLETRANSLATE(B336,""en"",""tr"")"),"Evet")</f>
        <v>Evet</v>
      </c>
      <c r="G336" s="4" t="str">
        <f>IFERROR(__xludf.DUMMYFUNCTION("GOOGLETRANSLATE(B336,""en"",""ru"")"),"Да")</f>
        <v>Да</v>
      </c>
      <c r="H336" s="4" t="str">
        <f>IFERROR(__xludf.DUMMYFUNCTION("GOOGLETRANSLATE(B336,""en"",""it"")"),"SÌ")</f>
        <v>SÌ</v>
      </c>
      <c r="I336" s="4" t="str">
        <f>IFERROR(__xludf.DUMMYFUNCTION("GOOGLETRANSLATE(B336,""en"",""de"")"),"Ja")</f>
        <v>Ja</v>
      </c>
      <c r="J336" s="4" t="str">
        <f>IFERROR(__xludf.DUMMYFUNCTION("GOOGLETRANSLATE(B336,""en"",""ko"")"),"예")</f>
        <v>예</v>
      </c>
      <c r="K336" s="4" t="str">
        <f>IFERROR(__xludf.DUMMYFUNCTION("GOOGLETRANSLATE(B336,""en"",""zh"")"),"是的")</f>
        <v>是的</v>
      </c>
      <c r="L336" s="4" t="str">
        <f>IFERROR(__xludf.DUMMYFUNCTION("GOOGLETRANSLATE(B336,""en"",""es"")"),"Sí")</f>
        <v>Sí</v>
      </c>
      <c r="M336" s="4" t="str">
        <f>IFERROR(__xludf.DUMMYFUNCTION("GOOGLETRANSLATE(B336,""en"",""iw"")"),"כן")</f>
        <v>כן</v>
      </c>
      <c r="N336" s="4" t="str">
        <f>IFERROR(__xludf.DUMMYFUNCTION("GOOGLETRANSLATE(B336,""en"",""bn"")"),"হ্যাঁ")</f>
        <v>হ্যাঁ</v>
      </c>
      <c r="O336" s="4" t="str">
        <f>IFERROR(__xludf.DUMMYFUNCTION("GOOGLETRANSLATE(B336,""en"",""pt"")"),"Sim")</f>
        <v>Sim</v>
      </c>
      <c r="P336" s="4"/>
    </row>
    <row r="337">
      <c r="A337" s="21" t="s">
        <v>893</v>
      </c>
      <c r="B337" s="22" t="s">
        <v>894</v>
      </c>
      <c r="C337" s="4" t="str">
        <f>IFERROR(__xludf.DUMMYFUNCTION("GOOGLETRANSLATE(B337,""en"",""hi"")"),"नहीं")</f>
        <v>नहीं</v>
      </c>
      <c r="D337" s="4" t="str">
        <f>IFERROR(__xludf.DUMMYFUNCTION("GOOGLETRANSLATE(B337,""en"",""ar"")"),"لا")</f>
        <v>لا</v>
      </c>
      <c r="E337" s="4" t="str">
        <f>IFERROR(__xludf.DUMMYFUNCTION("GOOGLETRANSLATE(B337,""en"",""fr"")"),"Non")</f>
        <v>Non</v>
      </c>
      <c r="F337" s="4" t="str">
        <f>IFERROR(__xludf.DUMMYFUNCTION("GOOGLETRANSLATE(B337,""en"",""tr"")"),"HAYIR")</f>
        <v>HAYIR</v>
      </c>
      <c r="G337" s="4" t="str">
        <f>IFERROR(__xludf.DUMMYFUNCTION("GOOGLETRANSLATE(B337,""en"",""ru"")"),"Нет")</f>
        <v>Нет</v>
      </c>
      <c r="H337" s="4" t="str">
        <f>IFERROR(__xludf.DUMMYFUNCTION("GOOGLETRANSLATE(B337,""en"",""it"")"),"NO")</f>
        <v>NO</v>
      </c>
      <c r="I337" s="4" t="str">
        <f>IFERROR(__xludf.DUMMYFUNCTION("GOOGLETRANSLATE(B337,""en"",""de"")"),"NEIN")</f>
        <v>NEIN</v>
      </c>
      <c r="J337" s="4" t="str">
        <f>IFERROR(__xludf.DUMMYFUNCTION("GOOGLETRANSLATE(B337,""en"",""ko"")"),"아니요")</f>
        <v>아니요</v>
      </c>
      <c r="K337" s="4" t="str">
        <f>IFERROR(__xludf.DUMMYFUNCTION("GOOGLETRANSLATE(B337,""en"",""zh"")"),"不")</f>
        <v>不</v>
      </c>
      <c r="L337" s="4" t="str">
        <f>IFERROR(__xludf.DUMMYFUNCTION("GOOGLETRANSLATE(B337,""en"",""es"")"),"No")</f>
        <v>No</v>
      </c>
      <c r="M337" s="4" t="str">
        <f>IFERROR(__xludf.DUMMYFUNCTION("GOOGLETRANSLATE(B337,""en"",""iw"")"),"לא")</f>
        <v>לא</v>
      </c>
      <c r="N337" s="4" t="str">
        <f>IFERROR(__xludf.DUMMYFUNCTION("GOOGLETRANSLATE(B337,""en"",""bn"")"),"না")</f>
        <v>না</v>
      </c>
      <c r="O337" s="4" t="str">
        <f>IFERROR(__xludf.DUMMYFUNCTION("GOOGLETRANSLATE(B337,""en"",""pt"")"),"Não")</f>
        <v>Não</v>
      </c>
      <c r="P337" s="4"/>
    </row>
    <row r="338">
      <c r="A338" s="21" t="s">
        <v>895</v>
      </c>
      <c r="B338" s="22" t="s">
        <v>896</v>
      </c>
      <c r="C338" s="4" t="str">
        <f>IFERROR(__xludf.DUMMYFUNCTION("GOOGLETRANSLATE(B338,""en"",""hi"")"),"आपके मालिक के बटुए का शेष कम है, कृपया अपने मालिक से संपर्क करें")</f>
        <v>आपके मालिक के बटुए का शेष कम है, कृपया अपने मालिक से संपर्क करें</v>
      </c>
      <c r="D338" s="4" t="str">
        <f>IFERROR(__xludf.DUMMYFUNCTION("GOOGLETRANSLATE(B338,""en"",""ar"")"),"رصيد محفظة مالكك منخفض، يرجى الاتصال بمالكك")</f>
        <v>رصيد محفظة مالكك منخفض، يرجى الاتصال بمالكك</v>
      </c>
      <c r="E338" s="4" t="str">
        <f>IFERROR(__xludf.DUMMYFUNCTION("GOOGLETRANSLATE(B338,""en"",""fr"")"),"Le solde de votre portefeuille propriétaire est faible, veuillez contacter votre propriétaire")</f>
        <v>Le solde de votre portefeuille propriétaire est faible, veuillez contacter votre propriétaire</v>
      </c>
      <c r="F338" s="4" t="str">
        <f>IFERROR(__xludf.DUMMYFUNCTION("GOOGLETRANSLATE(B338,""en"",""tr"")"),"Sahibinin cüzdan bakiyesi düşük, lütfen sahibinizle iletişime geçin")</f>
        <v>Sahibinin cüzdan bakiyesi düşük, lütfen sahibinizle iletişime geçin</v>
      </c>
      <c r="G338" s="4" t="str">
        <f>IFERROR(__xludf.DUMMYFUNCTION("GOOGLETRANSLATE(B338,""en"",""ru"")"),"Баланс вашего кошелька владельца низкий, обратитесь к владельцу.")</f>
        <v>Баланс вашего кошелька владельца низкий, обратитесь к владельцу.</v>
      </c>
      <c r="H338" s="4" t="str">
        <f>IFERROR(__xludf.DUMMYFUNCTION("GOOGLETRANSLATE(B338,""en"",""it"")"),"Il saldo del tuo portafoglio proprietario è basso, contatta il proprietario")</f>
        <v>Il saldo del tuo portafoglio proprietario è basso, contatta il proprietario</v>
      </c>
      <c r="I338" s="4" t="str">
        <f>IFERROR(__xludf.DUMMYFUNCTION("GOOGLETRANSLATE(B338,""en"",""de"")"),"Das Guthaben in Ihrer Besitzer-Wallet ist niedrig. Bitte wenden Sie sich an Ihren Besitzer")</f>
        <v>Das Guthaben in Ihrer Besitzer-Wallet ist niedrig. Bitte wenden Sie sich an Ihren Besitzer</v>
      </c>
      <c r="J338" s="4" t="str">
        <f>IFERROR(__xludf.DUMMYFUNCTION("GOOGLETRANSLATE(B338,""en"",""ko"")"),"귀하의 소유자 지갑 잔액이 부족합니다. 소유자에게 문의하세요.")</f>
        <v>귀하의 소유자 지갑 잔액이 부족합니다. 소유자에게 문의하세요.</v>
      </c>
      <c r="K338" s="4" t="str">
        <f>IFERROR(__xludf.DUMMYFUNCTION("GOOGLETRANSLATE(B338,""en"",""zh"")"),"您的主人钱包余额不足，请联系您的主人")</f>
        <v>您的主人钱包余额不足，请联系您的主人</v>
      </c>
      <c r="L338" s="4" t="str">
        <f>IFERROR(__xludf.DUMMYFUNCTION("GOOGLETRANSLATE(B338,""en"",""es"")"),"El saldo de su billetera de propietario es bajo; comuníquese con su propietario")</f>
        <v>El saldo de su billetera de propietario es bajo; comuníquese con su propietario</v>
      </c>
      <c r="M338" s="4" t="str">
        <f>IFERROR(__xludf.DUMMYFUNCTION("GOOGLETRANSLATE(B338,""en"",""iw"")"),"יתרת ארנק הבעלים שלך נמוכה, אנא צור קשר עם הבעלים שלך")</f>
        <v>יתרת ארנק הבעלים שלך נמוכה, אנא צור קשר עם הבעלים שלך</v>
      </c>
      <c r="N338" s="4" t="str">
        <f>IFERROR(__xludf.DUMMYFUNCTION("GOOGLETRANSLATE(B338,""en"",""bn"")"),"আপনার মালিকের ওয়ালেট ব্যালেন্স কম, অনুগ্রহ করে আপনার মালিকের সাথে যোগাযোগ করুন")</f>
        <v>আপনার মালিকের ওয়ালেট ব্যালেন্স কম, অনুগ্রহ করে আপনার মালিকের সাথে যোগাযোগ করুন</v>
      </c>
      <c r="O338" s="4" t="str">
        <f>IFERROR(__xludf.DUMMYFUNCTION("GOOGLETRANSLATE(B338,""en"",""pt"")"),"O saldo da carteira do seu proprietário está baixo. Entre em contato com ele")</f>
        <v>O saldo da carteira do seu proprietário está baixo. Entre em contato com ele</v>
      </c>
      <c r="P338" s="4"/>
    </row>
    <row r="339">
      <c r="A339" s="21" t="s">
        <v>897</v>
      </c>
      <c r="B339" s="22" t="s">
        <v>898</v>
      </c>
      <c r="C339" s="4" t="str">
        <f>IFERROR(__xludf.DUMMYFUNCTION("GOOGLETRANSLATE(B339,""en"",""hi"")"),"वाहन जोड़ें")</f>
        <v>वाहन जोड़ें</v>
      </c>
      <c r="D339" s="4" t="str">
        <f>IFERROR(__xludf.DUMMYFUNCTION("GOOGLETRANSLATE(B339,""en"",""ar"")"),"أضف مركبة")</f>
        <v>أضف مركبة</v>
      </c>
      <c r="E339" s="4" t="str">
        <f>IFERROR(__xludf.DUMMYFUNCTION("GOOGLETRANSLATE(B339,""en"",""fr"")"),"Ajouter un véhicule")</f>
        <v>Ajouter un véhicule</v>
      </c>
      <c r="F339" s="4" t="str">
        <f>IFERROR(__xludf.DUMMYFUNCTION("GOOGLETRANSLATE(B339,""en"",""tr"")"),"Araç Ekle")</f>
        <v>Araç Ekle</v>
      </c>
      <c r="G339" s="4" t="str">
        <f>IFERROR(__xludf.DUMMYFUNCTION("GOOGLETRANSLATE(B339,""en"",""ru"")"),"Добавить автомобиль")</f>
        <v>Добавить автомобиль</v>
      </c>
      <c r="H339" s="4" t="str">
        <f>IFERROR(__xludf.DUMMYFUNCTION("GOOGLETRANSLATE(B339,""en"",""it"")"),"Aggiungi veicolo")</f>
        <v>Aggiungi veicolo</v>
      </c>
      <c r="I339" s="4" t="str">
        <f>IFERROR(__xludf.DUMMYFUNCTION("GOOGLETRANSLATE(B339,""en"",""de"")"),"Fahrzeug hinzufügen")</f>
        <v>Fahrzeug hinzufügen</v>
      </c>
      <c r="J339" s="4" t="str">
        <f>IFERROR(__xludf.DUMMYFUNCTION("GOOGLETRANSLATE(B339,""en"",""ko"")"),"차량 추가")</f>
        <v>차량 추가</v>
      </c>
      <c r="K339" s="4" t="str">
        <f>IFERROR(__xludf.DUMMYFUNCTION("GOOGLETRANSLATE(B339,""en"",""zh"")"),"添加车辆")</f>
        <v>添加车辆</v>
      </c>
      <c r="L339" s="4" t="str">
        <f>IFERROR(__xludf.DUMMYFUNCTION("GOOGLETRANSLATE(B339,""en"",""es"")"),"Agregar vehículo")</f>
        <v>Agregar vehículo</v>
      </c>
      <c r="M339" s="4" t="str">
        <f>IFERROR(__xludf.DUMMYFUNCTION("GOOGLETRANSLATE(B339,""en"",""iw"")"),"הוסף רכב")</f>
        <v>הוסף רכב</v>
      </c>
      <c r="N339" s="4" t="str">
        <f>IFERROR(__xludf.DUMMYFUNCTION("GOOGLETRANSLATE(B339,""en"",""bn"")"),"যানবাহন যোগ করুন")</f>
        <v>যানবাহন যোগ করুন</v>
      </c>
      <c r="O339" s="4" t="str">
        <f>IFERROR(__xludf.DUMMYFUNCTION("GOOGLETRANSLATE(B339,""en"",""pt"")"),"Adicionar veículo")</f>
        <v>Adicionar veículo</v>
      </c>
      <c r="P339" s="4"/>
    </row>
    <row r="340">
      <c r="A340" s="21" t="s">
        <v>899</v>
      </c>
      <c r="B340" s="22" t="s">
        <v>900</v>
      </c>
      <c r="C340" s="4" t="str">
        <f>IFERROR(__xludf.DUMMYFUNCTION("GOOGLETRANSLATE(B340,""en"",""hi"")"),"पता")</f>
        <v>पता</v>
      </c>
      <c r="D340" s="4" t="str">
        <f>IFERROR(__xludf.DUMMYFUNCTION("GOOGLETRANSLATE(B340,""en"",""ar"")"),"عنوان")</f>
        <v>عنوان</v>
      </c>
      <c r="E340" s="4" t="str">
        <f>IFERROR(__xludf.DUMMYFUNCTION("GOOGLETRANSLATE(B340,""en"",""fr"")"),"Adresse")</f>
        <v>Adresse</v>
      </c>
      <c r="F340" s="4" t="str">
        <f>IFERROR(__xludf.DUMMYFUNCTION("GOOGLETRANSLATE(B340,""en"",""tr"")"),"Adres")</f>
        <v>Adres</v>
      </c>
      <c r="G340" s="4" t="str">
        <f>IFERROR(__xludf.DUMMYFUNCTION("GOOGLETRANSLATE(B340,""en"",""ru"")"),"Адрес")</f>
        <v>Адрес</v>
      </c>
      <c r="H340" s="4" t="str">
        <f>IFERROR(__xludf.DUMMYFUNCTION("GOOGLETRANSLATE(B340,""en"",""it"")"),"Indirizzo")</f>
        <v>Indirizzo</v>
      </c>
      <c r="I340" s="4" t="str">
        <f>IFERROR(__xludf.DUMMYFUNCTION("GOOGLETRANSLATE(B340,""en"",""de"")"),"Adresse")</f>
        <v>Adresse</v>
      </c>
      <c r="J340" s="4" t="str">
        <f>IFERROR(__xludf.DUMMYFUNCTION("GOOGLETRANSLATE(B340,""en"",""ko"")"),"주소")</f>
        <v>주소</v>
      </c>
      <c r="K340" s="4" t="str">
        <f>IFERROR(__xludf.DUMMYFUNCTION("GOOGLETRANSLATE(B340,""en"",""zh"")"),"地址")</f>
        <v>地址</v>
      </c>
      <c r="L340" s="4" t="str">
        <f>IFERROR(__xludf.DUMMYFUNCTION("GOOGLETRANSLATE(B340,""en"",""es"")"),"DIRECCIÓN")</f>
        <v>DIRECCIÓN</v>
      </c>
      <c r="M340" s="4" t="str">
        <f>IFERROR(__xludf.DUMMYFUNCTION("GOOGLETRANSLATE(B340,""en"",""iw"")"),"כתובת")</f>
        <v>כתובת</v>
      </c>
      <c r="N340" s="4" t="str">
        <f>IFERROR(__xludf.DUMMYFUNCTION("GOOGLETRANSLATE(B340,""en"",""bn"")"),"ঠিকানা")</f>
        <v>ঠিকানা</v>
      </c>
      <c r="O340" s="4" t="str">
        <f>IFERROR(__xludf.DUMMYFUNCTION("GOOGLETRANSLATE(B340,""en"",""pt"")"),"Endereço")</f>
        <v>Endereço</v>
      </c>
      <c r="P340" s="4"/>
    </row>
    <row r="341">
      <c r="A341" s="15" t="s">
        <v>901</v>
      </c>
      <c r="B341" s="22" t="s">
        <v>902</v>
      </c>
      <c r="C341" s="4" t="str">
        <f>IFERROR(__xludf.DUMMYFUNCTION("GOOGLETRANSLATE(B341,""en"",""hi"")"),"ड्राइवर जोड़ें")</f>
        <v>ड्राइवर जोड़ें</v>
      </c>
      <c r="D341" s="4" t="str">
        <f>IFERROR(__xludf.DUMMYFUNCTION("GOOGLETRANSLATE(B341,""en"",""ar"")"),"إضافة سائق")</f>
        <v>إضافة سائق</v>
      </c>
      <c r="E341" s="4" t="str">
        <f>IFERROR(__xludf.DUMMYFUNCTION("GOOGLETRANSLATE(B341,""en"",""fr"")"),"Ajouter un pilote")</f>
        <v>Ajouter un pilote</v>
      </c>
      <c r="F341" s="4" t="str">
        <f>IFERROR(__xludf.DUMMYFUNCTION("GOOGLETRANSLATE(B341,""en"",""tr"")"),"Sürücü Ekle")</f>
        <v>Sürücü Ekle</v>
      </c>
      <c r="G341" s="4" t="str">
        <f>IFERROR(__xludf.DUMMYFUNCTION("GOOGLETRANSLATE(B341,""en"",""ru"")"),"Добавить драйвер")</f>
        <v>Добавить драйвер</v>
      </c>
      <c r="H341" s="4" t="str">
        <f>IFERROR(__xludf.DUMMYFUNCTION("GOOGLETRANSLATE(B341,""en"",""it"")"),"Aggiungi conducente")</f>
        <v>Aggiungi conducente</v>
      </c>
      <c r="I341" s="4" t="str">
        <f>IFERROR(__xludf.DUMMYFUNCTION("GOOGLETRANSLATE(B341,""en"",""de"")"),"Treiber hinzufügen")</f>
        <v>Treiber hinzufügen</v>
      </c>
      <c r="J341" s="4" t="str">
        <f>IFERROR(__xludf.DUMMYFUNCTION("GOOGLETRANSLATE(B341,""en"",""ko"")"),"드라이버 추가")</f>
        <v>드라이버 추가</v>
      </c>
      <c r="K341" s="4" t="str">
        <f>IFERROR(__xludf.DUMMYFUNCTION("GOOGLETRANSLATE(B341,""en"",""zh"")"),"添加驱动程序")</f>
        <v>添加驱动程序</v>
      </c>
      <c r="L341" s="4" t="str">
        <f>IFERROR(__xludf.DUMMYFUNCTION("GOOGLETRANSLATE(B341,""en"",""es"")"),"Agregar controlador")</f>
        <v>Agregar controlador</v>
      </c>
      <c r="M341" s="4" t="str">
        <f>IFERROR(__xludf.DUMMYFUNCTION("GOOGLETRANSLATE(B341,""en"",""iw"")"),"הוסף דרייבר")</f>
        <v>הוסף דרייבר</v>
      </c>
      <c r="N341" s="4" t="str">
        <f>IFERROR(__xludf.DUMMYFUNCTION("GOOGLETRANSLATE(B341,""en"",""bn"")"),"ড্রাইভার যোগ করুন")</f>
        <v>ড্রাইভার যোগ করুন</v>
      </c>
      <c r="O341" s="4" t="str">
        <f>IFERROR(__xludf.DUMMYFUNCTION("GOOGLETRANSLATE(B341,""en"",""pt"")"),"Adicionar driver")</f>
        <v>Adicionar driver</v>
      </c>
      <c r="P341" s="4"/>
    </row>
    <row r="342">
      <c r="A342" s="21" t="s">
        <v>903</v>
      </c>
      <c r="B342" s="22" t="s">
        <v>904</v>
      </c>
      <c r="C342" s="4" t="str">
        <f>IFERROR(__xludf.DUMMYFUNCTION("GOOGLETRANSLATE(B342,""en"",""hi"")"),"क्षेत्र चुनें")</f>
        <v>क्षेत्र चुनें</v>
      </c>
      <c r="D342" s="4" t="str">
        <f>IFERROR(__xludf.DUMMYFUNCTION("GOOGLETRANSLATE(B342,""en"",""ar"")"),"اختر المنطقة")</f>
        <v>اختر المنطقة</v>
      </c>
      <c r="E342" s="4" t="str">
        <f>IFERROR(__xludf.DUMMYFUNCTION("GOOGLETRANSLATE(B342,""en"",""fr"")"),"Choisir une zone")</f>
        <v>Choisir une zone</v>
      </c>
      <c r="F342" s="4" t="str">
        <f>IFERROR(__xludf.DUMMYFUNCTION("GOOGLETRANSLATE(B342,""en"",""tr"")"),"Alan Seçin")</f>
        <v>Alan Seçin</v>
      </c>
      <c r="G342" s="4" t="str">
        <f>IFERROR(__xludf.DUMMYFUNCTION("GOOGLETRANSLATE(B342,""en"",""ru"")"),"Выберите область")</f>
        <v>Выберите область</v>
      </c>
      <c r="H342" s="4" t="str">
        <f>IFERROR(__xludf.DUMMYFUNCTION("GOOGLETRANSLATE(B342,""en"",""it"")"),"Scegli Zona")</f>
        <v>Scegli Zona</v>
      </c>
      <c r="I342" s="4" t="str">
        <f>IFERROR(__xludf.DUMMYFUNCTION("GOOGLETRANSLATE(B342,""en"",""de"")"),"Wählen Sie Bereich")</f>
        <v>Wählen Sie Bereich</v>
      </c>
      <c r="J342" s="4" t="str">
        <f>IFERROR(__xludf.DUMMYFUNCTION("GOOGLETRANSLATE(B342,""en"",""ko"")"),"지역을 선택하세요")</f>
        <v>지역을 선택하세요</v>
      </c>
      <c r="K342" s="4" t="str">
        <f>IFERROR(__xludf.DUMMYFUNCTION("GOOGLETRANSLATE(B342,""en"",""zh"")"),"选择区域")</f>
        <v>选择区域</v>
      </c>
      <c r="L342" s="4" t="str">
        <f>IFERROR(__xludf.DUMMYFUNCTION("GOOGLETRANSLATE(B342,""en"",""es"")"),"Elija área")</f>
        <v>Elija área</v>
      </c>
      <c r="M342" s="4" t="str">
        <f>IFERROR(__xludf.DUMMYFUNCTION("GOOGLETRANSLATE(B342,""en"",""iw"")"),"בחר אזור")</f>
        <v>בחר אזור</v>
      </c>
      <c r="N342" s="4" t="str">
        <f>IFERROR(__xludf.DUMMYFUNCTION("GOOGLETRANSLATE(B342,""en"",""bn"")"),"এলাকা নির্বাচন করুন")</f>
        <v>এলাকা নির্বাচন করুন</v>
      </c>
      <c r="O342" s="4" t="str">
        <f>IFERROR(__xludf.DUMMYFUNCTION("GOOGLETRANSLATE(B342,""en"",""pt"")"),"Escolha a área")</f>
        <v>Escolha a área</v>
      </c>
      <c r="P342" s="4"/>
    </row>
    <row r="343">
      <c r="A343" s="21" t="s">
        <v>905</v>
      </c>
      <c r="B343" s="22" t="s">
        <v>906</v>
      </c>
      <c r="C343" s="4" t="str">
        <f>IFERROR(__xludf.DUMMYFUNCTION("GOOGLETRANSLATE(B343,""en"",""hi"")"),"कंपनी का नाम")</f>
        <v>कंपनी का नाम</v>
      </c>
      <c r="D343" s="4" t="str">
        <f>IFERROR(__xludf.DUMMYFUNCTION("GOOGLETRANSLATE(B343,""en"",""ar"")"),"اسم الشركة")</f>
        <v>اسم الشركة</v>
      </c>
      <c r="E343" s="4" t="str">
        <f>IFERROR(__xludf.DUMMYFUNCTION("GOOGLETRANSLATE(B343,""en"",""fr"")"),"Nom de l'entreprise")</f>
        <v>Nom de l'entreprise</v>
      </c>
      <c r="F343" s="4" t="str">
        <f>IFERROR(__xludf.DUMMYFUNCTION("GOOGLETRANSLATE(B343,""en"",""tr"")"),"Firma Adı")</f>
        <v>Firma Adı</v>
      </c>
      <c r="G343" s="4" t="str">
        <f>IFERROR(__xludf.DUMMYFUNCTION("GOOGLETRANSLATE(B343,""en"",""ru"")"),"Название компании")</f>
        <v>Название компании</v>
      </c>
      <c r="H343" s="4" t="str">
        <f>IFERROR(__xludf.DUMMYFUNCTION("GOOGLETRANSLATE(B343,""en"",""it"")"),"Nome della ditta")</f>
        <v>Nome della ditta</v>
      </c>
      <c r="I343" s="4" t="str">
        <f>IFERROR(__xludf.DUMMYFUNCTION("GOOGLETRANSLATE(B343,""en"",""de"")"),"Name der Firma")</f>
        <v>Name der Firma</v>
      </c>
      <c r="J343" s="4" t="str">
        <f>IFERROR(__xludf.DUMMYFUNCTION("GOOGLETRANSLATE(B343,""en"",""ko"")"),"회사 이름")</f>
        <v>회사 이름</v>
      </c>
      <c r="K343" s="4" t="str">
        <f>IFERROR(__xludf.DUMMYFUNCTION("GOOGLETRANSLATE(B343,""en"",""zh"")"),"公司名称")</f>
        <v>公司名称</v>
      </c>
      <c r="L343" s="4" t="str">
        <f>IFERROR(__xludf.DUMMYFUNCTION("GOOGLETRANSLATE(B343,""en"",""es"")"),"nombre de empresa")</f>
        <v>nombre de empresa</v>
      </c>
      <c r="M343" s="4" t="str">
        <f>IFERROR(__xludf.DUMMYFUNCTION("GOOGLETRANSLATE(B343,""en"",""iw"")"),"שם החברה")</f>
        <v>שם החברה</v>
      </c>
      <c r="N343" s="4" t="str">
        <f>IFERROR(__xludf.DUMMYFUNCTION("GOOGLETRANSLATE(B343,""en"",""bn"")"),"কোমপানির নাম")</f>
        <v>কোমপানির নাম</v>
      </c>
      <c r="O343" s="4" t="str">
        <f>IFERROR(__xludf.DUMMYFUNCTION("GOOGLETRANSLATE(B343,""en"",""pt"")"),"nome da empresa")</f>
        <v>nome da empresa</v>
      </c>
      <c r="P343" s="4"/>
    </row>
    <row r="344">
      <c r="A344" s="21" t="s">
        <v>907</v>
      </c>
      <c r="B344" s="22" t="s">
        <v>908</v>
      </c>
      <c r="C344" s="4" t="str">
        <f>IFERROR(__xludf.DUMMYFUNCTION("GOOGLETRANSLATE(B344,""en"",""hi"")"),"शहर")</f>
        <v>शहर</v>
      </c>
      <c r="D344" s="4" t="str">
        <f>IFERROR(__xludf.DUMMYFUNCTION("GOOGLETRANSLATE(B344,""en"",""ar"")"),"مدينة")</f>
        <v>مدينة</v>
      </c>
      <c r="E344" s="4" t="str">
        <f>IFERROR(__xludf.DUMMYFUNCTION("GOOGLETRANSLATE(B344,""en"",""fr"")"),"Ville")</f>
        <v>Ville</v>
      </c>
      <c r="F344" s="4" t="str">
        <f>IFERROR(__xludf.DUMMYFUNCTION("GOOGLETRANSLATE(B344,""en"",""tr"")"),"Şehir")</f>
        <v>Şehir</v>
      </c>
      <c r="G344" s="4" t="str">
        <f>IFERROR(__xludf.DUMMYFUNCTION("GOOGLETRANSLATE(B344,""en"",""ru"")"),"Город")</f>
        <v>Город</v>
      </c>
      <c r="H344" s="4" t="str">
        <f>IFERROR(__xludf.DUMMYFUNCTION("GOOGLETRANSLATE(B344,""en"",""it"")"),"Città")</f>
        <v>Città</v>
      </c>
      <c r="I344" s="4" t="str">
        <f>IFERROR(__xludf.DUMMYFUNCTION("GOOGLETRANSLATE(B344,""en"",""de"")"),"Stadt")</f>
        <v>Stadt</v>
      </c>
      <c r="J344" s="4" t="str">
        <f>IFERROR(__xludf.DUMMYFUNCTION("GOOGLETRANSLATE(B344,""en"",""ko"")"),"도시")</f>
        <v>도시</v>
      </c>
      <c r="K344" s="4" t="str">
        <f>IFERROR(__xludf.DUMMYFUNCTION("GOOGLETRANSLATE(B344,""en"",""zh"")"),"城市")</f>
        <v>城市</v>
      </c>
      <c r="L344" s="4" t="str">
        <f>IFERROR(__xludf.DUMMYFUNCTION("GOOGLETRANSLATE(B344,""en"",""es"")"),"Ciudad")</f>
        <v>Ciudad</v>
      </c>
      <c r="M344" s="4" t="str">
        <f>IFERROR(__xludf.DUMMYFUNCTION("GOOGLETRANSLATE(B344,""en"",""iw"")"),"עִיר")</f>
        <v>עִיר</v>
      </c>
      <c r="N344" s="4" t="str">
        <f>IFERROR(__xludf.DUMMYFUNCTION("GOOGLETRANSLATE(B344,""en"",""bn"")"),"শহর")</f>
        <v>শহর</v>
      </c>
      <c r="O344" s="4" t="str">
        <f>IFERROR(__xludf.DUMMYFUNCTION("GOOGLETRANSLATE(B344,""en"",""pt"")"),"Cidade")</f>
        <v>Cidade</v>
      </c>
      <c r="P344" s="4"/>
    </row>
    <row r="345">
      <c r="A345" s="21" t="s">
        <v>909</v>
      </c>
      <c r="B345" s="22" t="s">
        <v>910</v>
      </c>
      <c r="C345" s="4" t="str">
        <f>IFERROR(__xludf.DUMMYFUNCTION("GOOGLETRANSLATE(B345,""en"",""hi"")"),"डाक कोड")</f>
        <v>डाक कोड</v>
      </c>
      <c r="D345" s="4" t="str">
        <f>IFERROR(__xludf.DUMMYFUNCTION("GOOGLETRANSLATE(B345,""en"",""ar"")"),"رمز بريدي")</f>
        <v>رمز بريدي</v>
      </c>
      <c r="E345" s="4" t="str">
        <f>IFERROR(__xludf.DUMMYFUNCTION("GOOGLETRANSLATE(B345,""en"",""fr"")"),"Code Postal")</f>
        <v>Code Postal</v>
      </c>
      <c r="F345" s="4" t="str">
        <f>IFERROR(__xludf.DUMMYFUNCTION("GOOGLETRANSLATE(B345,""en"",""tr"")"),"Posta Kodu")</f>
        <v>Posta Kodu</v>
      </c>
      <c r="G345" s="4" t="str">
        <f>IFERROR(__xludf.DUMMYFUNCTION("GOOGLETRANSLATE(B345,""en"",""ru"")"),"Почтовый индекс")</f>
        <v>Почтовый индекс</v>
      </c>
      <c r="H345" s="4" t="str">
        <f>IFERROR(__xludf.DUMMYFUNCTION("GOOGLETRANSLATE(B345,""en"",""it"")"),"Codice Postale")</f>
        <v>Codice Postale</v>
      </c>
      <c r="I345" s="4" t="str">
        <f>IFERROR(__xludf.DUMMYFUNCTION("GOOGLETRANSLATE(B345,""en"",""de"")"),"Postleitzahl")</f>
        <v>Postleitzahl</v>
      </c>
      <c r="J345" s="4" t="str">
        <f>IFERROR(__xludf.DUMMYFUNCTION("GOOGLETRANSLATE(B345,""en"",""ko"")"),"우편 번호")</f>
        <v>우편 번호</v>
      </c>
      <c r="K345" s="4" t="str">
        <f>IFERROR(__xludf.DUMMYFUNCTION("GOOGLETRANSLATE(B345,""en"",""zh"")"),"邮政编码")</f>
        <v>邮政编码</v>
      </c>
      <c r="L345" s="4" t="str">
        <f>IFERROR(__xludf.DUMMYFUNCTION("GOOGLETRANSLATE(B345,""en"",""es"")"),"Código Postal")</f>
        <v>Código Postal</v>
      </c>
      <c r="M345" s="4" t="str">
        <f>IFERROR(__xludf.DUMMYFUNCTION("GOOGLETRANSLATE(B345,""en"",""iw"")"),"מיקוד")</f>
        <v>מיקוד</v>
      </c>
      <c r="N345" s="4" t="str">
        <f>IFERROR(__xludf.DUMMYFUNCTION("GOOGLETRANSLATE(B345,""en"",""bn"")"),"পোস্ট অফিসের নাম্বার")</f>
        <v>পোস্ট অফিসের নাম্বার</v>
      </c>
      <c r="O345" s="4" t="str">
        <f>IFERROR(__xludf.DUMMYFUNCTION("GOOGLETRANSLATE(B345,""en"",""pt"")"),"Código postal")</f>
        <v>Código postal</v>
      </c>
      <c r="P345" s="4"/>
    </row>
    <row r="346">
      <c r="A346" s="21" t="s">
        <v>911</v>
      </c>
      <c r="B346" s="22" t="s">
        <v>912</v>
      </c>
      <c r="C346" s="4" t="str">
        <f>IFERROR(__xludf.DUMMYFUNCTION("GOOGLETRANSLATE(B346,""en"",""hi"")"),"कर नंबर")</f>
        <v>कर नंबर</v>
      </c>
      <c r="D346" s="4" t="str">
        <f>IFERROR(__xludf.DUMMYFUNCTION("GOOGLETRANSLATE(B346,""en"",""ar"")"),"الرقم الضريبي")</f>
        <v>الرقم الضريبي</v>
      </c>
      <c r="E346" s="4" t="str">
        <f>IFERROR(__xludf.DUMMYFUNCTION("GOOGLETRANSLATE(B346,""en"",""fr"")"),"Numéro d'identification fiscale")</f>
        <v>Numéro d'identification fiscale</v>
      </c>
      <c r="F346" s="4" t="str">
        <f>IFERROR(__xludf.DUMMYFUNCTION("GOOGLETRANSLATE(B346,""en"",""tr"")"),"Vergi numarası")</f>
        <v>Vergi numarası</v>
      </c>
      <c r="G346" s="4" t="str">
        <f>IFERROR(__xludf.DUMMYFUNCTION("GOOGLETRANSLATE(B346,""en"",""ru"")"),"Налоговый номер")</f>
        <v>Налоговый номер</v>
      </c>
      <c r="H346" s="4" t="str">
        <f>IFERROR(__xludf.DUMMYFUNCTION("GOOGLETRANSLATE(B346,""en"",""it"")"),"Codice Fiscale")</f>
        <v>Codice Fiscale</v>
      </c>
      <c r="I346" s="4" t="str">
        <f>IFERROR(__xludf.DUMMYFUNCTION("GOOGLETRANSLATE(B346,""en"",""de"")"),"Steuernummer")</f>
        <v>Steuernummer</v>
      </c>
      <c r="J346" s="4" t="str">
        <f>IFERROR(__xludf.DUMMYFUNCTION("GOOGLETRANSLATE(B346,""en"",""ko"")"),"세금 번호")</f>
        <v>세금 번호</v>
      </c>
      <c r="K346" s="4" t="str">
        <f>IFERROR(__xludf.DUMMYFUNCTION("GOOGLETRANSLATE(B346,""en"",""zh"")"),"税号")</f>
        <v>税号</v>
      </c>
      <c r="L346" s="4" t="str">
        <f>IFERROR(__xludf.DUMMYFUNCTION("GOOGLETRANSLATE(B346,""en"",""es"")"),"Número de impuesto")</f>
        <v>Número de impuesto</v>
      </c>
      <c r="M346" s="4" t="str">
        <f>IFERROR(__xludf.DUMMYFUNCTION("GOOGLETRANSLATE(B346,""en"",""iw"")"),"מספר מס")</f>
        <v>מספר מס</v>
      </c>
      <c r="N346" s="4" t="str">
        <f>IFERROR(__xludf.DUMMYFUNCTION("GOOGLETRANSLATE(B346,""en"",""bn"")"),"কর নম্বর")</f>
        <v>কর নম্বর</v>
      </c>
      <c r="O346" s="4" t="str">
        <f>IFERROR(__xludf.DUMMYFUNCTION("GOOGLETRANSLATE(B346,""en"",""pt"")"),"Número de identificação fiscal")</f>
        <v>Número de identificação fiscal</v>
      </c>
      <c r="P346" s="4"/>
    </row>
    <row r="347">
      <c r="A347" s="21" t="s">
        <v>913</v>
      </c>
      <c r="B347" s="22" t="s">
        <v>914</v>
      </c>
      <c r="C347" s="4" t="str">
        <f>IFERROR(__xludf.DUMMYFUNCTION("GOOGLETRANSLATE(B347,""en"",""hi"")"),"कोई बेड़ा नियुक्त नहीं")</f>
        <v>कोई बेड़ा नियुक्त नहीं</v>
      </c>
      <c r="D347" s="4" t="str">
        <f>IFERROR(__xludf.DUMMYFUNCTION("GOOGLETRANSLATE(B347,""en"",""ar"")"),"لم يتم تعيين أسطول")</f>
        <v>لم يتم تعيين أسطول</v>
      </c>
      <c r="E347" s="4" t="str">
        <f>IFERROR(__xludf.DUMMYFUNCTION("GOOGLETRANSLATE(B347,""en"",""fr"")"),"Aucune flotte attribuée")</f>
        <v>Aucune flotte attribuée</v>
      </c>
      <c r="F347" s="4" t="str">
        <f>IFERROR(__xludf.DUMMYFUNCTION("GOOGLETRANSLATE(B347,""en"",""tr"")"),"Atanan Filo Yok")</f>
        <v>Atanan Filo Yok</v>
      </c>
      <c r="G347" s="4" t="str">
        <f>IFERROR(__xludf.DUMMYFUNCTION("GOOGLETRANSLATE(B347,""en"",""ru"")"),"Флот не назначен")</f>
        <v>Флот не назначен</v>
      </c>
      <c r="H347" s="4" t="str">
        <f>IFERROR(__xludf.DUMMYFUNCTION("GOOGLETRANSLATE(B347,""en"",""it"")"),"Nessuna flotta assegnata")</f>
        <v>Nessuna flotta assegnata</v>
      </c>
      <c r="I347" s="4" t="str">
        <f>IFERROR(__xludf.DUMMYFUNCTION("GOOGLETRANSLATE(B347,""en"",""de"")"),"Keine Flotte zugewiesen")</f>
        <v>Keine Flotte zugewiesen</v>
      </c>
      <c r="J347" s="4" t="str">
        <f>IFERROR(__xludf.DUMMYFUNCTION("GOOGLETRANSLATE(B347,""en"",""ko"")"),"할당된 차량 없음")</f>
        <v>할당된 차량 없음</v>
      </c>
      <c r="K347" s="4" t="str">
        <f>IFERROR(__xludf.DUMMYFUNCTION("GOOGLETRANSLATE(B347,""en"",""zh"")"),"没有分配舰队")</f>
        <v>没有分配舰队</v>
      </c>
      <c r="L347" s="4" t="str">
        <f>IFERROR(__xludf.DUMMYFUNCTION("GOOGLETRANSLATE(B347,""en"",""es"")"),"Ninguna flota asignada")</f>
        <v>Ninguna flota asignada</v>
      </c>
      <c r="M347" s="4" t="str">
        <f>IFERROR(__xludf.DUMMYFUNCTION("GOOGLETRANSLATE(B347,""en"",""iw"")"),"לא הוקצה צי")</f>
        <v>לא הוקצה צי</v>
      </c>
      <c r="N347" s="4" t="str">
        <f>IFERROR(__xludf.DUMMYFUNCTION("GOOGLETRANSLATE(B347,""en"",""bn"")"),"কোনো ফ্লিট অ্যাসাইন করা হয়নি")</f>
        <v>কোনো ফ্লিট অ্যাসাইন করা হয়নি</v>
      </c>
      <c r="O347" s="4" t="str">
        <f>IFERROR(__xludf.DUMMYFUNCTION("GOOGLETRANSLATE(B347,""en"",""pt"")"),"Nenhuma frota atribuída")</f>
        <v>Nenhuma frota atribuída</v>
      </c>
      <c r="P347" s="4"/>
    </row>
    <row r="348">
      <c r="A348" s="21" t="s">
        <v>915</v>
      </c>
      <c r="B348" s="22" t="s">
        <v>916</v>
      </c>
      <c r="C348" s="4" t="str">
        <f>IFERROR(__xludf.DUMMYFUNCTION("GOOGLETRANSLATE(B348,""en"",""hi"")"),"बिना गंतव्य के यात्रा करें")</f>
        <v>बिना गंतव्य के यात्रा करें</v>
      </c>
      <c r="D348" s="4" t="str">
        <f>IFERROR(__xludf.DUMMYFUNCTION("GOOGLETRANSLATE(B348,""en"",""ar"")"),"ركوب بلا وجهة")</f>
        <v>ركوب بلا وجهة</v>
      </c>
      <c r="E348" s="4" t="str">
        <f>IFERROR(__xludf.DUMMYFUNCTION("GOOGLETRANSLATE(B348,""en"",""fr"")"),"Rouler sans destination")</f>
        <v>Rouler sans destination</v>
      </c>
      <c r="F348" s="4" t="str">
        <f>IFERROR(__xludf.DUMMYFUNCTION("GOOGLETRANSLATE(B348,""en"",""tr"")"),"Hedefsiz Yolculuk")</f>
        <v>Hedefsiz Yolculuk</v>
      </c>
      <c r="G348" s="4" t="str">
        <f>IFERROR(__xludf.DUMMYFUNCTION("GOOGLETRANSLATE(B348,""en"",""ru"")"),"Поездка без пункта назначения")</f>
        <v>Поездка без пункта назначения</v>
      </c>
      <c r="H348" s="4" t="str">
        <f>IFERROR(__xludf.DUMMYFUNCTION("GOOGLETRANSLATE(B348,""en"",""it"")"),"Pedalare senza destinazione")</f>
        <v>Pedalare senza destinazione</v>
      </c>
      <c r="I348" s="4" t="str">
        <f>IFERROR(__xludf.DUMMYFUNCTION("GOOGLETRANSLATE(B348,""en"",""de"")"),"Fahrt ohne Ziel")</f>
        <v>Fahrt ohne Ziel</v>
      </c>
      <c r="J348" s="4" t="str">
        <f>IFERROR(__xludf.DUMMYFUNCTION("GOOGLETRANSLATE(B348,""en"",""ko"")"),"목적지 없이 라이딩")</f>
        <v>목적지 없이 라이딩</v>
      </c>
      <c r="K348" s="4" t="str">
        <f>IFERROR(__xludf.DUMMYFUNCTION("GOOGLETRANSLATE(B348,""en"",""zh"")"),"没有目的地的骑行")</f>
        <v>没有目的地的骑行</v>
      </c>
      <c r="L348" s="4" t="str">
        <f>IFERROR(__xludf.DUMMYFUNCTION("GOOGLETRANSLATE(B348,""en"",""es"")"),"Viaja sin destino")</f>
        <v>Viaja sin destino</v>
      </c>
      <c r="M348" s="4" t="str">
        <f>IFERROR(__xludf.DUMMYFUNCTION("GOOGLETRANSLATE(B348,""en"",""iw"")"),"רכיבה ללא יעד")</f>
        <v>רכיבה ללא יעד</v>
      </c>
      <c r="N348" s="4" t="str">
        <f>IFERROR(__xludf.DUMMYFUNCTION("GOOGLETRANSLATE(B348,""en"",""bn"")"),"গন্তব্য ছাড়া রাইড")</f>
        <v>গন্তব্য ছাড়া রাইড</v>
      </c>
      <c r="O348" s="4" t="str">
        <f>IFERROR(__xludf.DUMMYFUNCTION("GOOGLETRANSLATE(B348,""en"",""pt"")"),"Passeio sem destino")</f>
        <v>Passeio sem destino</v>
      </c>
      <c r="P348" s="4"/>
    </row>
    <row r="349">
      <c r="A349" s="21" t="s">
        <v>917</v>
      </c>
      <c r="B349" s="22" t="s">
        <v>918</v>
      </c>
      <c r="C349" s="4" t="str">
        <f>IFERROR(__xludf.DUMMYFUNCTION("GOOGLETRANSLATE(B349,""en"",""hi"")"),"अधिसूचना")</f>
        <v>अधिसूचना</v>
      </c>
      <c r="D349" s="4" t="str">
        <f>IFERROR(__xludf.DUMMYFUNCTION("GOOGLETRANSLATE(B349,""en"",""ar"")"),"إشعار")</f>
        <v>إشعار</v>
      </c>
      <c r="E349" s="4" t="str">
        <f>IFERROR(__xludf.DUMMYFUNCTION("GOOGLETRANSLATE(B349,""en"",""fr"")"),"Notification")</f>
        <v>Notification</v>
      </c>
      <c r="F349" s="4" t="str">
        <f>IFERROR(__xludf.DUMMYFUNCTION("GOOGLETRANSLATE(B349,""en"",""tr"")"),"Bildiri")</f>
        <v>Bildiri</v>
      </c>
      <c r="G349" s="4" t="str">
        <f>IFERROR(__xludf.DUMMYFUNCTION("GOOGLETRANSLATE(B349,""en"",""ru"")"),"Уведомление")</f>
        <v>Уведомление</v>
      </c>
      <c r="H349" s="4" t="str">
        <f>IFERROR(__xludf.DUMMYFUNCTION("GOOGLETRANSLATE(B349,""en"",""it"")"),"Notifica")</f>
        <v>Notifica</v>
      </c>
      <c r="I349" s="4" t="str">
        <f>IFERROR(__xludf.DUMMYFUNCTION("GOOGLETRANSLATE(B349,""en"",""de"")"),"Benachrichtigung")</f>
        <v>Benachrichtigung</v>
      </c>
      <c r="J349" s="4" t="str">
        <f>IFERROR(__xludf.DUMMYFUNCTION("GOOGLETRANSLATE(B349,""en"",""ko"")"),"공고")</f>
        <v>공고</v>
      </c>
      <c r="K349" s="4" t="str">
        <f>IFERROR(__xludf.DUMMYFUNCTION("GOOGLETRANSLATE(B349,""en"",""zh"")"),"通知")</f>
        <v>通知</v>
      </c>
      <c r="L349" s="4" t="str">
        <f>IFERROR(__xludf.DUMMYFUNCTION("GOOGLETRANSLATE(B349,""en"",""es"")"),"Notificación")</f>
        <v>Notificación</v>
      </c>
      <c r="M349" s="4" t="str">
        <f>IFERROR(__xludf.DUMMYFUNCTION("GOOGLETRANSLATE(B349,""en"",""iw"")"),"הוֹדָעָה")</f>
        <v>הוֹדָעָה</v>
      </c>
      <c r="N349" s="4" t="str">
        <f>IFERROR(__xludf.DUMMYFUNCTION("GOOGLETRANSLATE(B349,""en"",""bn"")"),"বিজ্ঞপ্তি")</f>
        <v>বিজ্ঞপ্তি</v>
      </c>
      <c r="O349" s="4" t="str">
        <f>IFERROR(__xludf.DUMMYFUNCTION("GOOGLETRANSLATE(B349,""en"",""pt"")"),"Notificação")</f>
        <v>Notificação</v>
      </c>
      <c r="P349" s="4"/>
    </row>
    <row r="350">
      <c r="A350" s="21" t="s">
        <v>919</v>
      </c>
      <c r="B350" s="22" t="s">
        <v>920</v>
      </c>
      <c r="C350" s="4" t="str">
        <f>IFERROR(__xludf.DUMMYFUNCTION("GOOGLETRANSLATE(B350,""en"",""hi"")"),"क्या आप वाकई अधिसूचना हटाना चाहते हैं?")</f>
        <v>क्या आप वाकई अधिसूचना हटाना चाहते हैं?</v>
      </c>
      <c r="D350" s="4" t="str">
        <f>IFERROR(__xludf.DUMMYFUNCTION("GOOGLETRANSLATE(B350,""en"",""ar"")"),"هل أنت متأكد أنك تريد حذف الإشعار")</f>
        <v>هل أنت متأكد أنك تريد حذف الإشعار</v>
      </c>
      <c r="E350" s="4" t="str">
        <f>IFERROR(__xludf.DUMMYFUNCTION("GOOGLETRANSLATE(B350,""en"",""fr"")"),"Êtes-vous sûr de vouloir supprimer la notification")</f>
        <v>Êtes-vous sûr de vouloir supprimer la notification</v>
      </c>
      <c r="F350" s="4" t="str">
        <f>IFERROR(__xludf.DUMMYFUNCTION("GOOGLETRANSLATE(B350,""en"",""tr"")"),"Bildirimi Silmek İstediğinizden Emin misiniz?")</f>
        <v>Bildirimi Silmek İstediğinizden Emin misiniz?</v>
      </c>
      <c r="G350" s="4" t="str">
        <f>IFERROR(__xludf.DUMMYFUNCTION("GOOGLETRANSLATE(B350,""en"",""ru"")"),"Вы уверены, что хотите удалить уведомление?")</f>
        <v>Вы уверены, что хотите удалить уведомление?</v>
      </c>
      <c r="H350" s="4" t="str">
        <f>IFERROR(__xludf.DUMMYFUNCTION("GOOGLETRANSLATE(B350,""en"",""it"")"),"Sei sicuro di voler eliminare la notifica?")</f>
        <v>Sei sicuro di voler eliminare la notifica?</v>
      </c>
      <c r="I350" s="4" t="str">
        <f>IFERROR(__xludf.DUMMYFUNCTION("GOOGLETRANSLATE(B350,""en"",""de"")"),"Möchten Sie die Benachrichtigung wirklich löschen?")</f>
        <v>Möchten Sie die Benachrichtigung wirklich löschen?</v>
      </c>
      <c r="J350" s="4" t="str">
        <f>IFERROR(__xludf.DUMMYFUNCTION("GOOGLETRANSLATE(B350,""en"",""ko"")"),"정말로 알림을 삭제하시겠습니까?")</f>
        <v>정말로 알림을 삭제하시겠습니까?</v>
      </c>
      <c r="K350" s="4" t="str">
        <f>IFERROR(__xludf.DUMMYFUNCTION("GOOGLETRANSLATE(B350,""en"",""zh"")"),"您确定要删除该通知吗")</f>
        <v>您确定要删除该通知吗</v>
      </c>
      <c r="L350" s="4" t="str">
        <f>IFERROR(__xludf.DUMMYFUNCTION("GOOGLETRANSLATE(B350,""en"",""es"")"),"¿Está seguro de que desea eliminar la notificación?")</f>
        <v>¿Está seguro de que desea eliminar la notificación?</v>
      </c>
      <c r="M350" s="4" t="str">
        <f>IFERROR(__xludf.DUMMYFUNCTION("GOOGLETRANSLATE(B350,""en"",""iw"")"),"האם אתה בטוח רוצה למחוק את ההודעה")</f>
        <v>האם אתה בטוח רוצה למחוק את ההודעה</v>
      </c>
      <c r="N350" s="4" t="str">
        <f>IFERROR(__xludf.DUMMYFUNCTION("GOOGLETRANSLATE(B350,""en"",""bn"")"),"আপনি কি নিশ্চিত যে বিজ্ঞপ্তিটি মুছে ফেলতে চান?")</f>
        <v>আপনি কি নিশ্চিত যে বিজ্ঞপ্তিটি মুছে ফেলতে চান?</v>
      </c>
      <c r="O350" s="4" t="str">
        <f>IFERROR(__xludf.DUMMYFUNCTION("GOOGLETRANSLATE(B350,""en"",""pt"")"),"Tem certeza de que deseja excluir a notificação")</f>
        <v>Tem certeza de que deseja excluir a notificação</v>
      </c>
      <c r="P350" s="4"/>
    </row>
    <row r="351">
      <c r="A351" s="21" t="s">
        <v>921</v>
      </c>
      <c r="B351" s="22" t="s">
        <v>922</v>
      </c>
      <c r="C351" s="4" t="str">
        <f>IFERROR(__xludf.DUMMYFUNCTION("GOOGLETRANSLATE(B351,""en"",""hi"")"),"शेयर करना")</f>
        <v>शेयर करना</v>
      </c>
      <c r="D351" s="4" t="str">
        <f>IFERROR(__xludf.DUMMYFUNCTION("GOOGLETRANSLATE(B351,""en"",""ar"")"),"يشارك")</f>
        <v>يشارك</v>
      </c>
      <c r="E351" s="4" t="str">
        <f>IFERROR(__xludf.DUMMYFUNCTION("GOOGLETRANSLATE(B351,""en"",""fr"")"),"Partager")</f>
        <v>Partager</v>
      </c>
      <c r="F351" s="4" t="str">
        <f>IFERROR(__xludf.DUMMYFUNCTION("GOOGLETRANSLATE(B351,""en"",""tr"")"),"Paylaşmak")</f>
        <v>Paylaşmak</v>
      </c>
      <c r="G351" s="4" t="str">
        <f>IFERROR(__xludf.DUMMYFUNCTION("GOOGLETRANSLATE(B351,""en"",""ru"")"),"Делиться")</f>
        <v>Делиться</v>
      </c>
      <c r="H351" s="4" t="str">
        <f>IFERROR(__xludf.DUMMYFUNCTION("GOOGLETRANSLATE(B351,""en"",""it"")"),"Condividere")</f>
        <v>Condividere</v>
      </c>
      <c r="I351" s="4" t="str">
        <f>IFERROR(__xludf.DUMMYFUNCTION("GOOGLETRANSLATE(B351,""en"",""de"")"),"Aktie")</f>
        <v>Aktie</v>
      </c>
      <c r="J351" s="4" t="str">
        <f>IFERROR(__xludf.DUMMYFUNCTION("GOOGLETRANSLATE(B351,""en"",""ko"")"),"공유하다")</f>
        <v>공유하다</v>
      </c>
      <c r="K351" s="4" t="str">
        <f>IFERROR(__xludf.DUMMYFUNCTION("GOOGLETRANSLATE(B351,""en"",""zh"")"),"分享")</f>
        <v>分享</v>
      </c>
      <c r="L351" s="4" t="str">
        <f>IFERROR(__xludf.DUMMYFUNCTION("GOOGLETRANSLATE(B351,""en"",""es"")"),"Compartir")</f>
        <v>Compartir</v>
      </c>
      <c r="M351" s="4" t="str">
        <f>IFERROR(__xludf.DUMMYFUNCTION("GOOGLETRANSLATE(B351,""en"",""iw"")"),"לַחֲלוֹק")</f>
        <v>לַחֲלוֹק</v>
      </c>
      <c r="N351" s="4" t="str">
        <f>IFERROR(__xludf.DUMMYFUNCTION("GOOGLETRANSLATE(B351,""en"",""bn"")"),"শেয়ার করুন")</f>
        <v>শেয়ার করুন</v>
      </c>
      <c r="O351" s="4" t="str">
        <f>IFERROR(__xludf.DUMMYFUNCTION("GOOGLETRANSLATE(B351,""en"",""pt"")"),"Compartilhar")</f>
        <v>Compartilhar</v>
      </c>
      <c r="P351" s="4"/>
    </row>
    <row r="352">
      <c r="A352" s="21" t="s">
        <v>923</v>
      </c>
      <c r="B352" s="22" t="s">
        <v>924</v>
      </c>
      <c r="C352" s="4" t="str">
        <f>IFERROR(__xludf.DUMMYFUNCTION("GOOGLETRANSLATE(B352,""en"",""hi"")"),"पैसा बाँटें")</f>
        <v>पैसा बाँटें</v>
      </c>
      <c r="D352" s="4" t="str">
        <f>IFERROR(__xludf.DUMMYFUNCTION("GOOGLETRANSLATE(B352,""en"",""ar"")"),"مشاركة المال")</f>
        <v>مشاركة المال</v>
      </c>
      <c r="E352" s="4" t="str">
        <f>IFERROR(__xludf.DUMMYFUNCTION("GOOGLETRANSLATE(B352,""en"",""fr"")"),"Partager de l'argent")</f>
        <v>Partager de l'argent</v>
      </c>
      <c r="F352" s="4" t="str">
        <f>IFERROR(__xludf.DUMMYFUNCTION("GOOGLETRANSLATE(B352,""en"",""tr"")"),"Parayı Paylaş")</f>
        <v>Parayı Paylaş</v>
      </c>
      <c r="G352" s="4" t="str">
        <f>IFERROR(__xludf.DUMMYFUNCTION("GOOGLETRANSLATE(B352,""en"",""ru"")"),"Делитесь деньгами")</f>
        <v>Делитесь деньгами</v>
      </c>
      <c r="H352" s="4" t="str">
        <f>IFERROR(__xludf.DUMMYFUNCTION("GOOGLETRANSLATE(B352,""en"",""it"")"),"Condividi denaro")</f>
        <v>Condividi denaro</v>
      </c>
      <c r="I352" s="4" t="str">
        <f>IFERROR(__xludf.DUMMYFUNCTION("GOOGLETRANSLATE(B352,""en"",""de"")"),"Geld teilen")</f>
        <v>Geld teilen</v>
      </c>
      <c r="J352" s="4" t="str">
        <f>IFERROR(__xludf.DUMMYFUNCTION("GOOGLETRANSLATE(B352,""en"",""ko"")"),"돈을 공유하다")</f>
        <v>돈을 공유하다</v>
      </c>
      <c r="K352" s="4" t="str">
        <f>IFERROR(__xludf.DUMMYFUNCTION("GOOGLETRANSLATE(B352,""en"",""zh"")"),"分享金钱")</f>
        <v>分享金钱</v>
      </c>
      <c r="L352" s="4" t="str">
        <f>IFERROR(__xludf.DUMMYFUNCTION("GOOGLETRANSLATE(B352,""en"",""es"")"),"compartir dinero")</f>
        <v>compartir dinero</v>
      </c>
      <c r="M352" s="4" t="str">
        <f>IFERROR(__xludf.DUMMYFUNCTION("GOOGLETRANSLATE(B352,""en"",""iw"")"),"שתף כסף")</f>
        <v>שתף כסף</v>
      </c>
      <c r="N352" s="4" t="str">
        <f>IFERROR(__xludf.DUMMYFUNCTION("GOOGLETRANSLATE(B352,""en"",""bn"")"),"টাকা ভাগ করুন")</f>
        <v>টাকা ভাগ করুন</v>
      </c>
      <c r="O352" s="4" t="str">
        <f>IFERROR(__xludf.DUMMYFUNCTION("GOOGLETRANSLATE(B352,""en"",""pt"")"),"Compartilhe dinheiro")</f>
        <v>Compartilhe dinheiro</v>
      </c>
      <c r="P352" s="4"/>
    </row>
    <row r="353">
      <c r="A353" s="21" t="s">
        <v>925</v>
      </c>
      <c r="B353" s="22" t="s">
        <v>926</v>
      </c>
      <c r="C353" s="4" t="str">
        <f>IFERROR(__xludf.DUMMYFUNCTION("GOOGLETRANSLATE(B353,""en"",""hi"")"),"बंद करना")</f>
        <v>बंद करना</v>
      </c>
      <c r="D353" s="4" t="str">
        <f>IFERROR(__xludf.DUMMYFUNCTION("GOOGLETRANSLATE(B353,""en"",""ar"")"),"يغلق")</f>
        <v>يغلق</v>
      </c>
      <c r="E353" s="4" t="str">
        <f>IFERROR(__xludf.DUMMYFUNCTION("GOOGLETRANSLATE(B353,""en"",""fr"")"),"Fermer")</f>
        <v>Fermer</v>
      </c>
      <c r="F353" s="4" t="str">
        <f>IFERROR(__xludf.DUMMYFUNCTION("GOOGLETRANSLATE(B353,""en"",""tr"")"),"Kapalı")</f>
        <v>Kapalı</v>
      </c>
      <c r="G353" s="4" t="str">
        <f>IFERROR(__xludf.DUMMYFUNCTION("GOOGLETRANSLATE(B353,""en"",""ru"")"),"Закрывать")</f>
        <v>Закрывать</v>
      </c>
      <c r="H353" s="4" t="str">
        <f>IFERROR(__xludf.DUMMYFUNCTION("GOOGLETRANSLATE(B353,""en"",""it"")"),"Vicino")</f>
        <v>Vicino</v>
      </c>
      <c r="I353" s="4" t="str">
        <f>IFERROR(__xludf.DUMMYFUNCTION("GOOGLETRANSLATE(B353,""en"",""de"")"),"Schließen")</f>
        <v>Schließen</v>
      </c>
      <c r="J353" s="4" t="str">
        <f>IFERROR(__xludf.DUMMYFUNCTION("GOOGLETRANSLATE(B353,""en"",""ko"")"),"닫다")</f>
        <v>닫다</v>
      </c>
      <c r="K353" s="4" t="str">
        <f>IFERROR(__xludf.DUMMYFUNCTION("GOOGLETRANSLATE(B353,""en"",""zh"")"),"关闭")</f>
        <v>关闭</v>
      </c>
      <c r="L353" s="4" t="str">
        <f>IFERROR(__xludf.DUMMYFUNCTION("GOOGLETRANSLATE(B353,""en"",""es"")"),"Cerca")</f>
        <v>Cerca</v>
      </c>
      <c r="M353" s="4" t="str">
        <f>IFERROR(__xludf.DUMMYFUNCTION("GOOGLETRANSLATE(B353,""en"",""iw"")"),"סגור")</f>
        <v>סגור</v>
      </c>
      <c r="N353" s="4" t="str">
        <f>IFERROR(__xludf.DUMMYFUNCTION("GOOGLETRANSLATE(B353,""en"",""bn"")"),"বন্ধ")</f>
        <v>বন্ধ</v>
      </c>
      <c r="O353" s="4" t="str">
        <f>IFERROR(__xludf.DUMMYFUNCTION("GOOGLETRANSLATE(B353,""en"",""pt"")"),"Fechar")</f>
        <v>Fechar</v>
      </c>
      <c r="P353" s="4"/>
    </row>
    <row r="354">
      <c r="A354" s="21" t="s">
        <v>927</v>
      </c>
      <c r="B354" s="22" t="s">
        <v>928</v>
      </c>
      <c r="C354" s="4" t="str">
        <f>IFERROR(__xludf.DUMMYFUNCTION("GOOGLETRANSLATE(B354,""en"",""hi"")"),"फ़ील्ड भरें")</f>
        <v>फ़ील्ड भरें</v>
      </c>
      <c r="D354" s="4" t="str">
        <f>IFERROR(__xludf.DUMMYFUNCTION("GOOGLETRANSLATE(B354,""en"",""ar"")"),"املأ الحقول")</f>
        <v>املأ الحقول</v>
      </c>
      <c r="E354" s="4" t="str">
        <f>IFERROR(__xludf.DUMMYFUNCTION("GOOGLETRANSLATE(B354,""en"",""fr"")"),"Remplissez les champs")</f>
        <v>Remplissez les champs</v>
      </c>
      <c r="F354" s="4" t="str">
        <f>IFERROR(__xludf.DUMMYFUNCTION("GOOGLETRANSLATE(B354,""en"",""tr"")"),"Alanları Doldurun")</f>
        <v>Alanları Doldurun</v>
      </c>
      <c r="G354" s="4" t="str">
        <f>IFERROR(__xludf.DUMMYFUNCTION("GOOGLETRANSLATE(B354,""en"",""ru"")"),"Заполните поля")</f>
        <v>Заполните поля</v>
      </c>
      <c r="H354" s="4" t="str">
        <f>IFERROR(__xludf.DUMMYFUNCTION("GOOGLETRANSLATE(B354,""en"",""it"")"),"Compila i campi")</f>
        <v>Compila i campi</v>
      </c>
      <c r="I354" s="4" t="str">
        <f>IFERROR(__xludf.DUMMYFUNCTION("GOOGLETRANSLATE(B354,""en"",""de"")"),"Füllen Sie die Felder aus")</f>
        <v>Füllen Sie die Felder aus</v>
      </c>
      <c r="J354" s="4" t="str">
        <f>IFERROR(__xludf.DUMMYFUNCTION("GOOGLETRANSLATE(B354,""en"",""ko"")"),"필드 채우기")</f>
        <v>필드 채우기</v>
      </c>
      <c r="K354" s="4" t="str">
        <f>IFERROR(__xludf.DUMMYFUNCTION("GOOGLETRANSLATE(B354,""en"",""zh"")"),"填写字段")</f>
        <v>填写字段</v>
      </c>
      <c r="L354" s="4" t="str">
        <f>IFERROR(__xludf.DUMMYFUNCTION("GOOGLETRANSLATE(B354,""en"",""es"")"),"Llene los campos")</f>
        <v>Llene los campos</v>
      </c>
      <c r="M354" s="4" t="str">
        <f>IFERROR(__xludf.DUMMYFUNCTION("GOOGLETRANSLATE(B354,""en"",""iw"")"),"מלא את השדות")</f>
        <v>מלא את השדות</v>
      </c>
      <c r="N354" s="4" t="str">
        <f>IFERROR(__xludf.DUMMYFUNCTION("GOOGLETRANSLATE(B354,""en"",""bn"")"),"ক্ষেত্রগুলি পূরণ করুন")</f>
        <v>ক্ষেত্রগুলি পূরণ করুন</v>
      </c>
      <c r="O354" s="4" t="str">
        <f>IFERROR(__xludf.DUMMYFUNCTION("GOOGLETRANSLATE(B354,""en"",""pt"")"),"Preencha os campos")</f>
        <v>Preencha os campos</v>
      </c>
      <c r="P354" s="4"/>
    </row>
    <row r="355">
      <c r="A355" s="21" t="s">
        <v>929</v>
      </c>
      <c r="B355" s="22" t="s">
        <v>930</v>
      </c>
      <c r="C355" s="4" t="str">
        <f>IFERROR(__xludf.DUMMYFUNCTION("GOOGLETRANSLATE(B355,""en"",""hi"")"),"प्रशासन आयोग")</f>
        <v>प्रशासन आयोग</v>
      </c>
      <c r="D355" s="4" t="str">
        <f>IFERROR(__xludf.DUMMYFUNCTION("GOOGLETRANSLATE(B355,""en"",""ar"")"),"اللجنة الادارية")</f>
        <v>اللجنة الادارية</v>
      </c>
      <c r="E355" s="4" t="str">
        <f>IFERROR(__xludf.DUMMYFUNCTION("GOOGLETRANSLATE(B355,""en"",""fr"")"),"Commission d'administration")</f>
        <v>Commission d'administration</v>
      </c>
      <c r="F355" s="4" t="str">
        <f>IFERROR(__xludf.DUMMYFUNCTION("GOOGLETRANSLATE(B355,""en"",""tr"")"),"Yönetici Komisyonu")</f>
        <v>Yönetici Komisyonu</v>
      </c>
      <c r="G355" s="4" t="str">
        <f>IFERROR(__xludf.DUMMYFUNCTION("GOOGLETRANSLATE(B355,""en"",""ru"")"),"Административная комиссия")</f>
        <v>Административная комиссия</v>
      </c>
      <c r="H355" s="4" t="str">
        <f>IFERROR(__xludf.DUMMYFUNCTION("GOOGLETRANSLATE(B355,""en"",""it"")"),"Commissione amministrativa")</f>
        <v>Commissione amministrativa</v>
      </c>
      <c r="I355" s="4" t="str">
        <f>IFERROR(__xludf.DUMMYFUNCTION("GOOGLETRANSLATE(B355,""en"",""de"")"),"Verwaltungskommission")</f>
        <v>Verwaltungskommission</v>
      </c>
      <c r="J355" s="4" t="str">
        <f>IFERROR(__xludf.DUMMYFUNCTION("GOOGLETRANSLATE(B355,""en"",""ko"")"),"관리위원회")</f>
        <v>관리위원회</v>
      </c>
      <c r="K355" s="4" t="str">
        <f>IFERROR(__xludf.DUMMYFUNCTION("GOOGLETRANSLATE(B355,""en"",""zh"")"),"行政委员会")</f>
        <v>行政委员会</v>
      </c>
      <c r="L355" s="4" t="str">
        <f>IFERROR(__xludf.DUMMYFUNCTION("GOOGLETRANSLATE(B355,""en"",""es"")"),"Comisión administrativa")</f>
        <v>Comisión administrativa</v>
      </c>
      <c r="M355" s="4" t="str">
        <f>IFERROR(__xludf.DUMMYFUNCTION("GOOGLETRANSLATE(B355,""en"",""iw"")"),"ועדת ניהול")</f>
        <v>ועדת ניהול</v>
      </c>
      <c r="N355" s="4" t="str">
        <f>IFERROR(__xludf.DUMMYFUNCTION("GOOGLETRANSLATE(B355,""en"",""bn"")"),"অ্যাডমিন কমিশন")</f>
        <v>অ্যাডমিন কমিশন</v>
      </c>
      <c r="O355" s="4" t="str">
        <f>IFERROR(__xludf.DUMMYFUNCTION("GOOGLETRANSLATE(B355,""en"",""pt"")"),"Comissão Administrativa")</f>
        <v>Comissão Administrativa</v>
      </c>
      <c r="P355" s="4"/>
    </row>
    <row r="356">
      <c r="A356" s="21" t="s">
        <v>931</v>
      </c>
      <c r="B356" s="22" t="s">
        <v>932</v>
      </c>
      <c r="C356" s="4" t="str">
        <f>IFERROR(__xludf.DUMMYFUNCTION("GOOGLETRANSLATE(B356,""en"",""hi"")"),"अधिसूचना हटा दी गई")</f>
        <v>अधिसूचना हटा दी गई</v>
      </c>
      <c r="D356" s="4" t="str">
        <f>IFERROR(__xludf.DUMMYFUNCTION("GOOGLETRANSLATE(B356,""en"",""ar"")"),"تم حذف الإشعار")</f>
        <v>تم حذف الإشعار</v>
      </c>
      <c r="E356" s="4" t="str">
        <f>IFERROR(__xludf.DUMMYFUNCTION("GOOGLETRANSLATE(B356,""en"",""fr"")"),"Notification supprimée")</f>
        <v>Notification supprimée</v>
      </c>
      <c r="F356" s="4" t="str">
        <f>IFERROR(__xludf.DUMMYFUNCTION("GOOGLETRANSLATE(B356,""en"",""tr"")"),"Bildirim Silindi")</f>
        <v>Bildirim Silindi</v>
      </c>
      <c r="G356" s="4" t="str">
        <f>IFERROR(__xludf.DUMMYFUNCTION("GOOGLETRANSLATE(B356,""en"",""ru"")"),"Уведомление удалено")</f>
        <v>Уведомление удалено</v>
      </c>
      <c r="H356" s="4" t="str">
        <f>IFERROR(__xludf.DUMMYFUNCTION("GOOGLETRANSLATE(B356,""en"",""it"")"),"Notifica eliminata")</f>
        <v>Notifica eliminata</v>
      </c>
      <c r="I356" s="4" t="str">
        <f>IFERROR(__xludf.DUMMYFUNCTION("GOOGLETRANSLATE(B356,""en"",""de"")"),"Benachrichtigung gelöscht")</f>
        <v>Benachrichtigung gelöscht</v>
      </c>
      <c r="J356" s="4" t="str">
        <f>IFERROR(__xludf.DUMMYFUNCTION("GOOGLETRANSLATE(B356,""en"",""ko"")"),"알림이 삭제되었습니다.")</f>
        <v>알림이 삭제되었습니다.</v>
      </c>
      <c r="K356" s="4" t="str">
        <f>IFERROR(__xludf.DUMMYFUNCTION("GOOGLETRANSLATE(B356,""en"",""zh"")"),"通知已删除")</f>
        <v>通知已删除</v>
      </c>
      <c r="L356" s="4" t="str">
        <f>IFERROR(__xludf.DUMMYFUNCTION("GOOGLETRANSLATE(B356,""en"",""es"")"),"Notificación eliminada")</f>
        <v>Notificación eliminada</v>
      </c>
      <c r="M356" s="4" t="str">
        <f>IFERROR(__xludf.DUMMYFUNCTION("GOOGLETRANSLATE(B356,""en"",""iw"")"),"ההודעה נמחקה")</f>
        <v>ההודעה נמחקה</v>
      </c>
      <c r="N356" s="4" t="str">
        <f>IFERROR(__xludf.DUMMYFUNCTION("GOOGLETRANSLATE(B356,""en"",""bn"")"),"বিজ্ঞপ্তি মুছে ফেলা হয়েছে")</f>
        <v>বিজ্ঞপ্তি মুছে ফেলা হয়েছে</v>
      </c>
      <c r="O356" s="4" t="str">
        <f>IFERROR(__xludf.DUMMYFUNCTION("GOOGLETRANSLATE(B356,""en"",""pt"")"),"Notificação excluída")</f>
        <v>Notificação excluída</v>
      </c>
      <c r="P356" s="4"/>
    </row>
    <row r="357">
      <c r="A357" s="21" t="s">
        <v>933</v>
      </c>
      <c r="B357" s="22" t="s">
        <v>934</v>
      </c>
      <c r="C357" s="4" t="str">
        <f>IFERROR(__xludf.DUMMYFUNCTION("GOOGLETRANSLATE(B357,""en"",""hi"")"),"सफलतापूर्वक स्थानांतरित किया गया")</f>
        <v>सफलतापूर्वक स्थानांतरित किया गया</v>
      </c>
      <c r="D357" s="4" t="str">
        <f>IFERROR(__xludf.DUMMYFUNCTION("GOOGLETRANSLATE(B357,""en"",""ar"")"),"تم النقل بنجاح")</f>
        <v>تم النقل بنجاح</v>
      </c>
      <c r="E357" s="4" t="str">
        <f>IFERROR(__xludf.DUMMYFUNCTION("GOOGLETRANSLATE(B357,""en"",""fr"")"),"Transféré avec succès")</f>
        <v>Transféré avec succès</v>
      </c>
      <c r="F357" s="4" t="str">
        <f>IFERROR(__xludf.DUMMYFUNCTION("GOOGLETRANSLATE(B357,""en"",""tr"")"),"Başarıyla Aktarıldı")</f>
        <v>Başarıyla Aktarıldı</v>
      </c>
      <c r="G357" s="4" t="str">
        <f>IFERROR(__xludf.DUMMYFUNCTION("GOOGLETRANSLATE(B357,""en"",""ru"")"),"Перенесено успешно")</f>
        <v>Перенесено успешно</v>
      </c>
      <c r="H357" s="4" t="str">
        <f>IFERROR(__xludf.DUMMYFUNCTION("GOOGLETRANSLATE(B357,""en"",""it"")"),"Trasferito con successo")</f>
        <v>Trasferito con successo</v>
      </c>
      <c r="I357" s="4" t="str">
        <f>IFERROR(__xludf.DUMMYFUNCTION("GOOGLETRANSLATE(B357,""en"",""de"")"),"Erfolgreich übertragen")</f>
        <v>Erfolgreich übertragen</v>
      </c>
      <c r="J357" s="4" t="str">
        <f>IFERROR(__xludf.DUMMYFUNCTION("GOOGLETRANSLATE(B357,""en"",""ko"")"),"성공적으로 전송되었습니다")</f>
        <v>성공적으로 전송되었습니다</v>
      </c>
      <c r="K357" s="4" t="str">
        <f>IFERROR(__xludf.DUMMYFUNCTION("GOOGLETRANSLATE(B357,""en"",""zh"")"),"转移成功")</f>
        <v>转移成功</v>
      </c>
      <c r="L357" s="4" t="str">
        <f>IFERROR(__xludf.DUMMYFUNCTION("GOOGLETRANSLATE(B357,""en"",""es"")"),"Transferido exitosamente")</f>
        <v>Transferido exitosamente</v>
      </c>
      <c r="M357" s="4" t="str">
        <f>IFERROR(__xludf.DUMMYFUNCTION("GOOGLETRANSLATE(B357,""en"",""iw"")"),"הועבר בהצלחה")</f>
        <v>הועבר בהצלחה</v>
      </c>
      <c r="N357" s="4" t="str">
        <f>IFERROR(__xludf.DUMMYFUNCTION("GOOGLETRANSLATE(B357,""en"",""bn"")"),"সফলভাবে স্থানান্তর করা হয়েছে")</f>
        <v>সফলভাবে স্থানান্তর করা হয়েছে</v>
      </c>
      <c r="O357" s="4" t="str">
        <f>IFERROR(__xludf.DUMMYFUNCTION("GOOGLETRANSLATE(B357,""en"",""pt"")"),"Transferido com sucesso")</f>
        <v>Transferido com sucesso</v>
      </c>
      <c r="P357" s="4"/>
    </row>
    <row r="358">
      <c r="A358" s="21" t="s">
        <v>935</v>
      </c>
      <c r="B358" s="24" t="s">
        <v>936</v>
      </c>
      <c r="C358" s="4" t="str">
        <f>IFERROR(__xludf.DUMMYFUNCTION("GOOGLETRANSLATE(B358,""en"",""hi"")"),"खाता")</f>
        <v>खाता</v>
      </c>
      <c r="D358" s="4" t="str">
        <f>IFERROR(__xludf.DUMMYFUNCTION("GOOGLETRANSLATE(B358,""en"",""ar"")"),"حساب")</f>
        <v>حساب</v>
      </c>
      <c r="E358" s="4" t="str">
        <f>IFERROR(__xludf.DUMMYFUNCTION("GOOGLETRANSLATE(B358,""en"",""fr"")"),"Compte")</f>
        <v>Compte</v>
      </c>
      <c r="F358" s="4" t="str">
        <f>IFERROR(__xludf.DUMMYFUNCTION("GOOGLETRANSLATE(B358,""en"",""tr"")"),"Hesap")</f>
        <v>Hesap</v>
      </c>
      <c r="G358" s="4" t="str">
        <f>IFERROR(__xludf.DUMMYFUNCTION("GOOGLETRANSLATE(B358,""en"",""ru"")"),"Счет")</f>
        <v>Счет</v>
      </c>
      <c r="H358" s="4" t="str">
        <f>IFERROR(__xludf.DUMMYFUNCTION("GOOGLETRANSLATE(B358,""en"",""it"")"),"Account")</f>
        <v>Account</v>
      </c>
      <c r="I358" s="4" t="str">
        <f>IFERROR(__xludf.DUMMYFUNCTION("GOOGLETRANSLATE(B358,""en"",""de"")"),"Konto")</f>
        <v>Konto</v>
      </c>
      <c r="J358" s="4" t="str">
        <f>IFERROR(__xludf.DUMMYFUNCTION("GOOGLETRANSLATE(B358,""en"",""ko"")"),"계정")</f>
        <v>계정</v>
      </c>
      <c r="K358" s="4" t="str">
        <f>IFERROR(__xludf.DUMMYFUNCTION("GOOGLETRANSLATE(B358,""en"",""zh"")"),"帐户")</f>
        <v>帐户</v>
      </c>
      <c r="L358" s="4" t="str">
        <f>IFERROR(__xludf.DUMMYFUNCTION("GOOGLETRANSLATE(B358,""en"",""es"")"),"Cuenta")</f>
        <v>Cuenta</v>
      </c>
      <c r="M358" s="4" t="str">
        <f>IFERROR(__xludf.DUMMYFUNCTION("GOOGLETRANSLATE(B358,""en"",""iw"")"),"חֶשְׁבּוֹן")</f>
        <v>חֶשְׁבּוֹן</v>
      </c>
      <c r="N358" s="4" t="str">
        <f>IFERROR(__xludf.DUMMYFUNCTION("GOOGLETRANSLATE(B358,""en"",""bn"")"),"হিসাব")</f>
        <v>হিসাব</v>
      </c>
      <c r="O358" s="4" t="str">
        <f>IFERROR(__xludf.DUMMYFUNCTION("GOOGLETRANSLATE(B358,""en"",""pt"")"),"Conta")</f>
        <v>Conta</v>
      </c>
      <c r="P358" s="4"/>
    </row>
    <row r="359">
      <c r="A359" s="21" t="s">
        <v>937</v>
      </c>
      <c r="B359" s="22" t="s">
        <v>938</v>
      </c>
      <c r="C359" s="4" t="str">
        <f>IFERROR(__xludf.DUMMYFUNCTION("GOOGLETRANSLATE(B359,""en"",""hi"")"),"सामान्य")</f>
        <v>सामान्य</v>
      </c>
      <c r="D359" s="4" t="str">
        <f>IFERROR(__xludf.DUMMYFUNCTION("GOOGLETRANSLATE(B359,""en"",""ar"")"),"عام")</f>
        <v>عام</v>
      </c>
      <c r="E359" s="4" t="str">
        <f>IFERROR(__xludf.DUMMYFUNCTION("GOOGLETRANSLATE(B359,""en"",""fr"")"),"Général")</f>
        <v>Général</v>
      </c>
      <c r="F359" s="4" t="str">
        <f>IFERROR(__xludf.DUMMYFUNCTION("GOOGLETRANSLATE(B359,""en"",""tr"")"),"Genel")</f>
        <v>Genel</v>
      </c>
      <c r="G359" s="4" t="str">
        <f>IFERROR(__xludf.DUMMYFUNCTION("GOOGLETRANSLATE(B359,""en"",""ru"")"),"Общий")</f>
        <v>Общий</v>
      </c>
      <c r="H359" s="4" t="str">
        <f>IFERROR(__xludf.DUMMYFUNCTION("GOOGLETRANSLATE(B359,""en"",""it"")"),"Generale")</f>
        <v>Generale</v>
      </c>
      <c r="I359" s="4" t="str">
        <f>IFERROR(__xludf.DUMMYFUNCTION("GOOGLETRANSLATE(B359,""en"",""de"")"),"Allgemein")</f>
        <v>Allgemein</v>
      </c>
      <c r="J359" s="4" t="str">
        <f>IFERROR(__xludf.DUMMYFUNCTION("GOOGLETRANSLATE(B359,""en"",""ko"")"),"일반적인")</f>
        <v>일반적인</v>
      </c>
      <c r="K359" s="4" t="str">
        <f>IFERROR(__xludf.DUMMYFUNCTION("GOOGLETRANSLATE(B359,""en"",""zh"")"),"一般的")</f>
        <v>一般的</v>
      </c>
      <c r="L359" s="4" t="str">
        <f>IFERROR(__xludf.DUMMYFUNCTION("GOOGLETRANSLATE(B359,""en"",""es"")"),"General")</f>
        <v>General</v>
      </c>
      <c r="M359" s="4" t="str">
        <f>IFERROR(__xludf.DUMMYFUNCTION("GOOGLETRANSLATE(B359,""en"",""iw"")"),"כללי")</f>
        <v>כללי</v>
      </c>
      <c r="N359" s="4" t="str">
        <f>IFERROR(__xludf.DUMMYFUNCTION("GOOGLETRANSLATE(B359,""en"",""bn"")"),"সাধারণ")</f>
        <v>সাধারণ</v>
      </c>
      <c r="O359" s="4" t="str">
        <f>IFERROR(__xludf.DUMMYFUNCTION("GOOGLETRANSLATE(B359,""en"",""pt"")"),"Em geral")</f>
        <v>Em geral</v>
      </c>
      <c r="P359" s="4"/>
    </row>
    <row r="360">
      <c r="A360" s="21" t="s">
        <v>939</v>
      </c>
      <c r="B360" s="22" t="s">
        <v>940</v>
      </c>
      <c r="C360" s="4" t="str">
        <f>IFERROR(__xludf.DUMMYFUNCTION("GOOGLETRANSLATE(B360,""en"",""hi"")"),"संपर्क करें")</f>
        <v>संपर्क करें</v>
      </c>
      <c r="D360" s="4" t="str">
        <f>IFERROR(__xludf.DUMMYFUNCTION("GOOGLETRANSLATE(B360,""en"",""ar"")"),"اتصل بنا")</f>
        <v>اتصل بنا</v>
      </c>
      <c r="E360" s="4" t="str">
        <f>IFERROR(__xludf.DUMMYFUNCTION("GOOGLETRANSLATE(B360,""en"",""fr"")"),"Contactez-nous")</f>
        <v>Contactez-nous</v>
      </c>
      <c r="F360" s="4" t="str">
        <f>IFERROR(__xludf.DUMMYFUNCTION("GOOGLETRANSLATE(B360,""en"",""tr"")"),"Bize Ulaşın")</f>
        <v>Bize Ulaşın</v>
      </c>
      <c r="G360" s="4" t="str">
        <f>IFERROR(__xludf.DUMMYFUNCTION("GOOGLETRANSLATE(B360,""en"",""ru"")"),"Связаться с нами")</f>
        <v>Связаться с нами</v>
      </c>
      <c r="H360" s="4" t="str">
        <f>IFERROR(__xludf.DUMMYFUNCTION("GOOGLETRANSLATE(B360,""en"",""it"")"),"Contattaci")</f>
        <v>Contattaci</v>
      </c>
      <c r="I360" s="4" t="str">
        <f>IFERROR(__xludf.DUMMYFUNCTION("GOOGLETRANSLATE(B360,""en"",""de"")"),"Kontaktiere uns")</f>
        <v>Kontaktiere uns</v>
      </c>
      <c r="J360" s="4" t="str">
        <f>IFERROR(__xludf.DUMMYFUNCTION("GOOGLETRANSLATE(B360,""en"",""ko"")"),"문의하기")</f>
        <v>문의하기</v>
      </c>
      <c r="K360" s="4" t="str">
        <f>IFERROR(__xludf.DUMMYFUNCTION("GOOGLETRANSLATE(B360,""en"",""zh"")"),"联系我们")</f>
        <v>联系我们</v>
      </c>
      <c r="L360" s="4" t="str">
        <f>IFERROR(__xludf.DUMMYFUNCTION("GOOGLETRANSLATE(B360,""en"",""es"")"),"Contáctenos")</f>
        <v>Contáctenos</v>
      </c>
      <c r="M360" s="4" t="str">
        <f>IFERROR(__xludf.DUMMYFUNCTION("GOOGLETRANSLATE(B360,""en"",""iw"")"),"צור קשר")</f>
        <v>צור קשר</v>
      </c>
      <c r="N360" s="4" t="str">
        <f>IFERROR(__xludf.DUMMYFUNCTION("GOOGLETRANSLATE(B360,""en"",""bn"")"),"যোগাযোগ করুন")</f>
        <v>যোগাযোগ করুন</v>
      </c>
      <c r="O360" s="4" t="str">
        <f>IFERROR(__xludf.DUMMYFUNCTION("GOOGLETRANSLATE(B360,""en"",""pt"")"),"Contate-nos")</f>
        <v>Contate-nos</v>
      </c>
      <c r="P360" s="4"/>
    </row>
    <row r="361">
      <c r="A361" s="21" t="s">
        <v>941</v>
      </c>
      <c r="B361" s="22" t="s">
        <v>942</v>
      </c>
      <c r="C361" s="4" t="str">
        <f>IFERROR(__xludf.DUMMYFUNCTION("GOOGLETRANSLATE(B361,""en"",""hi"")"),"यहां कोई ऑर्डर नहीं")</f>
        <v>यहां कोई ऑर्डर नहीं</v>
      </c>
      <c r="D361" s="4" t="str">
        <f>IFERROR(__xludf.DUMMYFUNCTION("GOOGLETRANSLATE(B361,""en"",""ar"")"),"لا يوجد أمر هنا")</f>
        <v>لا يوجد أمر هنا</v>
      </c>
      <c r="E361" s="4" t="str">
        <f>IFERROR(__xludf.DUMMYFUNCTION("GOOGLETRANSLATE(B361,""en"",""fr"")"),"Pas de commande ici")</f>
        <v>Pas de commande ici</v>
      </c>
      <c r="F361" s="4" t="str">
        <f>IFERROR(__xludf.DUMMYFUNCTION("GOOGLETRANSLATE(B361,""en"",""tr"")"),"Burada Sipariş Yok")</f>
        <v>Burada Sipariş Yok</v>
      </c>
      <c r="G361" s="4" t="str">
        <f>IFERROR(__xludf.DUMMYFUNCTION("GOOGLETRANSLATE(B361,""en"",""ru"")"),"Здесь нет заказа")</f>
        <v>Здесь нет заказа</v>
      </c>
      <c r="H361" s="4" t="str">
        <f>IFERROR(__xludf.DUMMYFUNCTION("GOOGLETRANSLATE(B361,""en"",""it"")"),"Nessun ordine qui")</f>
        <v>Nessun ordine qui</v>
      </c>
      <c r="I361" s="4" t="str">
        <f>IFERROR(__xludf.DUMMYFUNCTION("GOOGLETRANSLATE(B361,""en"",""de"")"),"Keine Bestellung hier")</f>
        <v>Keine Bestellung hier</v>
      </c>
      <c r="J361" s="4" t="str">
        <f>IFERROR(__xludf.DUMMYFUNCTION("GOOGLETRANSLATE(B361,""en"",""ko"")"),"여기에서는 주문할 수 없습니다")</f>
        <v>여기에서는 주문할 수 없습니다</v>
      </c>
      <c r="K361" s="4" t="str">
        <f>IFERROR(__xludf.DUMMYFUNCTION("GOOGLETRANSLATE(B361,""en"",""zh"")"),"这里没有订单")</f>
        <v>这里没有订单</v>
      </c>
      <c r="L361" s="4" t="str">
        <f>IFERROR(__xludf.DUMMYFUNCTION("GOOGLETRANSLATE(B361,""en"",""es"")"),"No hay orden aquí")</f>
        <v>No hay orden aquí</v>
      </c>
      <c r="M361" s="4" t="str">
        <f>IFERROR(__xludf.DUMMYFUNCTION("GOOGLETRANSLATE(B361,""en"",""iw"")"),"אין סדר כאן")</f>
        <v>אין סדר כאן</v>
      </c>
      <c r="N361" s="4" t="str">
        <f>IFERROR(__xludf.DUMMYFUNCTION("GOOGLETRANSLATE(B361,""en"",""bn"")"),"এখানে কোন অর্ডার নেই")</f>
        <v>এখানে কোন অর্ডার নেই</v>
      </c>
      <c r="O361" s="4" t="str">
        <f>IFERROR(__xludf.DUMMYFUNCTION("GOOGLETRANSLATE(B361,""en"",""pt"")"),"Sem ordem aqui")</f>
        <v>Sem ordem aqui</v>
      </c>
      <c r="P361" s="4"/>
    </row>
    <row r="362">
      <c r="A362" s="21" t="s">
        <v>943</v>
      </c>
      <c r="B362" s="22" t="s">
        <v>944</v>
      </c>
      <c r="C362" s="4" t="str">
        <f>IFERROR(__xludf.DUMMYFUNCTION("GOOGLETRANSLATE(B362,""en"",""hi"")"),"नवीनतम लेनदेन")</f>
        <v>नवीनतम लेनदेन</v>
      </c>
      <c r="D362" s="4" t="str">
        <f>IFERROR(__xludf.DUMMYFUNCTION("GOOGLETRANSLATE(B362,""en"",""ar"")"),"أحدث المعاملات")</f>
        <v>أحدث المعاملات</v>
      </c>
      <c r="E362" s="4" t="str">
        <f>IFERROR(__xludf.DUMMYFUNCTION("GOOGLETRANSLATE(B362,""en"",""fr"")"),"Dernières transactions")</f>
        <v>Dernières transactions</v>
      </c>
      <c r="F362" s="4" t="str">
        <f>IFERROR(__xludf.DUMMYFUNCTION("GOOGLETRANSLATE(B362,""en"",""tr"")"),"Son İşlemler")</f>
        <v>Son İşlemler</v>
      </c>
      <c r="G362" s="4" t="str">
        <f>IFERROR(__xludf.DUMMYFUNCTION("GOOGLETRANSLATE(B362,""en"",""ru"")"),"Последние транзакции")</f>
        <v>Последние транзакции</v>
      </c>
      <c r="H362" s="4" t="str">
        <f>IFERROR(__xludf.DUMMYFUNCTION("GOOGLETRANSLATE(B362,""en"",""it"")"),"Ultime transazioni")</f>
        <v>Ultime transazioni</v>
      </c>
      <c r="I362" s="4" t="str">
        <f>IFERROR(__xludf.DUMMYFUNCTION("GOOGLETRANSLATE(B362,""en"",""de"")"),"Neueste Transaktionen")</f>
        <v>Neueste Transaktionen</v>
      </c>
      <c r="J362" s="4" t="str">
        <f>IFERROR(__xludf.DUMMYFUNCTION("GOOGLETRANSLATE(B362,""en"",""ko"")"),"최신 거래")</f>
        <v>최신 거래</v>
      </c>
      <c r="K362" s="4" t="str">
        <f>IFERROR(__xludf.DUMMYFUNCTION("GOOGLETRANSLATE(B362,""en"",""zh"")"),"最新交易")</f>
        <v>最新交易</v>
      </c>
      <c r="L362" s="4" t="str">
        <f>IFERROR(__xludf.DUMMYFUNCTION("GOOGLETRANSLATE(B362,""en"",""es"")"),"Últimas transacciones")</f>
        <v>Últimas transacciones</v>
      </c>
      <c r="M362" s="4" t="str">
        <f>IFERROR(__xludf.DUMMYFUNCTION("GOOGLETRANSLATE(B362,""en"",""iw"")"),"עסקאות אחרונות")</f>
        <v>עסקאות אחרונות</v>
      </c>
      <c r="N362" s="4" t="str">
        <f>IFERROR(__xludf.DUMMYFUNCTION("GOOGLETRANSLATE(B362,""en"",""bn"")"),"সর্বশেষ লেনদেন")</f>
        <v>সর্বশেষ লেনদেন</v>
      </c>
      <c r="O362" s="4" t="str">
        <f>IFERROR(__xludf.DUMMYFUNCTION("GOOGLETRANSLATE(B362,""en"",""pt"")"),"Últimas transações")</f>
        <v>Últimas transações</v>
      </c>
      <c r="P362" s="4"/>
    </row>
    <row r="363">
      <c r="A363" s="25" t="s">
        <v>945</v>
      </c>
      <c r="B363" s="22" t="s">
        <v>946</v>
      </c>
      <c r="C363" s="4" t="str">
        <f>IFERROR(__xludf.DUMMYFUNCTION("GOOGLETRANSLATE(B363,""en"",""hi"")"),"पुनर्भरण शेष")</f>
        <v>पुनर्भरण शेष</v>
      </c>
      <c r="D363" s="4" t="str">
        <f>IFERROR(__xludf.DUMMYFUNCTION("GOOGLETRANSLATE(B363,""en"",""ar"")"),"إعادة شحن الرصيد")</f>
        <v>إعادة شحن الرصيد</v>
      </c>
      <c r="E363" s="4" t="str">
        <f>IFERROR(__xludf.DUMMYFUNCTION("GOOGLETRANSLATE(B363,""en"",""fr"")"),"Recharger le solde")</f>
        <v>Recharger le solde</v>
      </c>
      <c r="F363" s="4" t="str">
        <f>IFERROR(__xludf.DUMMYFUNCTION("GOOGLETRANSLATE(B363,""en"",""tr"")"),"Bakiyeyi Yeniden Yükle")</f>
        <v>Bakiyeyi Yeniden Yükle</v>
      </c>
      <c r="G363" s="4" t="str">
        <f>IFERROR(__xludf.DUMMYFUNCTION("GOOGLETRANSLATE(B363,""en"",""ru"")"),"Пополнить баланс")</f>
        <v>Пополнить баланс</v>
      </c>
      <c r="H363" s="4" t="str">
        <f>IFERROR(__xludf.DUMMYFUNCTION("GOOGLETRANSLATE(B363,""en"",""it"")"),"Ricarica saldo")</f>
        <v>Ricarica saldo</v>
      </c>
      <c r="I363" s="4" t="str">
        <f>IFERROR(__xludf.DUMMYFUNCTION("GOOGLETRANSLATE(B363,""en"",""de"")"),"Guthaben aufladen")</f>
        <v>Guthaben aufladen</v>
      </c>
      <c r="J363" s="4" t="str">
        <f>IFERROR(__xludf.DUMMYFUNCTION("GOOGLETRANSLATE(B363,""en"",""ko"")"),"충전 잔액")</f>
        <v>충전 잔액</v>
      </c>
      <c r="K363" s="4" t="str">
        <f>IFERROR(__xludf.DUMMYFUNCTION("GOOGLETRANSLATE(B363,""en"",""zh"")"),"充值余额")</f>
        <v>充值余额</v>
      </c>
      <c r="L363" s="4" t="str">
        <f>IFERROR(__xludf.DUMMYFUNCTION("GOOGLETRANSLATE(B363,""en"",""es"")"),"Recargar Saldo")</f>
        <v>Recargar Saldo</v>
      </c>
      <c r="M363" s="4" t="str">
        <f>IFERROR(__xludf.DUMMYFUNCTION("GOOGLETRANSLATE(B363,""en"",""iw"")"),"לטעון איזון")</f>
        <v>לטעון איזון</v>
      </c>
      <c r="N363" s="4" t="str">
        <f>IFERROR(__xludf.DUMMYFUNCTION("GOOGLETRANSLATE(B363,""en"",""bn"")"),"রিচার্জ ব্যালেন্স")</f>
        <v>রিচার্জ ব্যালেন্স</v>
      </c>
      <c r="O363" s="4" t="str">
        <f>IFERROR(__xludf.DUMMYFUNCTION("GOOGLETRANSLATE(B363,""en"",""pt"")"),"Recarregar Saldo")</f>
        <v>Recarregar Saldo</v>
      </c>
      <c r="P363" s="4"/>
    </row>
    <row r="364">
      <c r="A364" s="26" t="s">
        <v>947</v>
      </c>
      <c r="B364" s="22" t="s">
        <v>948</v>
      </c>
      <c r="C364" s="4" t="str">
        <f>IFERROR(__xludf.DUMMYFUNCTION("GOOGLETRANSLATE(B364,""en"",""hi"")"),"यहां आप अपने वॉलेट में टॉप-अप कर सकते हैं")</f>
        <v>यहां आप अपने वॉलेट में टॉप-अप कर सकते हैं</v>
      </c>
      <c r="D364" s="4" t="str">
        <f>IFERROR(__xludf.DUMMYFUNCTION("GOOGLETRANSLATE(B364,""en"",""ar"")"),"هنا يمكنك تعبئة محفظتك")</f>
        <v>هنا يمكنك تعبئة محفظتك</v>
      </c>
      <c r="E364" s="4" t="str">
        <f>IFERROR(__xludf.DUMMYFUNCTION("GOOGLETRANSLATE(B364,""en"",""fr"")"),"Ici, vous pouvez recharger votre portefeuille")</f>
        <v>Ici, vous pouvez recharger votre portefeuille</v>
      </c>
      <c r="F364" s="4" t="str">
        <f>IFERROR(__xludf.DUMMYFUNCTION("GOOGLETRANSLATE(B364,""en"",""tr"")"),"Burada cüzdanınıza yükleme yapabilirsiniz")</f>
        <v>Burada cüzdanınıza yükleme yapabilirsiniz</v>
      </c>
      <c r="G364" s="4" t="str">
        <f>IFERROR(__xludf.DUMMYFUNCTION("GOOGLETRANSLATE(B364,""en"",""ru"")"),"Здесь вы можете пополнить свой кошелек")</f>
        <v>Здесь вы можете пополнить свой кошелек</v>
      </c>
      <c r="H364" s="4" t="str">
        <f>IFERROR(__xludf.DUMMYFUNCTION("GOOGLETRANSLATE(B364,""en"",""it"")"),"Qui puoi ricaricare il tuo portafoglio")</f>
        <v>Qui puoi ricaricare il tuo portafoglio</v>
      </c>
      <c r="I364" s="4" t="str">
        <f>IFERROR(__xludf.DUMMYFUNCTION("GOOGLETRANSLATE(B364,""en"",""de"")"),"Hier können Sie Ihr Guthaben aufladen")</f>
        <v>Hier können Sie Ihr Guthaben aufladen</v>
      </c>
      <c r="J364" s="4" t="str">
        <f>IFERROR(__xludf.DUMMYFUNCTION("GOOGLETRANSLATE(B364,""en"",""ko"")"),"여기에서 지갑을 충전할 수 있습니다.")</f>
        <v>여기에서 지갑을 충전할 수 있습니다.</v>
      </c>
      <c r="K364" s="4" t="str">
        <f>IFERROR(__xludf.DUMMYFUNCTION("GOOGLETRANSLATE(B364,""en"",""zh"")"),"在这里你可以给你的钱包充值")</f>
        <v>在这里你可以给你的钱包充值</v>
      </c>
      <c r="L364" s="4" t="str">
        <f>IFERROR(__xludf.DUMMYFUNCTION("GOOGLETRANSLATE(B364,""en"",""es"")"),"Aquí puedes recargar tu billetera")</f>
        <v>Aquí puedes recargar tu billetera</v>
      </c>
      <c r="M364" s="4" t="str">
        <f>IFERROR(__xludf.DUMMYFUNCTION("GOOGLETRANSLATE(B364,""en"",""iw"")"),"כאן תוכלו למלא את הארנק")</f>
        <v>כאן תוכלו למלא את הארנק</v>
      </c>
      <c r="N364" s="4" t="str">
        <f>IFERROR(__xludf.DUMMYFUNCTION("GOOGLETRANSLATE(B364,""en"",""bn"")"),"এখানে আপনি আপনার ওয়ালেট টপ-আপ করতে পারেন")</f>
        <v>এখানে আপনি আপনার ওয়ালেট টপ-আপ করতে পারেন</v>
      </c>
      <c r="O364" s="4" t="str">
        <f>IFERROR(__xludf.DUMMYFUNCTION("GOOGLETRANSLATE(B364,""en"",""pt"")"),"Aqui você pode recarregar sua carteira")</f>
        <v>Aqui você pode recarregar sua carteira</v>
      </c>
      <c r="P364" s="4"/>
    </row>
    <row r="365">
      <c r="A365" s="27" t="s">
        <v>949</v>
      </c>
      <c r="B365" s="22" t="s">
        <v>950</v>
      </c>
      <c r="C365" s="4" t="str">
        <f>IFERROR(__xludf.DUMMYFUNCTION("GOOGLETRANSLATE(B365,""en"",""hi"")"),"धन हस्तांतरण")</f>
        <v>धन हस्तांतरण</v>
      </c>
      <c r="D365" s="4" t="str">
        <f>IFERROR(__xludf.DUMMYFUNCTION("GOOGLETRANSLATE(B365,""en"",""ar"")"),"تحويل أموال")</f>
        <v>تحويل أموال</v>
      </c>
      <c r="E365" s="4" t="str">
        <f>IFERROR(__xludf.DUMMYFUNCTION("GOOGLETRANSLATE(B365,""en"",""fr"")"),"Transférer de l'argent")</f>
        <v>Transférer de l'argent</v>
      </c>
      <c r="F365" s="4" t="str">
        <f>IFERROR(__xludf.DUMMYFUNCTION("GOOGLETRANSLATE(B365,""en"",""tr"")"),"Para transferi")</f>
        <v>Para transferi</v>
      </c>
      <c r="G365" s="4" t="str">
        <f>IFERROR(__xludf.DUMMYFUNCTION("GOOGLETRANSLATE(B365,""en"",""ru"")"),"Перевести деньги")</f>
        <v>Перевести деньги</v>
      </c>
      <c r="H365" s="4" t="str">
        <f>IFERROR(__xludf.DUMMYFUNCTION("GOOGLETRANSLATE(B365,""en"",""it"")"),"Trasferire denaro")</f>
        <v>Trasferire denaro</v>
      </c>
      <c r="I365" s="4" t="str">
        <f>IFERROR(__xludf.DUMMYFUNCTION("GOOGLETRANSLATE(B365,""en"",""de"")"),"Geld überweisen")</f>
        <v>Geld überweisen</v>
      </c>
      <c r="J365" s="4" t="str">
        <f>IFERROR(__xludf.DUMMYFUNCTION("GOOGLETRANSLATE(B365,""en"",""ko"")"),"송금")</f>
        <v>송금</v>
      </c>
      <c r="K365" s="4" t="str">
        <f>IFERROR(__xludf.DUMMYFUNCTION("GOOGLETRANSLATE(B365,""en"",""zh"")"),"划款")</f>
        <v>划款</v>
      </c>
      <c r="L365" s="4" t="str">
        <f>IFERROR(__xludf.DUMMYFUNCTION("GOOGLETRANSLATE(B365,""en"",""es"")"),"Transferir dinero")</f>
        <v>Transferir dinero</v>
      </c>
      <c r="M365" s="4" t="str">
        <f>IFERROR(__xludf.DUMMYFUNCTION("GOOGLETRANSLATE(B365,""en"",""iw"")"),"להעביר כסף")</f>
        <v>להעביר כסף</v>
      </c>
      <c r="N365" s="4" t="str">
        <f>IFERROR(__xludf.DUMMYFUNCTION("GOOGLETRANSLATE(B365,""en"",""bn"")"),"অর্থ স্থানান্তর করুন")</f>
        <v>অর্থ স্থানান্তর করুন</v>
      </c>
      <c r="O365" s="4" t="str">
        <f>IFERROR(__xludf.DUMMYFUNCTION("GOOGLETRANSLATE(B365,""en"",""pt"")"),"Transferir dinheiro")</f>
        <v>Transferir dinheiro</v>
      </c>
      <c r="P365" s="4"/>
    </row>
    <row r="366">
      <c r="A366" s="28" t="s">
        <v>951</v>
      </c>
      <c r="B366" s="29" t="s">
        <v>952</v>
      </c>
      <c r="C366" s="4" t="str">
        <f>IFERROR(__xludf.DUMMYFUNCTION("GOOGLETRANSLATE(B366,""en"",""hi"")"),"आज की कमाई")</f>
        <v>आज की कमाई</v>
      </c>
      <c r="D366" s="4" t="str">
        <f>IFERROR(__xludf.DUMMYFUNCTION("GOOGLETRANSLATE(B366,""en"",""ar"")"),"أرباح اليوم")</f>
        <v>أرباح اليوم</v>
      </c>
      <c r="E366" s="4" t="str">
        <f>IFERROR(__xludf.DUMMYFUNCTION("GOOGLETRANSLATE(B366,""en"",""fr"")"),"Gains d'aujourd'hui")</f>
        <v>Gains d'aujourd'hui</v>
      </c>
      <c r="F366" s="4" t="str">
        <f>IFERROR(__xludf.DUMMYFUNCTION("GOOGLETRANSLATE(B366,""en"",""tr"")"),"Bugünkü Kazançlar")</f>
        <v>Bugünkü Kazançlar</v>
      </c>
      <c r="G366" s="4" t="str">
        <f>IFERROR(__xludf.DUMMYFUNCTION("GOOGLETRANSLATE(B366,""en"",""ru"")"),"Сегодняшний доход")</f>
        <v>Сегодняшний доход</v>
      </c>
      <c r="H366" s="4" t="str">
        <f>IFERROR(__xludf.DUMMYFUNCTION("GOOGLETRANSLATE(B366,""en"",""it"")"),"Guadagni di oggi")</f>
        <v>Guadagni di oggi</v>
      </c>
      <c r="I366" s="4" t="str">
        <f>IFERROR(__xludf.DUMMYFUNCTION("GOOGLETRANSLATE(B366,""en"",""de"")"),"Heutiges Ergebnis")</f>
        <v>Heutiges Ergebnis</v>
      </c>
      <c r="J366" s="4" t="str">
        <f>IFERROR(__xludf.DUMMYFUNCTION("GOOGLETRANSLATE(B366,""en"",""ko"")"),"오늘의 수익")</f>
        <v>오늘의 수익</v>
      </c>
      <c r="K366" s="4" t="str">
        <f>IFERROR(__xludf.DUMMYFUNCTION("GOOGLETRANSLATE(B366,""en"",""zh"")"),"今日收益")</f>
        <v>今日收益</v>
      </c>
      <c r="L366" s="4" t="str">
        <f>IFERROR(__xludf.DUMMYFUNCTION("GOOGLETRANSLATE(B366,""en"",""es"")"),"Ganancias de hoy")</f>
        <v>Ganancias de hoy</v>
      </c>
      <c r="M366" s="4" t="str">
        <f>IFERROR(__xludf.DUMMYFUNCTION("GOOGLETRANSLATE(B366,""en"",""iw"")"),"היום רווחים")</f>
        <v>היום רווחים</v>
      </c>
      <c r="N366" s="4" t="str">
        <f>IFERROR(__xludf.DUMMYFUNCTION("GOOGLETRANSLATE(B366,""en"",""bn"")"),"আজকের আয়")</f>
        <v>আজকের আয়</v>
      </c>
      <c r="O366" s="4" t="str">
        <f>IFERROR(__xludf.DUMMYFUNCTION("GOOGLETRANSLATE(B366,""en"",""pt"")"),"Ganhos de hoje")</f>
        <v>Ganhos de hoje</v>
      </c>
      <c r="P366" s="4"/>
    </row>
    <row r="367">
      <c r="A367" s="28" t="s">
        <v>953</v>
      </c>
      <c r="B367" s="29" t="s">
        <v>954</v>
      </c>
      <c r="C367" s="4" t="str">
        <f>IFERROR(__xludf.DUMMYFUNCTION("GOOGLETRANSLATE(B367,""en"",""hi"")"),"संपर्क जोड़ना")</f>
        <v>संपर्क जोड़ना</v>
      </c>
      <c r="D367" s="4" t="str">
        <f>IFERROR(__xludf.DUMMYFUNCTION("GOOGLETRANSLATE(B367,""en"",""ar"")"),"أضف جهة اتصال")</f>
        <v>أضف جهة اتصال</v>
      </c>
      <c r="E367" s="4" t="str">
        <f>IFERROR(__xludf.DUMMYFUNCTION("GOOGLETRANSLATE(B367,""en"",""fr"")"),"Ajouter un contact")</f>
        <v>Ajouter un contact</v>
      </c>
      <c r="F367" s="4" t="str">
        <f>IFERROR(__xludf.DUMMYFUNCTION("GOOGLETRANSLATE(B367,""en"",""tr"")"),"Kişi Ekle")</f>
        <v>Kişi Ekle</v>
      </c>
      <c r="G367" s="4" t="str">
        <f>IFERROR(__xludf.DUMMYFUNCTION("GOOGLETRANSLATE(B367,""en"",""ru"")"),"Добавить контакт")</f>
        <v>Добавить контакт</v>
      </c>
      <c r="H367" s="4" t="str">
        <f>IFERROR(__xludf.DUMMYFUNCTION("GOOGLETRANSLATE(B367,""en"",""it"")"),"Aggiungi un contatto")</f>
        <v>Aggiungi un contatto</v>
      </c>
      <c r="I367" s="4" t="str">
        <f>IFERROR(__xludf.DUMMYFUNCTION("GOOGLETRANSLATE(B367,""en"",""de"")"),"Einen Kontakt hinzufügen")</f>
        <v>Einen Kontakt hinzufügen</v>
      </c>
      <c r="J367" s="4" t="str">
        <f>IFERROR(__xludf.DUMMYFUNCTION("GOOGLETRANSLATE(B367,""en"",""ko"")"),"연락처 추가")</f>
        <v>연락처 추가</v>
      </c>
      <c r="K367" s="4" t="str">
        <f>IFERROR(__xludf.DUMMYFUNCTION("GOOGLETRANSLATE(B367,""en"",""zh"")"),"添加联系人")</f>
        <v>添加联系人</v>
      </c>
      <c r="L367" s="4" t="str">
        <f>IFERROR(__xludf.DUMMYFUNCTION("GOOGLETRANSLATE(B367,""en"",""es"")"),"Añade un contacto")</f>
        <v>Añade un contacto</v>
      </c>
      <c r="M367" s="4" t="str">
        <f>IFERROR(__xludf.DUMMYFUNCTION("GOOGLETRANSLATE(B367,""en"",""iw"")"),"הוסף איש קשר")</f>
        <v>הוסף איש קשר</v>
      </c>
      <c r="N367" s="4" t="str">
        <f>IFERROR(__xludf.DUMMYFUNCTION("GOOGLETRANSLATE(B367,""en"",""bn"")"),"যোগাযোগের জন্য নাম সংযুক্ত করুন")</f>
        <v>যোগাযোগের জন্য নাম সংযুক্ত করুন</v>
      </c>
      <c r="O367" s="4" t="str">
        <f>IFERROR(__xludf.DUMMYFUNCTION("GOOGLETRANSLATE(B367,""en"",""pt"")"),"Adicionar um contato")</f>
        <v>Adicionar um contato</v>
      </c>
      <c r="P367" s="4"/>
    </row>
    <row r="368">
      <c r="A368" s="28" t="s">
        <v>955</v>
      </c>
      <c r="B368" s="29" t="s">
        <v>956</v>
      </c>
      <c r="C368" s="4" t="str">
        <f>IFERROR(__xludf.DUMMYFUNCTION("GOOGLETRANSLATE(B368,""en"",""hi"")"),"कनेक्शन नाम जोड़ें")</f>
        <v>कनेक्शन नाम जोड़ें</v>
      </c>
      <c r="D368" s="4" t="str">
        <f>IFERROR(__xludf.DUMMYFUNCTION("GOOGLETRANSLATE(B368,""en"",""ar"")"),"إضافة اسم الاتصال")</f>
        <v>إضافة اسم الاتصال</v>
      </c>
      <c r="E368" s="4" t="str">
        <f>IFERROR(__xludf.DUMMYFUNCTION("GOOGLETRANSLATE(B368,""en"",""fr"")"),"Ajouter un nom de connexion")</f>
        <v>Ajouter un nom de connexion</v>
      </c>
      <c r="F368" s="4" t="str">
        <f>IFERROR(__xludf.DUMMYFUNCTION("GOOGLETRANSLATE(B368,""en"",""tr"")"),"Bağlantı Adı Ekle")</f>
        <v>Bağlantı Adı Ekle</v>
      </c>
      <c r="G368" s="4" t="str">
        <f>IFERROR(__xludf.DUMMYFUNCTION("GOOGLETRANSLATE(B368,""en"",""ru"")"),"Добавить имя подключения")</f>
        <v>Добавить имя подключения</v>
      </c>
      <c r="H368" s="4" t="str">
        <f>IFERROR(__xludf.DUMMYFUNCTION("GOOGLETRANSLATE(B368,""en"",""it"")"),"Aggiungi nome connessione")</f>
        <v>Aggiungi nome connessione</v>
      </c>
      <c r="I368" s="4" t="str">
        <f>IFERROR(__xludf.DUMMYFUNCTION("GOOGLETRANSLATE(B368,""en"",""de"")"),"Verbindungsnamen hinzufügen")</f>
        <v>Verbindungsnamen hinzufügen</v>
      </c>
      <c r="J368" s="4" t="str">
        <f>IFERROR(__xludf.DUMMYFUNCTION("GOOGLETRANSLATE(B368,""en"",""ko"")"),"연결 이름 추가")</f>
        <v>연결 이름 추가</v>
      </c>
      <c r="K368" s="4" t="str">
        <f>IFERROR(__xludf.DUMMYFUNCTION("GOOGLETRANSLATE(B368,""en"",""zh"")"),"添加连接名称")</f>
        <v>添加连接名称</v>
      </c>
      <c r="L368" s="4" t="str">
        <f>IFERROR(__xludf.DUMMYFUNCTION("GOOGLETRANSLATE(B368,""en"",""es"")"),"Agregar nombre de conexión")</f>
        <v>Agregar nombre de conexión</v>
      </c>
      <c r="M368" s="4" t="str">
        <f>IFERROR(__xludf.DUMMYFUNCTION("GOOGLETRANSLATE(B368,""en"",""iw"")"),"הוסף שם חיבור")</f>
        <v>הוסף שם חיבור</v>
      </c>
      <c r="N368" s="4" t="str">
        <f>IFERROR(__xludf.DUMMYFUNCTION("GOOGLETRANSLATE(B368,""en"",""bn"")"),"সংযোগের নাম যোগ করুন")</f>
        <v>সংযোগের নাম যোগ করুন</v>
      </c>
      <c r="O368" s="4" t="str">
        <f>IFERROR(__xludf.DUMMYFUNCTION("GOOGLETRANSLATE(B368,""en"",""pt"")"),"Adicionar nome de conexão")</f>
        <v>Adicionar nome de conexão</v>
      </c>
      <c r="P368" s="4"/>
    </row>
    <row r="369">
      <c r="A369" s="30" t="s">
        <v>957</v>
      </c>
      <c r="B369" s="22" t="s">
        <v>958</v>
      </c>
      <c r="C369" s="4" t="str">
        <f>IFERROR(__xludf.DUMMYFUNCTION("GOOGLETRANSLATE(B369,""en"",""hi"")"),"नाम दर्ज करें")</f>
        <v>नाम दर्ज करें</v>
      </c>
      <c r="D369" s="4" t="str">
        <f>IFERROR(__xludf.DUMMYFUNCTION("GOOGLETRANSLATE(B369,""en"",""ar"")"),"أدخل الاسم")</f>
        <v>أدخل الاسم</v>
      </c>
      <c r="E369" s="4" t="str">
        <f>IFERROR(__xludf.DUMMYFUNCTION("GOOGLETRANSLATE(B369,""en"",""fr"")"),"Entrez le nom")</f>
        <v>Entrez le nom</v>
      </c>
      <c r="F369" s="4" t="str">
        <f>IFERROR(__xludf.DUMMYFUNCTION("GOOGLETRANSLATE(B369,""en"",""tr"")"),"Adı Girin")</f>
        <v>Adı Girin</v>
      </c>
      <c r="G369" s="4" t="str">
        <f>IFERROR(__xludf.DUMMYFUNCTION("GOOGLETRANSLATE(B369,""en"",""ru"")"),"Введите имя")</f>
        <v>Введите имя</v>
      </c>
      <c r="H369" s="4" t="str">
        <f>IFERROR(__xludf.DUMMYFUNCTION("GOOGLETRANSLATE(B369,""en"",""it"")"),"Inserisci il nome")</f>
        <v>Inserisci il nome</v>
      </c>
      <c r="I369" s="4" t="str">
        <f>IFERROR(__xludf.DUMMYFUNCTION("GOOGLETRANSLATE(B369,""en"",""de"")"),"Geben Sie den Namen ein")</f>
        <v>Geben Sie den Namen ein</v>
      </c>
      <c r="J369" s="4" t="str">
        <f>IFERROR(__xludf.DUMMYFUNCTION("GOOGLETRANSLATE(B369,""en"",""ko"")"),"이름을 입력하세요")</f>
        <v>이름을 입력하세요</v>
      </c>
      <c r="K369" s="4" t="str">
        <f>IFERROR(__xludf.DUMMYFUNCTION("GOOGLETRANSLATE(B369,""en"",""zh"")"),"输入姓名")</f>
        <v>输入姓名</v>
      </c>
      <c r="L369" s="4" t="str">
        <f>IFERROR(__xludf.DUMMYFUNCTION("GOOGLETRANSLATE(B369,""en"",""es"")"),"Ingrese el nombre")</f>
        <v>Ingrese el nombre</v>
      </c>
      <c r="M369" s="4" t="str">
        <f>IFERROR(__xludf.DUMMYFUNCTION("GOOGLETRANSLATE(B369,""en"",""iw"")"),"הזן את השם")</f>
        <v>הזן את השם</v>
      </c>
      <c r="N369" s="4" t="str">
        <f>IFERROR(__xludf.DUMMYFUNCTION("GOOGLETRANSLATE(B369,""en"",""bn"")"),"নাম লিখুন")</f>
        <v>নাম লিখুন</v>
      </c>
      <c r="O369" s="4" t="str">
        <f>IFERROR(__xludf.DUMMYFUNCTION("GOOGLETRANSLATE(B369,""en"",""pt"")"),"Digite o nome")</f>
        <v>Digite o nome</v>
      </c>
      <c r="P369" s="4"/>
    </row>
    <row r="370">
      <c r="A370" s="30" t="s">
        <v>959</v>
      </c>
      <c r="B370" s="22" t="s">
        <v>960</v>
      </c>
      <c r="C370" s="4" t="str">
        <f>IFERROR(__xludf.DUMMYFUNCTION("GOOGLETRANSLATE(B370,""en"",""hi"")"),"कनेक्शन नंबर जोड़ें")</f>
        <v>कनेक्शन नंबर जोड़ें</v>
      </c>
      <c r="D370" s="4" t="str">
        <f>IFERROR(__xludf.DUMMYFUNCTION("GOOGLETRANSLATE(B370,""en"",""ar"")"),"إضافة رقم الاتصال")</f>
        <v>إضافة رقم الاتصال</v>
      </c>
      <c r="E370" s="4" t="str">
        <f>IFERROR(__xludf.DUMMYFUNCTION("GOOGLETRANSLATE(B370,""en"",""fr"")"),"Ajouter un numéro de connexion")</f>
        <v>Ajouter un numéro de connexion</v>
      </c>
      <c r="F370" s="4" t="str">
        <f>IFERROR(__xludf.DUMMYFUNCTION("GOOGLETRANSLATE(B370,""en"",""tr"")"),"Bağlantı Numarası Ekle")</f>
        <v>Bağlantı Numarası Ekle</v>
      </c>
      <c r="G370" s="4" t="str">
        <f>IFERROR(__xludf.DUMMYFUNCTION("GOOGLETRANSLATE(B370,""en"",""ru"")"),"Добавить номер подключения")</f>
        <v>Добавить номер подключения</v>
      </c>
      <c r="H370" s="4" t="str">
        <f>IFERROR(__xludf.DUMMYFUNCTION("GOOGLETRANSLATE(B370,""en"",""it"")"),"Aggiungi numero di connessione")</f>
        <v>Aggiungi numero di connessione</v>
      </c>
      <c r="I370" s="4" t="str">
        <f>IFERROR(__xludf.DUMMYFUNCTION("GOOGLETRANSLATE(B370,""en"",""de"")"),"Verbindungsnummer hinzufügen")</f>
        <v>Verbindungsnummer hinzufügen</v>
      </c>
      <c r="J370" s="4" t="str">
        <f>IFERROR(__xludf.DUMMYFUNCTION("GOOGLETRANSLATE(B370,""en"",""ko"")"),"연결 번호 추가")</f>
        <v>연결 번호 추가</v>
      </c>
      <c r="K370" s="4" t="str">
        <f>IFERROR(__xludf.DUMMYFUNCTION("GOOGLETRANSLATE(B370,""en"",""zh"")"),"添加连接号码")</f>
        <v>添加连接号码</v>
      </c>
      <c r="L370" s="4" t="str">
        <f>IFERROR(__xludf.DUMMYFUNCTION("GOOGLETRANSLATE(B370,""en"",""es"")"),"Agregar número de conexión")</f>
        <v>Agregar número de conexión</v>
      </c>
      <c r="M370" s="4" t="str">
        <f>IFERROR(__xludf.DUMMYFUNCTION("GOOGLETRANSLATE(B370,""en"",""iw"")"),"הוסף מספר חיבור")</f>
        <v>הוסף מספר חיבור</v>
      </c>
      <c r="N370" s="4" t="str">
        <f>IFERROR(__xludf.DUMMYFUNCTION("GOOGLETRANSLATE(B370,""en"",""bn"")"),"সংযোগ নম্বর যোগ করুন")</f>
        <v>সংযোগ নম্বর যোগ করুন</v>
      </c>
      <c r="O370" s="4" t="str">
        <f>IFERROR(__xludf.DUMMYFUNCTION("GOOGLETRANSLATE(B370,""en"",""pt"")"),"Adicionar número de conexão")</f>
        <v>Adicionar número de conexão</v>
      </c>
      <c r="P370" s="4"/>
    </row>
    <row r="371">
      <c r="A371" s="30" t="s">
        <v>961</v>
      </c>
      <c r="B371" s="31" t="s">
        <v>962</v>
      </c>
      <c r="C371" s="4" t="str">
        <f>IFERROR(__xludf.DUMMYFUNCTION("GOOGLETRANSLATE(B371,""en"",""hi"")"),"फ़ोन नंबर दर्ज करें")</f>
        <v>फ़ोन नंबर दर्ज करें</v>
      </c>
      <c r="D371" s="4" t="str">
        <f>IFERROR(__xludf.DUMMYFUNCTION("GOOGLETRANSLATE(B371,""en"",""ar"")"),"أدخل رقم الهاتف")</f>
        <v>أدخل رقم الهاتف</v>
      </c>
      <c r="E371" s="4" t="str">
        <f>IFERROR(__xludf.DUMMYFUNCTION("GOOGLETRANSLATE(B371,""en"",""fr"")"),"Entrez le numéro de téléphone")</f>
        <v>Entrez le numéro de téléphone</v>
      </c>
      <c r="F371" s="4" t="str">
        <f>IFERROR(__xludf.DUMMYFUNCTION("GOOGLETRANSLATE(B371,""en"",""tr"")"),"Telefon Numarasını Girin")</f>
        <v>Telefon Numarasını Girin</v>
      </c>
      <c r="G371" s="4" t="str">
        <f>IFERROR(__xludf.DUMMYFUNCTION("GOOGLETRANSLATE(B371,""en"",""ru"")"),"Введите номер телефона")</f>
        <v>Введите номер телефона</v>
      </c>
      <c r="H371" s="4" t="str">
        <f>IFERROR(__xludf.DUMMYFUNCTION("GOOGLETRANSLATE(B371,""en"",""it"")"),"Inserisci il numero di telefono")</f>
        <v>Inserisci il numero di telefono</v>
      </c>
      <c r="I371" s="4" t="str">
        <f>IFERROR(__xludf.DUMMYFUNCTION("GOOGLETRANSLATE(B371,""en"",""de"")"),"Geben Sie die Telefonnummer ein")</f>
        <v>Geben Sie die Telefonnummer ein</v>
      </c>
      <c r="J371" s="4" t="str">
        <f>IFERROR(__xludf.DUMMYFUNCTION("GOOGLETRANSLATE(B371,""en"",""ko"")"),"전화번호를 입력하세요")</f>
        <v>전화번호를 입력하세요</v>
      </c>
      <c r="K371" s="4" t="str">
        <f>IFERROR(__xludf.DUMMYFUNCTION("GOOGLETRANSLATE(B371,""en"",""zh"")"),"输入电话号码")</f>
        <v>输入电话号码</v>
      </c>
      <c r="L371" s="4" t="str">
        <f>IFERROR(__xludf.DUMMYFUNCTION("GOOGLETRANSLATE(B371,""en"",""es"")"),"Ingrese el número de teléfono")</f>
        <v>Ingrese el número de teléfono</v>
      </c>
      <c r="M371" s="4" t="str">
        <f>IFERROR(__xludf.DUMMYFUNCTION("GOOGLETRANSLATE(B371,""en"",""iw"")"),"הזן את מספר הטלפון")</f>
        <v>הזן את מספר הטלפון</v>
      </c>
      <c r="N371" s="4" t="str">
        <f>IFERROR(__xludf.DUMMYFUNCTION("GOOGLETRANSLATE(B371,""en"",""bn"")"),"ফোন নম্বর লিখুন")</f>
        <v>ফোন নম্বর লিখুন</v>
      </c>
      <c r="O371" s="4" t="str">
        <f>IFERROR(__xludf.DUMMYFUNCTION("GOOGLETRANSLATE(B371,""en"",""pt"")"),"Digite o número de telefone")</f>
        <v>Digite o número de telefone</v>
      </c>
      <c r="P371" s="4"/>
    </row>
    <row r="372">
      <c r="A372" s="30" t="s">
        <v>963</v>
      </c>
      <c r="B372" s="31" t="s">
        <v>964</v>
      </c>
      <c r="C372" s="4" t="str">
        <f>IFERROR(__xludf.DUMMYFUNCTION("GOOGLETRANSLATE(B372,""en"",""hi"")"),"मदद")</f>
        <v>मदद</v>
      </c>
      <c r="D372" s="4" t="str">
        <f>IFERROR(__xludf.DUMMYFUNCTION("GOOGLETRANSLATE(B372,""en"",""ar"")"),"يساعد")</f>
        <v>يساعد</v>
      </c>
      <c r="E372" s="4" t="str">
        <f>IFERROR(__xludf.DUMMYFUNCTION("GOOGLETRANSLATE(B372,""en"",""fr"")"),"Aide")</f>
        <v>Aide</v>
      </c>
      <c r="F372" s="4" t="str">
        <f>IFERROR(__xludf.DUMMYFUNCTION("GOOGLETRANSLATE(B372,""en"",""tr"")"),"Yardım")</f>
        <v>Yardım</v>
      </c>
      <c r="G372" s="4" t="str">
        <f>IFERROR(__xludf.DUMMYFUNCTION("GOOGLETRANSLATE(B372,""en"",""ru"")"),"Помощь")</f>
        <v>Помощь</v>
      </c>
      <c r="H372" s="4" t="str">
        <f>IFERROR(__xludf.DUMMYFUNCTION("GOOGLETRANSLATE(B372,""en"",""it"")"),"Aiuto")</f>
        <v>Aiuto</v>
      </c>
      <c r="I372" s="4" t="str">
        <f>IFERROR(__xludf.DUMMYFUNCTION("GOOGLETRANSLATE(B372,""en"",""de"")"),"Helfen")</f>
        <v>Helfen</v>
      </c>
      <c r="J372" s="4" t="str">
        <f>IFERROR(__xludf.DUMMYFUNCTION("GOOGLETRANSLATE(B372,""en"",""ko"")"),"돕다")</f>
        <v>돕다</v>
      </c>
      <c r="K372" s="4" t="str">
        <f>IFERROR(__xludf.DUMMYFUNCTION("GOOGLETRANSLATE(B372,""en"",""zh"")"),"帮助")</f>
        <v>帮助</v>
      </c>
      <c r="L372" s="4" t="str">
        <f>IFERROR(__xludf.DUMMYFUNCTION("GOOGLETRANSLATE(B372,""en"",""es"")"),"Ayuda")</f>
        <v>Ayuda</v>
      </c>
      <c r="M372" s="4" t="str">
        <f>IFERROR(__xludf.DUMMYFUNCTION("GOOGLETRANSLATE(B372,""en"",""iw"")"),"עֶזרָה")</f>
        <v>עֶזרָה</v>
      </c>
      <c r="N372" s="4" t="str">
        <f>IFERROR(__xludf.DUMMYFUNCTION("GOOGLETRANSLATE(B372,""en"",""bn"")"),"সাহায্য")</f>
        <v>সাহায্য</v>
      </c>
      <c r="O372" s="4" t="str">
        <f>IFERROR(__xludf.DUMMYFUNCTION("GOOGLETRANSLATE(B372,""en"",""pt"")"),"Ajuda")</f>
        <v>Ajuda</v>
      </c>
      <c r="P372" s="4"/>
    </row>
    <row r="373">
      <c r="A373" s="30" t="s">
        <v>965</v>
      </c>
      <c r="B373" s="22" t="s">
        <v>966</v>
      </c>
      <c r="C373" s="4" t="str">
        <f>IFERROR(__xludf.DUMMYFUNCTION("GOOGLETRANSLATE(B373,""en"",""hi"")"),"आप हमसे संपर्क कर सकते हैं")</f>
        <v>आप हमसे संपर्क कर सकते हैं</v>
      </c>
      <c r="D373" s="4" t="str">
        <f>IFERROR(__xludf.DUMMYFUNCTION("GOOGLETRANSLATE(B373,""en"",""ar"")"),"يمكنك الاتصال بنا")</f>
        <v>يمكنك الاتصال بنا</v>
      </c>
      <c r="E373" s="4" t="str">
        <f>IFERROR(__xludf.DUMMYFUNCTION("GOOGLETRANSLATE(B373,""en"",""fr"")"),"Vous pouvez nous contacter")</f>
        <v>Vous pouvez nous contacter</v>
      </c>
      <c r="F373" s="4" t="str">
        <f>IFERROR(__xludf.DUMMYFUNCTION("GOOGLETRANSLATE(B373,""en"",""tr"")"),"Bize Ulaşabilirsiniz")</f>
        <v>Bize Ulaşabilirsiniz</v>
      </c>
      <c r="G373" s="4" t="str">
        <f>IFERROR(__xludf.DUMMYFUNCTION("GOOGLETRANSLATE(B373,""en"",""ru"")"),"Вы можете связаться с нами")</f>
        <v>Вы можете связаться с нами</v>
      </c>
      <c r="H373" s="4" t="str">
        <f>IFERROR(__xludf.DUMMYFUNCTION("GOOGLETRANSLATE(B373,""en"",""it"")"),"Puoi contattarci")</f>
        <v>Puoi contattarci</v>
      </c>
      <c r="I373" s="4" t="str">
        <f>IFERROR(__xludf.DUMMYFUNCTION("GOOGLETRANSLATE(B373,""en"",""de"")"),"Sie können uns kontaktieren")</f>
        <v>Sie können uns kontaktieren</v>
      </c>
      <c r="J373" s="4" t="str">
        <f>IFERROR(__xludf.DUMMYFUNCTION("GOOGLETRANSLATE(B373,""en"",""ko"")"),"저희에게 연락하실 수 있습니다")</f>
        <v>저희에게 연락하실 수 있습니다</v>
      </c>
      <c r="K373" s="4" t="str">
        <f>IFERROR(__xludf.DUMMYFUNCTION("GOOGLETRANSLATE(B373,""en"",""zh"")"),"您可以联系我们")</f>
        <v>您可以联系我们</v>
      </c>
      <c r="L373" s="4" t="str">
        <f>IFERROR(__xludf.DUMMYFUNCTION("GOOGLETRANSLATE(B373,""en"",""es"")"),"Puedes contactarnos")</f>
        <v>Puedes contactarnos</v>
      </c>
      <c r="M373" s="4" t="str">
        <f>IFERROR(__xludf.DUMMYFUNCTION("GOOGLETRANSLATE(B373,""en"",""iw"")"),"אתה יכול לפנות אלינו")</f>
        <v>אתה יכול לפנות אלינו</v>
      </c>
      <c r="N373" s="4" t="str">
        <f>IFERROR(__xludf.DUMMYFUNCTION("GOOGLETRANSLATE(B373,""en"",""bn"")"),"আপনি আমাদের সাথে যোগাযোগ করতে পারেন")</f>
        <v>আপনি আমাদের সাথে যোগাযোগ করতে পারেন</v>
      </c>
      <c r="O373" s="4" t="str">
        <f>IFERROR(__xludf.DUMMYFUNCTION("GOOGLETRANSLATE(B373,""en"",""pt"")"),"Você pode entrar em contato conosco")</f>
        <v>Você pode entrar em contato conosco</v>
      </c>
      <c r="P373" s="4"/>
    </row>
    <row r="374">
      <c r="A374" s="30" t="s">
        <v>967</v>
      </c>
      <c r="B374" s="31" t="s">
        <v>968</v>
      </c>
      <c r="C374" s="4" t="str">
        <f>IFERROR(__xludf.DUMMYFUNCTION("GOOGLETRANSLATE(B374,""en"",""hi"")"),"आपका मोबाइल नंबर क्या हे ?")</f>
        <v>आपका मोबाइल नंबर क्या हे ?</v>
      </c>
      <c r="D374" s="4" t="str">
        <f>IFERROR(__xludf.DUMMYFUNCTION("GOOGLETRANSLATE(B374,""en"",""ar"")"),"ما هو رقم هاتفك المحمول؟")</f>
        <v>ما هو رقم هاتفك المحمول؟</v>
      </c>
      <c r="E374" s="4" t="str">
        <f>IFERROR(__xludf.DUMMYFUNCTION("GOOGLETRANSLATE(B374,""en"",""fr"")"),"Quel est ton numéro de portable ?")</f>
        <v>Quel est ton numéro de portable ?</v>
      </c>
      <c r="F374" s="4" t="str">
        <f>IFERROR(__xludf.DUMMYFUNCTION("GOOGLETRANSLATE(B374,""en"",""tr"")"),"Cep numaranız nedir?")</f>
        <v>Cep numaranız nedir?</v>
      </c>
      <c r="G374" s="4" t="str">
        <f>IFERROR(__xludf.DUMMYFUNCTION("GOOGLETRANSLATE(B374,""en"",""ru"")"),"Какой у тебя номер мобильного ?")</f>
        <v>Какой у тебя номер мобильного ?</v>
      </c>
      <c r="H374" s="4" t="str">
        <f>IFERROR(__xludf.DUMMYFUNCTION("GOOGLETRANSLATE(B374,""en"",""it"")"),"Qual è il tuo numero di cellulare ?")</f>
        <v>Qual è il tuo numero di cellulare ?</v>
      </c>
      <c r="I374" s="4" t="str">
        <f>IFERROR(__xludf.DUMMYFUNCTION("GOOGLETRANSLATE(B374,""en"",""de"")"),"Was ist deine Handynummer ?")</f>
        <v>Was ist deine Handynummer ?</v>
      </c>
      <c r="J374" s="4" t="str">
        <f>IFERROR(__xludf.DUMMYFUNCTION("GOOGLETRANSLATE(B374,""en"",""ko"")"),"당신의 휴대폰 번호는 무엇입니까?")</f>
        <v>당신의 휴대폰 번호는 무엇입니까?</v>
      </c>
      <c r="K374" s="4" t="str">
        <f>IFERROR(__xludf.DUMMYFUNCTION("GOOGLETRANSLATE(B374,""en"",""zh"")"),"你手机号码多少 ？")</f>
        <v>你手机号码多少 ？</v>
      </c>
      <c r="L374" s="4" t="str">
        <f>IFERROR(__xludf.DUMMYFUNCTION("GOOGLETRANSLATE(B374,""en"",""es"")"),"Cual es tu numero de móvil ?")</f>
        <v>Cual es tu numero de móvil ?</v>
      </c>
      <c r="M374" s="4" t="str">
        <f>IFERROR(__xludf.DUMMYFUNCTION("GOOGLETRANSLATE(B374,""en"",""iw"")"),"מה מספר הנייד שלך?")</f>
        <v>מה מספר הנייד שלך?</v>
      </c>
      <c r="N374" s="4" t="str">
        <f>IFERROR(__xludf.DUMMYFUNCTION("GOOGLETRANSLATE(B374,""en"",""bn"")"),"আপনার মোবাইল নম্বর কি?")</f>
        <v>আপনার মোবাইল নম্বর কি?</v>
      </c>
      <c r="O374" s="4" t="str">
        <f>IFERROR(__xludf.DUMMYFUNCTION("GOOGLETRANSLATE(B374,""en"",""pt"")"),"Qual é o seu número de celular?")</f>
        <v>Qual é o seu número de celular?</v>
      </c>
      <c r="P374" s="4"/>
    </row>
    <row r="375">
      <c r="A375" s="32" t="s">
        <v>969</v>
      </c>
      <c r="B375" s="31" t="s">
        <v>970</v>
      </c>
      <c r="C375" s="4" t="str">
        <f>IFERROR(__xludf.DUMMYFUNCTION("GOOGLETRANSLATE(B375,""en"",""hi"")"),"वेरिफिकेशन के लिए आपको एक एसएमएस मिलेगा")</f>
        <v>वेरिफिकेशन के लिए आपको एक एसएमएस मिलेगा</v>
      </c>
      <c r="D375" s="4" t="str">
        <f>IFERROR(__xludf.DUMMYFUNCTION("GOOGLETRANSLATE(B375,""en"",""ar"")"),"سوف تحصل على رسالة نصية قصيرة للتحقق")</f>
        <v>سوف تحصل على رسالة نصية قصيرة للتحقق</v>
      </c>
      <c r="E375" s="4" t="str">
        <f>IFERROR(__xludf.DUMMYFUNCTION("GOOGLETRANSLATE(B375,""en"",""fr"")"),"Vous recevrez un sms pour vérification")</f>
        <v>Vous recevrez un sms pour vérification</v>
      </c>
      <c r="F375" s="4" t="str">
        <f>IFERROR(__xludf.DUMMYFUNCTION("GOOGLETRANSLATE(B375,""en"",""tr"")"),"Doğrulama için bir SMS alacaksınız")</f>
        <v>Doğrulama için bir SMS alacaksınız</v>
      </c>
      <c r="G375" s="4" t="str">
        <f>IFERROR(__xludf.DUMMYFUNCTION("GOOGLETRANSLATE(B375,""en"",""ru"")"),"Вам придет смс для подтверждения")</f>
        <v>Вам придет смс для подтверждения</v>
      </c>
      <c r="H375" s="4" t="str">
        <f>IFERROR(__xludf.DUMMYFUNCTION("GOOGLETRANSLATE(B375,""en"",""it"")"),"Riceverai un sms per la verifica")</f>
        <v>Riceverai un sms per la verifica</v>
      </c>
      <c r="I375" s="4" t="str">
        <f>IFERROR(__xludf.DUMMYFUNCTION("GOOGLETRANSLATE(B375,""en"",""de"")"),"Sie erhalten eine SMS zur Verifizierung")</f>
        <v>Sie erhalten eine SMS zur Verifizierung</v>
      </c>
      <c r="J375" s="4" t="str">
        <f>IFERROR(__xludf.DUMMYFUNCTION("GOOGLETRANSLATE(B375,""en"",""ko"")"),"확인을 위한 SMS를 받게 됩니다.")</f>
        <v>확인을 위한 SMS를 받게 됩니다.</v>
      </c>
      <c r="K375" s="4" t="str">
        <f>IFERROR(__xludf.DUMMYFUNCTION("GOOGLETRANSLATE(B375,""en"",""zh"")"),"您将收到一条短信进行验证")</f>
        <v>您将收到一条短信进行验证</v>
      </c>
      <c r="L375" s="4" t="str">
        <f>IFERROR(__xludf.DUMMYFUNCTION("GOOGLETRANSLATE(B375,""en"",""es"")"),"Recibirás un sms de verificación")</f>
        <v>Recibirás un sms de verificación</v>
      </c>
      <c r="M375" s="4" t="str">
        <f>IFERROR(__xludf.DUMMYFUNCTION("GOOGLETRANSLATE(B375,""en"",""iw"")"),"תקבל הודעת SMS לאימות")</f>
        <v>תקבל הודעת SMS לאימות</v>
      </c>
      <c r="N375" s="4" t="str">
        <f>IFERROR(__xludf.DUMMYFUNCTION("GOOGLETRANSLATE(B375,""en"",""bn"")"),"আপনি ভেরিফিকেশনের জন্য একটি এসএমএস পাবেন")</f>
        <v>আপনি ভেরিফিকেশনের জন্য একটি এসএমএস পাবেন</v>
      </c>
      <c r="O375" s="4" t="str">
        <f>IFERROR(__xludf.DUMMYFUNCTION("GOOGLETRANSLATE(B375,""en"",""pt"")"),"Você receberá um sms para verificação")</f>
        <v>Você receberá um sms para verificação</v>
      </c>
      <c r="P375" s="4"/>
    </row>
    <row r="376">
      <c r="A376" s="30" t="s">
        <v>971</v>
      </c>
      <c r="B376" s="31" t="s">
        <v>972</v>
      </c>
      <c r="C376" s="4" t="str">
        <f>IFERROR(__xludf.DUMMYFUNCTION("GOOGLETRANSLATE(B376,""en"",""hi"")"),"आपको भेजा गया ओटीपी नंबर यहां दर्ज करें")</f>
        <v>आपको भेजा गया ओटीपी नंबर यहां दर्ज करें</v>
      </c>
      <c r="D376" s="4" t="str">
        <f>IFERROR(__xludf.DUMMYFUNCTION("GOOGLETRANSLATE(B376,""en"",""ar"")"),"أدخل رقم OTP المرسل إليك على")</f>
        <v>أدخل رقم OTP المرسل إليك على</v>
      </c>
      <c r="E376" s="4" t="str">
        <f>IFERROR(__xludf.DUMMYFUNCTION("GOOGLETRANSLATE(B376,""en"",""fr"")"),"Entrez le numéro OTP qui vous a été envoyé à")</f>
        <v>Entrez le numéro OTP qui vous a été envoyé à</v>
      </c>
      <c r="F376" s="4" t="str">
        <f>IFERROR(__xludf.DUMMYFUNCTION("GOOGLETRANSLATE(B376,""en"",""tr"")"),"Size gönderilen OTP numarasını girin")</f>
        <v>Size gönderilen OTP numarasını girin</v>
      </c>
      <c r="G376" s="4" t="str">
        <f>IFERROR(__xludf.DUMMYFUNCTION("GOOGLETRANSLATE(B376,""en"",""ru"")"),"Введите номер OTP, отправленный вам по адресу")</f>
        <v>Введите номер OTP, отправленный вам по адресу</v>
      </c>
      <c r="H376" s="4" t="str">
        <f>IFERROR(__xludf.DUMMYFUNCTION("GOOGLETRANSLATE(B376,""en"",""it"")"),"Inserisci il numero OTP che ti è stato inviato a")</f>
        <v>Inserisci il numero OTP che ti è stato inviato a</v>
      </c>
      <c r="I376" s="4" t="str">
        <f>IFERROR(__xludf.DUMMYFUNCTION("GOOGLETRANSLATE(B376,""en"",""de"")"),"Geben Sie die OTP-Nummer ein, die Ihnen unter gesendet wurde")</f>
        <v>Geben Sie die OTP-Nummer ein, die Ihnen unter gesendet wurde</v>
      </c>
      <c r="J376" s="4" t="str">
        <f>IFERROR(__xludf.DUMMYFUNCTION("GOOGLETRANSLATE(B376,""en"",""ko"")"),"에서 전송된 OTP 번호를 입력하세요.")</f>
        <v>에서 전송된 OTP 번호를 입력하세요.</v>
      </c>
      <c r="K376" s="4" t="str">
        <f>IFERROR(__xludf.DUMMYFUNCTION("GOOGLETRANSLATE(B376,""en"",""zh"")"),"输入发送给您的 OTP 号码")</f>
        <v>输入发送给您的 OTP 号码</v>
      </c>
      <c r="L376" s="4" t="str">
        <f>IFERROR(__xludf.DUMMYFUNCTION("GOOGLETRANSLATE(B376,""en"",""es"")"),"Ingrese el número OTP que se le envió a")</f>
        <v>Ingrese el número OTP que se le envió a</v>
      </c>
      <c r="M376" s="4" t="str">
        <f>IFERROR(__xludf.DUMMYFUNCTION("GOOGLETRANSLATE(B376,""en"",""iw"")"),"הזן את מספר ה-OTP שנשלח אליך בכתובת")</f>
        <v>הזן את מספר ה-OTP שנשלח אליך בכתובת</v>
      </c>
      <c r="N376" s="4" t="str">
        <f>IFERROR(__xludf.DUMMYFUNCTION("GOOGLETRANSLATE(B376,""en"",""bn"")"),"আপনার কাছে পাঠানো ওটিপি নম্বরটি লিখুন")</f>
        <v>আপনার কাছে পাঠানো ওটিপি নম্বরটি লিখুন</v>
      </c>
      <c r="O376" s="4" t="str">
        <f>IFERROR(__xludf.DUMMYFUNCTION("GOOGLETRANSLATE(B376,""en"",""pt"")"),"Digite o número OTP enviado para você em")</f>
        <v>Digite o número OTP enviado para você em</v>
      </c>
      <c r="P376" s="4"/>
    </row>
    <row r="377">
      <c r="A377" s="30" t="s">
        <v>973</v>
      </c>
      <c r="B377" s="31" t="s">
        <v>974</v>
      </c>
      <c r="C377" s="4" t="str">
        <f>IFERROR(__xludf.DUMMYFUNCTION("GOOGLETRANSLATE(B377,""en"",""hi"")"),"तुम्हारा नाम क्या है?")</f>
        <v>तुम्हारा नाम क्या है?</v>
      </c>
      <c r="D377" s="4" t="str">
        <f>IFERROR(__xludf.DUMMYFUNCTION("GOOGLETRANSLATE(B377,""en"",""ar"")"),"ما اسمك؟")</f>
        <v>ما اسمك؟</v>
      </c>
      <c r="E377" s="4" t="str">
        <f>IFERROR(__xludf.DUMMYFUNCTION("GOOGLETRANSLATE(B377,""en"",""fr"")"),"quel est ton nom?")</f>
        <v>quel est ton nom?</v>
      </c>
      <c r="F377" s="4" t="str">
        <f>IFERROR(__xludf.DUMMYFUNCTION("GOOGLETRANSLATE(B377,""en"",""tr"")"),"adınız ne?")</f>
        <v>adınız ne?</v>
      </c>
      <c r="G377" s="4" t="str">
        <f>IFERROR(__xludf.DUMMYFUNCTION("GOOGLETRANSLATE(B377,""en"",""ru"")"),"как тебя зовут?")</f>
        <v>как тебя зовут?</v>
      </c>
      <c r="H377" s="4" t="str">
        <f>IFERROR(__xludf.DUMMYFUNCTION("GOOGLETRANSLATE(B377,""en"",""it"")"),"come ti chiami?")</f>
        <v>come ti chiami?</v>
      </c>
      <c r="I377" s="4" t="str">
        <f>IFERROR(__xludf.DUMMYFUNCTION("GOOGLETRANSLATE(B377,""en"",""de"")"),"Wie heißen Sie?")</f>
        <v>Wie heißen Sie?</v>
      </c>
      <c r="J377" s="4" t="str">
        <f>IFERROR(__xludf.DUMMYFUNCTION("GOOGLETRANSLATE(B377,""en"",""ko"")"),"이름이 뭐에요?")</f>
        <v>이름이 뭐에요?</v>
      </c>
      <c r="K377" s="4" t="str">
        <f>IFERROR(__xludf.DUMMYFUNCTION("GOOGLETRANSLATE(B377,""en"",""zh"")"),"你叫什么名字？")</f>
        <v>你叫什么名字？</v>
      </c>
      <c r="L377" s="4" t="str">
        <f>IFERROR(__xludf.DUMMYFUNCTION("GOOGLETRANSLATE(B377,""en"",""es"")"),"¿cómo te llamas?")</f>
        <v>¿cómo te llamas?</v>
      </c>
      <c r="M377" s="4" t="str">
        <f>IFERROR(__xludf.DUMMYFUNCTION("GOOGLETRANSLATE(B377,""en"",""iw"")"),"מה שמך?")</f>
        <v>מה שמך?</v>
      </c>
      <c r="N377" s="4" t="str">
        <f>IFERROR(__xludf.DUMMYFUNCTION("GOOGLETRANSLATE(B377,""en"",""bn"")"),"তোমার নাম কি?")</f>
        <v>তোমার নাম কি?</v>
      </c>
      <c r="O377" s="4" t="str">
        <f>IFERROR(__xludf.DUMMYFUNCTION("GOOGLETRANSLATE(B377,""en"",""pt"")"),"qual o seu nome?")</f>
        <v>qual o seu nome?</v>
      </c>
      <c r="P377" s="4"/>
    </row>
    <row r="378">
      <c r="A378" s="33" t="s">
        <v>975</v>
      </c>
      <c r="B378" s="34" t="s">
        <v>976</v>
      </c>
      <c r="C378" s="4" t="str">
        <f>IFERROR(__xludf.DUMMYFUNCTION("GOOGLETRANSLATE(B378,""en"",""hi"")"),"हमें बताएं कि हम संभवतः आपको कैसे संबोधित करेंगे")</f>
        <v>हमें बताएं कि हम संभवतः आपको कैसे संबोधित करेंगे</v>
      </c>
      <c r="D378" s="4" t="str">
        <f>IFERROR(__xludf.DUMMYFUNCTION("GOOGLETRANSLATE(B378,""en"",""ar"")"),"اسمحوا لنا أن نعرف كيف نعرف ربما نخاطبك")</f>
        <v>اسمحوا لنا أن نعرف كيف نعرف ربما نخاطبك</v>
      </c>
      <c r="E378" s="4" t="str">
        <f>IFERROR(__xludf.DUMMYFUNCTION("GOOGLETRANSLATE(B378,""en"",""fr"")"),"Faites-nous savoir comment nous savons que vous vous adressez probablement")</f>
        <v>Faites-nous savoir comment nous savons que vous vous adressez probablement</v>
      </c>
      <c r="F378" s="4" t="str">
        <f>IFERROR(__xludf.DUMMYFUNCTION("GOOGLETRANSLATE(B378,""en"",""tr"")"),"Size nasıl hitap edebileceğimizi bize bildirin")</f>
        <v>Size nasıl hitap edebileceğimizi bize bildirin</v>
      </c>
      <c r="G378" s="4" t="str">
        <f>IFERROR(__xludf.DUMMYFUNCTION("GOOGLETRANSLATE(B378,""en"",""ru"")"),"Дайте нам знать, откуда мы знаем, что, возможно, обратимся к вам")</f>
        <v>Дайте нам знать, откуда мы знаем, что, возможно, обратимся к вам</v>
      </c>
      <c r="H378" s="4" t="str">
        <f>IFERROR(__xludf.DUMMYFUNCTION("GOOGLETRANSLATE(B378,""en"",""it"")"),"Facci sapere come sappiamo che probabilmente ti rivolgeremo")</f>
        <v>Facci sapere come sappiamo che probabilmente ti rivolgeremo</v>
      </c>
      <c r="I378" s="4" t="str">
        <f>IFERROR(__xludf.DUMMYFUNCTION("GOOGLETRANSLATE(B378,""en"",""de"")"),"Teilen Sie uns mit, wie wir Sie wahrscheinlich ansprechen können")</f>
        <v>Teilen Sie uns mit, wie wir Sie wahrscheinlich ansprechen können</v>
      </c>
      <c r="J378" s="4" t="str">
        <f>IFERROR(__xludf.DUMMYFUNCTION("GOOGLETRANSLATE(B378,""en"",""ko"")"),"귀하에게 주소를 지정할 수 있는 방법을 알려주세요.")</f>
        <v>귀하에게 주소를 지정할 수 있는 방법을 알려주세요.</v>
      </c>
      <c r="K378" s="4" t="str">
        <f>IFERROR(__xludf.DUMMYFUNCTION("GOOGLETRANSLATE(B378,""en"",""zh"")"),"让我们知道我们如何知道可能会联系您")</f>
        <v>让我们知道我们如何知道可能会联系您</v>
      </c>
      <c r="L378" s="4" t="str">
        <f>IFERROR(__xludf.DUMMYFUNCTION("GOOGLETRANSLATE(B378,""en"",""es"")"),"Háganos saber cómo sabemos que probablemente nos dirigiremos a usted.")</f>
        <v>Háganos saber cómo sabemos que probablemente nos dirigiremos a usted.</v>
      </c>
      <c r="M378" s="4" t="str">
        <f>IFERROR(__xludf.DUMMYFUNCTION("GOOGLETRANSLATE(B378,""en"",""iw"")"),"ספר לנו איך אנחנו יודעים כנראה לפנות אליך")</f>
        <v>ספר לנו איך אנחנו יודעים כנראה לפנות אליך</v>
      </c>
      <c r="N378" s="4" t="str">
        <f>IFERROR(__xludf.DUMMYFUNCTION("GOOGLETRANSLATE(B378,""en"",""bn"")"),"আমরা জানি কিভাবে আমরা সম্ভবত আপনি সম্বোধন জানি")</f>
        <v>আমরা জানি কিভাবে আমরা সম্ভবত আপনি সম্বোধন জানি</v>
      </c>
      <c r="O378" s="4" t="str">
        <f>IFERROR(__xludf.DUMMYFUNCTION("GOOGLETRANSLATE(B378,""en"",""pt"")"),"Deixe-nos saber como provavelmente nos dirigimos a você")</f>
        <v>Deixe-nos saber como provavelmente nos dirigimos a você</v>
      </c>
      <c r="P378" s="4"/>
    </row>
    <row r="379">
      <c r="A379" s="7" t="s">
        <v>977</v>
      </c>
      <c r="B379" s="34" t="s">
        <v>978</v>
      </c>
      <c r="C379" s="4" t="str">
        <f>IFERROR(__xludf.DUMMYFUNCTION("GOOGLETRANSLATE(B379,""en"",""hi"")"),"प्रथम नाम दर्ज करें")</f>
        <v>प्रथम नाम दर्ज करें</v>
      </c>
      <c r="D379" s="4" t="str">
        <f>IFERROR(__xludf.DUMMYFUNCTION("GOOGLETRANSLATE(B379,""en"",""ar"")"),"أدخل الاسم الأول")</f>
        <v>أدخل الاسم الأول</v>
      </c>
      <c r="E379" s="4" t="str">
        <f>IFERROR(__xludf.DUMMYFUNCTION("GOOGLETRANSLATE(B379,""en"",""fr"")"),"Entrez votre prénom")</f>
        <v>Entrez votre prénom</v>
      </c>
      <c r="F379" s="4" t="str">
        <f>IFERROR(__xludf.DUMMYFUNCTION("GOOGLETRANSLATE(B379,""en"",""tr"")"),"Adını Girin")</f>
        <v>Adını Girin</v>
      </c>
      <c r="G379" s="4" t="str">
        <f>IFERROR(__xludf.DUMMYFUNCTION("GOOGLETRANSLATE(B379,""en"",""ru"")"),"Введите имя")</f>
        <v>Введите имя</v>
      </c>
      <c r="H379" s="4" t="str">
        <f>IFERROR(__xludf.DUMMYFUNCTION("GOOGLETRANSLATE(B379,""en"",""it"")"),"Inserisci il nome")</f>
        <v>Inserisci il nome</v>
      </c>
      <c r="I379" s="4" t="str">
        <f>IFERROR(__xludf.DUMMYFUNCTION("GOOGLETRANSLATE(B379,""en"",""de"")"),"Bitte Vornamen eingeben")</f>
        <v>Bitte Vornamen eingeben</v>
      </c>
      <c r="J379" s="4" t="str">
        <f>IFERROR(__xludf.DUMMYFUNCTION("GOOGLETRANSLATE(B379,""en"",""ko"")"),"이름을 입력하세요")</f>
        <v>이름을 입력하세요</v>
      </c>
      <c r="K379" s="4" t="str">
        <f>IFERROR(__xludf.DUMMYFUNCTION("GOOGLETRANSLATE(B379,""en"",""zh"")"),"输入名字")</f>
        <v>输入名字</v>
      </c>
      <c r="L379" s="4" t="str">
        <f>IFERROR(__xludf.DUMMYFUNCTION("GOOGLETRANSLATE(B379,""en"",""es"")"),"Introduzca el nombre")</f>
        <v>Introduzca el nombre</v>
      </c>
      <c r="M379" s="4" t="str">
        <f>IFERROR(__xludf.DUMMYFUNCTION("GOOGLETRANSLATE(B379,""en"",""iw"")"),"הזן שם פרטי")</f>
        <v>הזן שם פרטי</v>
      </c>
      <c r="N379" s="4" t="str">
        <f>IFERROR(__xludf.DUMMYFUNCTION("GOOGLETRANSLATE(B379,""en"",""bn"")"),"প্রথম নাম লিখুন")</f>
        <v>প্রথম নাম লিখুন</v>
      </c>
      <c r="O379" s="4" t="str">
        <f>IFERROR(__xludf.DUMMYFUNCTION("GOOGLETRANSLATE(B379,""en"",""pt"")"),"Introduza o primeiro nome")</f>
        <v>Introduza o primeiro nome</v>
      </c>
      <c r="P379" s="4"/>
    </row>
    <row r="380">
      <c r="A380" s="35" t="s">
        <v>979</v>
      </c>
      <c r="B380" s="34" t="s">
        <v>980</v>
      </c>
      <c r="C380" s="4" t="str">
        <f>IFERROR(__xludf.DUMMYFUNCTION("GOOGLETRANSLATE(B380,""en"",""hi"")"),"अंतिम नाम दर्ज करो")</f>
        <v>अंतिम नाम दर्ज करो</v>
      </c>
      <c r="D380" s="4" t="str">
        <f>IFERROR(__xludf.DUMMYFUNCTION("GOOGLETRANSLATE(B380,""en"",""ar"")"),"إدخال اسم آخر")</f>
        <v>إدخال اسم آخر</v>
      </c>
      <c r="E380" s="4" t="str">
        <f>IFERROR(__xludf.DUMMYFUNCTION("GOOGLETRANSLATE(B380,""en"",""fr"")"),"Entrer le nom de famille")</f>
        <v>Entrer le nom de famille</v>
      </c>
      <c r="F380" s="4" t="str">
        <f>IFERROR(__xludf.DUMMYFUNCTION("GOOGLETRANSLATE(B380,""en"",""tr"")"),"Soy adını gir")</f>
        <v>Soy adını gir</v>
      </c>
      <c r="G380" s="4" t="str">
        <f>IFERROR(__xludf.DUMMYFUNCTION("GOOGLETRANSLATE(B380,""en"",""ru"")"),"Введите фамилию")</f>
        <v>Введите фамилию</v>
      </c>
      <c r="H380" s="4" t="str">
        <f>IFERROR(__xludf.DUMMYFUNCTION("GOOGLETRANSLATE(B380,""en"",""it"")"),"Inserisci il cognome")</f>
        <v>Inserisci il cognome</v>
      </c>
      <c r="I380" s="4" t="str">
        <f>IFERROR(__xludf.DUMMYFUNCTION("GOOGLETRANSLATE(B380,""en"",""de"")"),"Nachnamen eingeben")</f>
        <v>Nachnamen eingeben</v>
      </c>
      <c r="J380" s="4" t="str">
        <f>IFERROR(__xludf.DUMMYFUNCTION("GOOGLETRANSLATE(B380,""en"",""ko"")"),"성을 입력하세요")</f>
        <v>성을 입력하세요</v>
      </c>
      <c r="K380" s="4" t="str">
        <f>IFERROR(__xludf.DUMMYFUNCTION("GOOGLETRANSLATE(B380,""en"",""zh"")"),"输入姓氏")</f>
        <v>输入姓氏</v>
      </c>
      <c r="L380" s="4" t="str">
        <f>IFERROR(__xludf.DUMMYFUNCTION("GOOGLETRANSLATE(B380,""en"",""es"")"),"Introduzca el apellido")</f>
        <v>Introduzca el apellido</v>
      </c>
      <c r="M380" s="4" t="str">
        <f>IFERROR(__xludf.DUMMYFUNCTION("GOOGLETRANSLATE(B380,""en"",""iw"")"),"הזן שם משפחה")</f>
        <v>הזן שם משפחה</v>
      </c>
      <c r="N380" s="4" t="str">
        <f>IFERROR(__xludf.DUMMYFUNCTION("GOOGLETRANSLATE(B380,""en"",""bn"")"),"শেষ নাম লিখুন")</f>
        <v>শেষ নাম লিখুন</v>
      </c>
      <c r="O380" s="4" t="str">
        <f>IFERROR(__xludf.DUMMYFUNCTION("GOOGLETRANSLATE(B380,""en"",""pt"")"),"Insira o último nome")</f>
        <v>Insira o último nome</v>
      </c>
      <c r="P380" s="4"/>
    </row>
    <row r="381">
      <c r="A381" s="35" t="s">
        <v>981</v>
      </c>
      <c r="B381" s="34" t="s">
        <v>982</v>
      </c>
      <c r="C381" s="4" t="str">
        <f>IFERROR(__xludf.DUMMYFUNCTION("GOOGLETRANSLATE(B381,""en"",""hi"")"),"अपना ईमेल पता दर्ज करें")</f>
        <v>अपना ईमेल पता दर्ज करें</v>
      </c>
      <c r="D381" s="4" t="str">
        <f>IFERROR(__xludf.DUMMYFUNCTION("GOOGLETRANSLATE(B381,""en"",""ar"")"),"أدخل عنوان بريدك الالكتروني")</f>
        <v>أدخل عنوان بريدك الالكتروني</v>
      </c>
      <c r="E381" s="4" t="str">
        <f>IFERROR(__xludf.DUMMYFUNCTION("GOOGLETRANSLATE(B381,""en"",""fr"")"),"Entrez votre adresse email")</f>
        <v>Entrez votre adresse email</v>
      </c>
      <c r="F381" s="4" t="str">
        <f>IFERROR(__xludf.DUMMYFUNCTION("GOOGLETRANSLATE(B381,""en"",""tr"")"),"E-posta adresinizi giriniz")</f>
        <v>E-posta adresinizi giriniz</v>
      </c>
      <c r="G381" s="4" t="str">
        <f>IFERROR(__xludf.DUMMYFUNCTION("GOOGLETRANSLATE(B381,""en"",""ru"")"),"Введите ваш адрес электронной почты")</f>
        <v>Введите ваш адрес электронной почты</v>
      </c>
      <c r="H381" s="4" t="str">
        <f>IFERROR(__xludf.DUMMYFUNCTION("GOOGLETRANSLATE(B381,""en"",""it"")"),"Inserisci il tuo indirizzo email")</f>
        <v>Inserisci il tuo indirizzo email</v>
      </c>
      <c r="I381" s="4" t="str">
        <f>IFERROR(__xludf.DUMMYFUNCTION("GOOGLETRANSLATE(B381,""en"",""de"")"),"Geben sie ihre E-Mailadresse ein")</f>
        <v>Geben sie ihre E-Mailadresse ein</v>
      </c>
      <c r="J381" s="4" t="str">
        <f>IFERROR(__xludf.DUMMYFUNCTION("GOOGLETRANSLATE(B381,""en"",""ko"")"),"당신의 이메일 주소를 입력 해주세요")</f>
        <v>당신의 이메일 주소를 입력 해주세요</v>
      </c>
      <c r="K381" s="4" t="str">
        <f>IFERROR(__xludf.DUMMYFUNCTION("GOOGLETRANSLATE(B381,""en"",""zh"")"),"输入你的电子邮箱地址")</f>
        <v>输入你的电子邮箱地址</v>
      </c>
      <c r="L381" s="4" t="str">
        <f>IFERROR(__xludf.DUMMYFUNCTION("GOOGLETRANSLATE(B381,""en"",""es"")"),"Ingrese su dirección de correo electrónico")</f>
        <v>Ingrese su dirección de correo electrónico</v>
      </c>
      <c r="M381" s="4" t="str">
        <f>IFERROR(__xludf.DUMMYFUNCTION("GOOGLETRANSLATE(B381,""en"",""iw"")"),"הזן את כתובת הדוא""ל שלך")</f>
        <v>הזן את כתובת הדוא"ל שלך</v>
      </c>
      <c r="N381" s="4" t="str">
        <f>IFERROR(__xludf.DUMMYFUNCTION("GOOGLETRANSLATE(B381,""en"",""bn"")"),"তোমার ই - মেইল ​​ঠিকানা লেখো")</f>
        <v>তোমার ই - মেইল ​​ঠিকানা লেখো</v>
      </c>
      <c r="O381" s="4" t="str">
        <f>IFERROR(__xludf.DUMMYFUNCTION("GOOGLETRANSLATE(B381,""en"",""pt"")"),"Insira o seu endereço de email")</f>
        <v>Insira o seu endereço de email</v>
      </c>
      <c r="P381" s="4"/>
    </row>
    <row r="382">
      <c r="A382" s="35" t="s">
        <v>983</v>
      </c>
      <c r="B382" s="34" t="s">
        <v>984</v>
      </c>
      <c r="C382" s="4" t="str">
        <f>IFERROR(__xludf.DUMMYFUNCTION("GOOGLETRANSLATE(B382,""en"",""hi"")"),"शर्तें स्वीकार करें और गोपनीयता नीति नोटिस की समीक्षा करें")</f>
        <v>शर्तें स्वीकार करें और गोपनीयता नीति नोटिस की समीक्षा करें</v>
      </c>
      <c r="D382" s="4" t="str">
        <f>IFERROR(__xludf.DUMMYFUNCTION("GOOGLETRANSLATE(B382,""en"",""ar"")"),"قبول الشروط ومراجعة إشعار سياسة الخصوصية")</f>
        <v>قبول الشروط ومراجعة إشعار سياسة الخصوصية</v>
      </c>
      <c r="E382" s="4" t="str">
        <f>IFERROR(__xludf.DUMMYFUNCTION("GOOGLETRANSLATE(B382,""en"",""fr"")"),"Accepter les conditions et consulter l'avis de politique de confidentialité")</f>
        <v>Accepter les conditions et consulter l'avis de politique de confidentialité</v>
      </c>
      <c r="F382" s="4" t="str">
        <f>IFERROR(__xludf.DUMMYFUNCTION("GOOGLETRANSLATE(B382,""en"",""tr"")"),"Şartları Kabul Edin ve Gizlilik Politikası Bildirimini İnceleyin")</f>
        <v>Şartları Kabul Edin ve Gizlilik Politikası Bildirimini İnceleyin</v>
      </c>
      <c r="G382" s="4" t="str">
        <f>IFERROR(__xludf.DUMMYFUNCTION("GOOGLETRANSLATE(B382,""en"",""ru"")"),"Примите условия и ознакомьтесь с уведомлением о политике конфиденциальности")</f>
        <v>Примите условия и ознакомьтесь с уведомлением о политике конфиденциальности</v>
      </c>
      <c r="H382" s="4" t="str">
        <f>IFERROR(__xludf.DUMMYFUNCTION("GOOGLETRANSLATE(B382,""en"",""it"")"),"Accetta i termini e consulta l'informativa sulla privacy")</f>
        <v>Accetta i termini e consulta l'informativa sulla privacy</v>
      </c>
      <c r="I382" s="4" t="str">
        <f>IFERROR(__xludf.DUMMYFUNCTION("GOOGLETRANSLATE(B382,""en"",""de"")"),"Akzeptieren Sie die Nutzungsbedingungen und lesen Sie den Datenschutzhinweis")</f>
        <v>Akzeptieren Sie die Nutzungsbedingungen und lesen Sie den Datenschutzhinweis</v>
      </c>
      <c r="J382" s="4" t="str">
        <f>IFERROR(__xludf.DUMMYFUNCTION("GOOGLETRANSLATE(B382,""en"",""ko"")"),"약관 동의 및 개인정보 보호정책 공지 검토")</f>
        <v>약관 동의 및 개인정보 보호정책 공지 검토</v>
      </c>
      <c r="K382" s="4" t="str">
        <f>IFERROR(__xludf.DUMMYFUNCTION("GOOGLETRANSLATE(B382,""en"",""zh"")"),"接受条款并查看隐私政策声明")</f>
        <v>接受条款并查看隐私政策声明</v>
      </c>
      <c r="L382" s="4" t="str">
        <f>IFERROR(__xludf.DUMMYFUNCTION("GOOGLETRANSLATE(B382,""en"",""es"")"),"Aceptar términos y revisar el aviso de política de privacidad")</f>
        <v>Aceptar términos y revisar el aviso de política de privacidad</v>
      </c>
      <c r="M382" s="4" t="str">
        <f>IFERROR(__xludf.DUMMYFUNCTION("GOOGLETRANSLATE(B382,""en"",""iw"")"),"קבל את התנאים וסקור את הודעת מדיניות הפרטיות")</f>
        <v>קבל את התנאים וסקור את הודעת מדיניות הפרטיות</v>
      </c>
      <c r="N382" s="4" t="str">
        <f>IFERROR(__xludf.DUMMYFUNCTION("GOOGLETRANSLATE(B382,""en"",""bn"")"),"শর্তাবলী স্বীকার করুন এবং গোপনীয়তা নীতি বিজ্ঞপ্তি পর্যালোচনা করুন")</f>
        <v>শর্তাবলী স্বীকার করুন এবং গোপনীয়তা নীতি বিজ্ঞপ্তি পর্যালোচনা করুন</v>
      </c>
      <c r="O382" s="4" t="str">
        <f>IFERROR(__xludf.DUMMYFUNCTION("GOOGLETRANSLATE(B382,""en"",""pt"")"),"Aceite os Termos e Revise o Aviso de Política de Privacidade")</f>
        <v>Aceite os Termos e Revise o Aviso de Política de Privacidade</v>
      </c>
      <c r="P382" s="4"/>
    </row>
    <row r="383">
      <c r="A383" s="35" t="s">
        <v>985</v>
      </c>
      <c r="B383" s="36" t="s">
        <v>986</v>
      </c>
      <c r="C383" s="4" t="str">
        <f>IFERROR(__xludf.DUMMYFUNCTION("GOOGLETRANSLATE(B383,""en"",""hi"")"),"नीचे ""मैं सहमत हूं"" का चयन करके, मैंने उपयोग की शर्तों की समीक्षा की है और उनसे सहमत हूं और गोपनीयता सूचना को स्वीकार किया है।")</f>
        <v>नीचे "मैं सहमत हूं" का चयन करके, मैंने उपयोग की शर्तों की समीक्षा की है और उनसे सहमत हूं और गोपनीयता सूचना को स्वीकार किया है।</v>
      </c>
      <c r="D383" s="4" t="str">
        <f>IFERROR(__xludf.DUMMYFUNCTION("GOOGLETRANSLATE(B383,""en"",""ar"")"),"من خلال تحديد ""أوافق"" أدناه، فقد قمت بمراجعة شروط الاستخدام ووافقت عليها وأقرت بإشعار الخصوصية.")</f>
        <v>من خلال تحديد "أوافق" أدناه، فقد قمت بمراجعة شروط الاستخدام ووافقت عليها وأقرت بإشعار الخصوصية.</v>
      </c>
      <c r="E383" s="4" t="str">
        <f>IFERROR(__xludf.DUMMYFUNCTION("GOOGLETRANSLATE(B383,""en"",""fr"")"),"En sélectionnant « J'accepte » ci-dessous, j'ai lu et accepté les conditions d'utilisation et j'ai pris connaissance de l'avis de confidentialité.")</f>
        <v>En sélectionnant « J'accepte » ci-dessous, j'ai lu et accepté les conditions d'utilisation et j'ai pris connaissance de l'avis de confidentialité.</v>
      </c>
      <c r="F383" s="4" t="str">
        <f>IFERROR(__xludf.DUMMYFUNCTION("GOOGLETRANSLATE(B383,""en"",""tr"")"),"Aşağıda ""Kabul Ediyorum""u seçerek Kullanım Koşullarını inceleyip kabul ediyorum ve Gizlilik Bildirimini kabul ediyorum.")</f>
        <v>Aşağıda "Kabul Ediyorum"u seçerek Kullanım Koşullarını inceleyip kabul ediyorum ve Gizlilik Bildirimini kabul ediyorum.</v>
      </c>
      <c r="G383" s="4" t="str">
        <f>IFERROR(__xludf.DUMMYFUNCTION("GOOGLETRANSLATE(B383,""en"",""ru"")"),"Выбрав «Я согласен» ниже, я ознакомился и согласен с Условиями использования, а также принимаю Уведомление о конфиденциальности.")</f>
        <v>Выбрав «Я согласен» ниже, я ознакомился и согласен с Условиями использования, а также принимаю Уведомление о конфиденциальности.</v>
      </c>
      <c r="H383" s="4" t="str">
        <f>IFERROR(__xludf.DUMMYFUNCTION("GOOGLETRANSLATE(B383,""en"",""it"")"),"Selezionando ""Accetto"" di seguito, ho letto e accetto i Termini di utilizzo e ho preso atto dell'Informativa sulla privacy.")</f>
        <v>Selezionando "Accetto" di seguito, ho letto e accetto i Termini di utilizzo e ho preso atto dell'Informativa sulla privacy.</v>
      </c>
      <c r="I383" s="4" t="str">
        <f>IFERROR(__xludf.DUMMYFUNCTION("GOOGLETRANSLATE(B383,""en"",""de"")"),"Indem ich unten „Ich stimme zu“ wähle, habe ich die Nutzungsbedingungen gelesen, stimme ihnen zu und habe die Datenschutzerklärung zur Kenntnis genommen.")</f>
        <v>Indem ich unten „Ich stimme zu“ wähle, habe ich die Nutzungsbedingungen gelesen, stimme ihnen zu und habe die Datenschutzerklärung zur Kenntnis genommen.</v>
      </c>
      <c r="J383" s="4" t="str">
        <f>IFERROR(__xludf.DUMMYFUNCTION("GOOGLETRANSLATE(B383,""en"",""ko"")"),"아래의 ""동의함""을 선택함으로써 이용 약관을 검토하고 이에 동의하며 개인정보 보호정책을 인정했습니다.")</f>
        <v>아래의 "동의함"을 선택함으로써 이용 약관을 검토하고 이에 동의하며 개인정보 보호정책을 인정했습니다.</v>
      </c>
      <c r="K383" s="4" t="str">
        <f>IFERROR(__xludf.DUMMYFUNCTION("GOOGLETRANSLATE(B383,""en"",""zh"")"),"通过选择下面的“我同意”，我已查看并同意使用条款并承认隐私声明。")</f>
        <v>通过选择下面的“我同意”，我已查看并同意使用条款并承认隐私声明。</v>
      </c>
      <c r="L383" s="4" t="str">
        <f>IFERROR(__xludf.DUMMYFUNCTION("GOOGLETRANSLATE(B383,""en"",""es"")"),"Al seleccionar ""Acepto"" a continuación, he revisado y acepto los Términos de uso y reconozco el Aviso de privacidad.")</f>
        <v>Al seleccionar "Acepto" a continuación, he revisado y acepto los Términos de uso y reconozco el Aviso de privacidad.</v>
      </c>
      <c r="M383" s="4" t="str">
        <f>IFERROR(__xludf.DUMMYFUNCTION("GOOGLETRANSLATE(B383,""en"",""iw"")"),"בבחירה ב""אני מסכים"" להלן, קראתי והסכמתי לתנאי השימוש והכרתי את הודעת הפרטיות.")</f>
        <v>בבחירה ב"אני מסכים" להלן, קראתי והסכמתי לתנאי השימוש והכרתי את הודעת הפרטיות.</v>
      </c>
      <c r="N383" s="4" t="str">
        <f>IFERROR(__xludf.DUMMYFUNCTION("GOOGLETRANSLATE(B383,""en"",""bn"")"),"নীচে ""আমি সম্মত"" নির্বাচন করে, আমি পর্যালোচনা করেছি এবং ব্যবহারের শর্তাবলীতে সম্মত এবং গোপনীয়তা বিজ্ঞপ্তি স্বীকার করেছি।")</f>
        <v>নীচে "আমি সম্মত" নির্বাচন করে, আমি পর্যালোচনা করেছি এবং ব্যবহারের শর্তাবলীতে সম্মত এবং গোপনীয়তা বিজ্ঞপ্তি স্বীকার করেছি।</v>
      </c>
      <c r="O383" s="4" t="str">
        <f>IFERROR(__xludf.DUMMYFUNCTION("GOOGLETRANSLATE(B383,""en"",""pt"")"),"Ao selecionar ""Concordo"" abaixo, revi e concordo com os Termos de Uso e reconheço o Aviso de Privacidade.")</f>
        <v>Ao selecionar "Concordo" abaixo, revi e concordo com os Termos de Uso e reconheço o Aviso de Privacidade.</v>
      </c>
      <c r="P383" s="4"/>
    </row>
    <row r="384">
      <c r="A384" s="35" t="s">
        <v>987</v>
      </c>
      <c r="B384" s="36" t="s">
        <v>988</v>
      </c>
      <c r="C384" s="4" t="str">
        <f>IFERROR(__xludf.DUMMYFUNCTION("GOOGLETRANSLATE(B384,""en"",""hi"")"),"मैं सहमत हूं")</f>
        <v>मैं सहमत हूं</v>
      </c>
      <c r="D384" s="4" t="str">
        <f>IFERROR(__xludf.DUMMYFUNCTION("GOOGLETRANSLATE(B384,""en"",""ar"")"),"أنا موافق")</f>
        <v>أنا موافق</v>
      </c>
      <c r="E384" s="4" t="str">
        <f>IFERROR(__xludf.DUMMYFUNCTION("GOOGLETRANSLATE(B384,""en"",""fr"")"),"Je suis d'accord")</f>
        <v>Je suis d'accord</v>
      </c>
      <c r="F384" s="4" t="str">
        <f>IFERROR(__xludf.DUMMYFUNCTION("GOOGLETRANSLATE(B384,""en"",""tr"")"),"Kabul ediyorum")</f>
        <v>Kabul ediyorum</v>
      </c>
      <c r="G384" s="4" t="str">
        <f>IFERROR(__xludf.DUMMYFUNCTION("GOOGLETRANSLATE(B384,""en"",""ru"")"),"Я согласен")</f>
        <v>Я согласен</v>
      </c>
      <c r="H384" s="4" t="str">
        <f>IFERROR(__xludf.DUMMYFUNCTION("GOOGLETRANSLATE(B384,""en"",""it"")"),"Sono d'accordo")</f>
        <v>Sono d'accordo</v>
      </c>
      <c r="I384" s="4" t="str">
        <f>IFERROR(__xludf.DUMMYFUNCTION("GOOGLETRANSLATE(B384,""en"",""de"")"),"Ich stimme zu")</f>
        <v>Ich stimme zu</v>
      </c>
      <c r="J384" s="4" t="str">
        <f>IFERROR(__xludf.DUMMYFUNCTION("GOOGLETRANSLATE(B384,""en"",""ko"")"),"나는 동의한다")</f>
        <v>나는 동의한다</v>
      </c>
      <c r="K384" s="4" t="str">
        <f>IFERROR(__xludf.DUMMYFUNCTION("GOOGLETRANSLATE(B384,""en"",""zh"")"),"我同意")</f>
        <v>我同意</v>
      </c>
      <c r="L384" s="4" t="str">
        <f>IFERROR(__xludf.DUMMYFUNCTION("GOOGLETRANSLATE(B384,""en"",""es"")"),"Estoy de acuerdo")</f>
        <v>Estoy de acuerdo</v>
      </c>
      <c r="M384" s="4" t="str">
        <f>IFERROR(__xludf.DUMMYFUNCTION("GOOGLETRANSLATE(B384,""en"",""iw"")"),"אני מסכים")</f>
        <v>אני מסכים</v>
      </c>
      <c r="N384" s="4" t="str">
        <f>IFERROR(__xludf.DUMMYFUNCTION("GOOGLETRANSLATE(B384,""en"",""bn"")"),"আমি রাজী")</f>
        <v>আমি রাজী</v>
      </c>
      <c r="O384" s="4" t="str">
        <f>IFERROR(__xludf.DUMMYFUNCTION("GOOGLETRANSLATE(B384,""en"",""pt"")"),"Concordo")</f>
        <v>Concordo</v>
      </c>
      <c r="P384" s="4"/>
    </row>
    <row r="385">
      <c r="A385" s="35" t="s">
        <v>989</v>
      </c>
      <c r="B385" s="36" t="s">
        <v>990</v>
      </c>
      <c r="C385" s="4" t="str">
        <f>IFERROR(__xludf.DUMMYFUNCTION("GOOGLETRANSLATE(B385,""en"",""hi"")"),"आवश्यक जानकारी")</f>
        <v>आवश्यक जानकारी</v>
      </c>
      <c r="D385" s="4" t="str">
        <f>IFERROR(__xludf.DUMMYFUNCTION("GOOGLETRANSLATE(B385,""en"",""ar"")"),"معلومات مطلوبة")</f>
        <v>معلومات مطلوبة</v>
      </c>
      <c r="E385" s="4" t="str">
        <f>IFERROR(__xludf.DUMMYFUNCTION("GOOGLETRANSLATE(B385,""en"",""fr"")"),"Information requise")</f>
        <v>Information requise</v>
      </c>
      <c r="F385" s="4" t="str">
        <f>IFERROR(__xludf.DUMMYFUNCTION("GOOGLETRANSLATE(B385,""en"",""tr"")"),"Gerekli Bilgi")</f>
        <v>Gerekli Bilgi</v>
      </c>
      <c r="G385" s="4" t="str">
        <f>IFERROR(__xludf.DUMMYFUNCTION("GOOGLETRANSLATE(B385,""en"",""ru"")"),"Необходимая информация")</f>
        <v>Необходимая информация</v>
      </c>
      <c r="H385" s="4" t="str">
        <f>IFERROR(__xludf.DUMMYFUNCTION("GOOGLETRANSLATE(B385,""en"",""it"")"),"Informazioni richieste")</f>
        <v>Informazioni richieste</v>
      </c>
      <c r="I385" s="4" t="str">
        <f>IFERROR(__xludf.DUMMYFUNCTION("GOOGLETRANSLATE(B385,""en"",""de"")"),"Benötigte Information")</f>
        <v>Benötigte Information</v>
      </c>
      <c r="J385" s="4" t="str">
        <f>IFERROR(__xludf.DUMMYFUNCTION("GOOGLETRANSLATE(B385,""en"",""ko"")"),"필수 정보")</f>
        <v>필수 정보</v>
      </c>
      <c r="K385" s="4" t="str">
        <f>IFERROR(__xludf.DUMMYFUNCTION("GOOGLETRANSLATE(B385,""en"",""zh"")"),"要求（提供）的信息")</f>
        <v>要求（提供）的信息</v>
      </c>
      <c r="L385" s="4" t="str">
        <f>IFERROR(__xludf.DUMMYFUNCTION("GOOGLETRANSLATE(B385,""en"",""es"")"),"Información requerida")</f>
        <v>Información requerida</v>
      </c>
      <c r="M385" s="4" t="str">
        <f>IFERROR(__xludf.DUMMYFUNCTION("GOOGLETRANSLATE(B385,""en"",""iw"")"),"מידע נדרש")</f>
        <v>מידע נדרש</v>
      </c>
      <c r="N385" s="4" t="str">
        <f>IFERROR(__xludf.DUMMYFUNCTION("GOOGLETRANSLATE(B385,""en"",""bn"")"),"প্রয়োজনীয় তথ্য")</f>
        <v>প্রয়োজনীয় তথ্য</v>
      </c>
      <c r="O385" s="4" t="str">
        <f>IFERROR(__xludf.DUMMYFUNCTION("GOOGLETRANSLATE(B385,""en"",""pt"")"),"Informação requerida")</f>
        <v>Informação requerida</v>
      </c>
      <c r="P385" s="4"/>
    </row>
    <row r="386">
      <c r="A386" s="37" t="s">
        <v>991</v>
      </c>
      <c r="B386" s="36" t="s">
        <v>992</v>
      </c>
      <c r="C386" s="4" t="str">
        <f>IFERROR(__xludf.DUMMYFUNCTION("GOOGLETRANSLATE(B386,""en"",""hi"")"),"स्वागत")</f>
        <v>स्वागत</v>
      </c>
      <c r="D386" s="4" t="str">
        <f>IFERROR(__xludf.DUMMYFUNCTION("GOOGLETRANSLATE(B386,""en"",""ar"")"),"مرحباً")</f>
        <v>مرحباً</v>
      </c>
      <c r="E386" s="4" t="str">
        <f>IFERROR(__xludf.DUMMYFUNCTION("GOOGLETRANSLATE(B386,""en"",""fr"")"),"Accueillir")</f>
        <v>Accueillir</v>
      </c>
      <c r="F386" s="4" t="str">
        <f>IFERROR(__xludf.DUMMYFUNCTION("GOOGLETRANSLATE(B386,""en"",""tr"")"),"Hoş geldin")</f>
        <v>Hoş geldin</v>
      </c>
      <c r="G386" s="4" t="str">
        <f>IFERROR(__xludf.DUMMYFUNCTION("GOOGLETRANSLATE(B386,""en"",""ru"")"),"Добро пожаловать")</f>
        <v>Добро пожаловать</v>
      </c>
      <c r="H386" s="4" t="str">
        <f>IFERROR(__xludf.DUMMYFUNCTION("GOOGLETRANSLATE(B386,""en"",""it"")"),"Benvenuto")</f>
        <v>Benvenuto</v>
      </c>
      <c r="I386" s="4" t="str">
        <f>IFERROR(__xludf.DUMMYFUNCTION("GOOGLETRANSLATE(B386,""en"",""de"")"),"Willkommen")</f>
        <v>Willkommen</v>
      </c>
      <c r="J386" s="4" t="str">
        <f>IFERROR(__xludf.DUMMYFUNCTION("GOOGLETRANSLATE(B386,""en"",""ko"")"),"환영")</f>
        <v>환영</v>
      </c>
      <c r="K386" s="4" t="str">
        <f>IFERROR(__xludf.DUMMYFUNCTION("GOOGLETRANSLATE(B386,""en"",""zh"")"),"欢迎")</f>
        <v>欢迎</v>
      </c>
      <c r="L386" s="4" t="str">
        <f>IFERROR(__xludf.DUMMYFUNCTION("GOOGLETRANSLATE(B386,""en"",""es"")"),"Bienvenido")</f>
        <v>Bienvenido</v>
      </c>
      <c r="M386" s="4" t="str">
        <f>IFERROR(__xludf.DUMMYFUNCTION("GOOGLETRANSLATE(B386,""en"",""iw"")"),"ברוך הבא")</f>
        <v>ברוך הבא</v>
      </c>
      <c r="N386" s="4" t="str">
        <f>IFERROR(__xludf.DUMMYFUNCTION("GOOGLETRANSLATE(B386,""en"",""bn"")"),"স্বাগত")</f>
        <v>স্বাগত</v>
      </c>
      <c r="O386" s="4" t="str">
        <f>IFERROR(__xludf.DUMMYFUNCTION("GOOGLETRANSLATE(B386,""en"",""pt"")"),"Bem-vindo")</f>
        <v>Bem-vindo</v>
      </c>
      <c r="P386" s="4"/>
    </row>
    <row r="387">
      <c r="A387" s="35" t="s">
        <v>993</v>
      </c>
      <c r="B387" s="36" t="s">
        <v>994</v>
      </c>
      <c r="C387" s="4" t="str">
        <f>IFERROR(__xludf.DUMMYFUNCTION("GOOGLETRANSLATE(B387,""en"",""hi"")"),"यहां ड्राइवर बनने के लिए आपको क्या चाहिए")</f>
        <v>यहां ड्राइवर बनने के लिए आपको क्या चाहिए</v>
      </c>
      <c r="D387" s="4" t="str">
        <f>IFERROR(__xludf.DUMMYFUNCTION("GOOGLETRANSLATE(B387,""en"",""ar"")"),"إليك ما تحتاجه لتصبح سائقًا")</f>
        <v>إليك ما تحتاجه لتصبح سائقًا</v>
      </c>
      <c r="E387" s="4" t="str">
        <f>IFERROR(__xludf.DUMMYFUNCTION("GOOGLETRANSLATE(B387,""en"",""fr"")"),"Voici ce dont vous avez besoin pour devenir chauffeur")</f>
        <v>Voici ce dont vous avez besoin pour devenir chauffeur</v>
      </c>
      <c r="F387" s="4" t="str">
        <f>IFERROR(__xludf.DUMMYFUNCTION("GOOGLETRANSLATE(B387,""en"",""tr"")"),"İşte sürücü olmak için gerekenler")</f>
        <v>İşte sürücü olmak için gerekenler</v>
      </c>
      <c r="G387" s="4" t="str">
        <f>IFERROR(__xludf.DUMMYFUNCTION("GOOGLETRANSLATE(B387,""en"",""ru"")"),"Вот что вам нужно, чтобы стать водителем")</f>
        <v>Вот что вам нужно, чтобы стать водителем</v>
      </c>
      <c r="H387" s="4" t="str">
        <f>IFERROR(__xludf.DUMMYFUNCTION("GOOGLETRANSLATE(B387,""en"",""it"")"),"Ecco cosa ti serve per diventare autista")</f>
        <v>Ecco cosa ti serve per diventare autista</v>
      </c>
      <c r="I387" s="4" t="str">
        <f>IFERROR(__xludf.DUMMYFUNCTION("GOOGLETRANSLATE(B387,""en"",""de"")"),"Hier ist, was Sie brauchen, um Fahrer zu werden")</f>
        <v>Hier ist, was Sie brauchen, um Fahrer zu werden</v>
      </c>
      <c r="J387" s="4" t="str">
        <f>IFERROR(__xludf.DUMMYFUNCTION("GOOGLETRANSLATE(B387,""en"",""ko"")"),"운전자가 되기 위해 필요한 것은 다음과 같습니다.")</f>
        <v>운전자가 되기 위해 필요한 것은 다음과 같습니다.</v>
      </c>
      <c r="K387" s="4" t="str">
        <f>IFERROR(__xludf.DUMMYFUNCTION("GOOGLETRANSLATE(B387,""en"",""zh"")"),"这是成为司机所需要的")</f>
        <v>这是成为司机所需要的</v>
      </c>
      <c r="L387" s="4" t="str">
        <f>IFERROR(__xludf.DUMMYFUNCTION("GOOGLETRANSLATE(B387,""en"",""es"")"),"Esto es lo que necesitas para convertirte en conductor.")</f>
        <v>Esto es lo que necesitas para convertirte en conductor.</v>
      </c>
      <c r="M387" s="4" t="str">
        <f>IFERROR(__xludf.DUMMYFUNCTION("GOOGLETRANSLATE(B387,""en"",""iw"")"),"הנה מה שאתה צריך כדי להיות נהג")</f>
        <v>הנה מה שאתה צריך כדי להיות נהג</v>
      </c>
      <c r="N387" s="4" t="str">
        <f>IFERROR(__xludf.DUMMYFUNCTION("GOOGLETRANSLATE(B387,""en"",""bn"")"),"ড্রাইভার হতে আপনার যা দরকার তা এখানে")</f>
        <v>ড্রাইভার হতে আপনার যা দরকার তা এখানে</v>
      </c>
      <c r="O387" s="4" t="str">
        <f>IFERROR(__xludf.DUMMYFUNCTION("GOOGLETRANSLATE(B387,""en"",""pt"")"),"Aqui está o que você precisa para se tornar motorista")</f>
        <v>Aqui está o que você precisa para se tornar motorista</v>
      </c>
      <c r="P387" s="4"/>
    </row>
    <row r="388">
      <c r="A388" s="35" t="s">
        <v>995</v>
      </c>
      <c r="B388" s="36" t="s">
        <v>996</v>
      </c>
      <c r="C388" s="4" t="str">
        <f>IFERROR(__xludf.DUMMYFUNCTION("GOOGLETRANSLATE(B388,""en"",""hi"")"),"प्रोफ़ाइल")</f>
        <v>प्रोफ़ाइल</v>
      </c>
      <c r="D388" s="4" t="str">
        <f>IFERROR(__xludf.DUMMYFUNCTION("GOOGLETRANSLATE(B388,""en"",""ar"")"),"حساب تعريفي")</f>
        <v>حساب تعريفي</v>
      </c>
      <c r="E388" s="4" t="str">
        <f>IFERROR(__xludf.DUMMYFUNCTION("GOOGLETRANSLATE(B388,""en"",""fr"")"),"Profil")</f>
        <v>Profil</v>
      </c>
      <c r="F388" s="4" t="str">
        <f>IFERROR(__xludf.DUMMYFUNCTION("GOOGLETRANSLATE(B388,""en"",""tr"")"),"Profil")</f>
        <v>Profil</v>
      </c>
      <c r="G388" s="4" t="str">
        <f>IFERROR(__xludf.DUMMYFUNCTION("GOOGLETRANSLATE(B388,""en"",""ru"")"),"Профиль")</f>
        <v>Профиль</v>
      </c>
      <c r="H388" s="4" t="str">
        <f>IFERROR(__xludf.DUMMYFUNCTION("GOOGLETRANSLATE(B388,""en"",""it"")"),"Profilo")</f>
        <v>Profilo</v>
      </c>
      <c r="I388" s="4" t="str">
        <f>IFERROR(__xludf.DUMMYFUNCTION("GOOGLETRANSLATE(B388,""en"",""de"")"),"Profil")</f>
        <v>Profil</v>
      </c>
      <c r="J388" s="4" t="str">
        <f>IFERROR(__xludf.DUMMYFUNCTION("GOOGLETRANSLATE(B388,""en"",""ko"")"),"프로필")</f>
        <v>프로필</v>
      </c>
      <c r="K388" s="4" t="str">
        <f>IFERROR(__xludf.DUMMYFUNCTION("GOOGLETRANSLATE(B388,""en"",""zh"")"),"轮廓")</f>
        <v>轮廓</v>
      </c>
      <c r="L388" s="4" t="str">
        <f>IFERROR(__xludf.DUMMYFUNCTION("GOOGLETRANSLATE(B388,""en"",""es"")"),"Perfil")</f>
        <v>Perfil</v>
      </c>
      <c r="M388" s="4" t="str">
        <f>IFERROR(__xludf.DUMMYFUNCTION("GOOGLETRANSLATE(B388,""en"",""iw"")"),"פּרוֹפִיל")</f>
        <v>פּרוֹפִיל</v>
      </c>
      <c r="N388" s="4" t="str">
        <f>IFERROR(__xludf.DUMMYFUNCTION("GOOGLETRANSLATE(B388,""en"",""bn"")"),"প্রোফাইল")</f>
        <v>প্রোফাইল</v>
      </c>
      <c r="O388" s="4" t="str">
        <f>IFERROR(__xludf.DUMMYFUNCTION("GOOGLETRANSLATE(B388,""en"",""pt"")"),"Perfil")</f>
        <v>Perfil</v>
      </c>
      <c r="P388" s="4"/>
    </row>
    <row r="389">
      <c r="A389" s="35" t="s">
        <v>997</v>
      </c>
      <c r="B389" s="36" t="s">
        <v>998</v>
      </c>
      <c r="C389" s="4" t="str">
        <f>IFERROR(__xludf.DUMMYFUNCTION("GOOGLETRANSLATE(B389,""en"",""hi"")"),"आवेदन स्वीकार करने के लिए, हमें ऐसी पहचान की आवश्यकता है जो सेवा प्रदान करने के लिए आवेदक की पात्रता साबित करे।")</f>
        <v>आवेदन स्वीकार करने के लिए, हमें ऐसी पहचान की आवश्यकता है जो सेवा प्रदान करने के लिए आवेदक की पात्रता साबित करे।</v>
      </c>
      <c r="D389" s="4" t="str">
        <f>IFERROR(__xludf.DUMMYFUNCTION("GOOGLETRANSLATE(B389,""en"",""ar"")"),"لقبول الطلب، نحتاج إلى إثبات هوية تثبت أهلية مقدم الطلب لتقديم الخدمة.")</f>
        <v>لقبول الطلب، نحتاج إلى إثبات هوية تثبت أهلية مقدم الطلب لتقديم الخدمة.</v>
      </c>
      <c r="E389" s="4" t="str">
        <f>IFERROR(__xludf.DUMMYFUNCTION("GOOGLETRANSLATE(B389,""en"",""fr"")"),"Pour accepter la demande, nous avons besoin d'une pièce d'identité prouvant l'éligibilité du demandeur à fournir le service.")</f>
        <v>Pour accepter la demande, nous avons besoin d'une pièce d'identité prouvant l'éligibilité du demandeur à fournir le service.</v>
      </c>
      <c r="F389" s="4" t="str">
        <f>IFERROR(__xludf.DUMMYFUNCTION("GOOGLETRANSLATE(B389,""en"",""tr"")"),"Başvuruyu kabul etmek için, başvuru sahibinin hizmeti sağlamaya uygunluğunu kanıtlayan bir kimliğe ihtiyacımız var.")</f>
        <v>Başvuruyu kabul etmek için, başvuru sahibinin hizmeti sağlamaya uygunluğunu kanıtlayan bir kimliğe ihtiyacımız var.</v>
      </c>
      <c r="G389" s="4" t="str">
        <f>IFERROR(__xludf.DUMMYFUNCTION("GOOGLETRANSLATE(B389,""en"",""ru"")"),"Чтобы принять заявку, нам необходимо удостоверение личности, подтверждающее право заявителя на предоставление услуги.")</f>
        <v>Чтобы принять заявку, нам необходимо удостоверение личности, подтверждающее право заявителя на предоставление услуги.</v>
      </c>
      <c r="H389" s="4" t="str">
        <f>IFERROR(__xludf.DUMMYFUNCTION("GOOGLETRANSLATE(B389,""en"",""it"")"),"Per accettare la domanda, abbiamo bisogno di un'identificazione che dimostri l'idoneità del richiedente a fornire il servizio.")</f>
        <v>Per accettare la domanda, abbiamo bisogno di un'identificazione che dimostri l'idoneità del richiedente a fornire il servizio.</v>
      </c>
      <c r="I389" s="4" t="str">
        <f>IFERROR(__xludf.DUMMYFUNCTION("GOOGLETRANSLATE(B389,""en"",""de"")"),"Zur Annahme des Antrags benötigen wir einen Ausweis, der die Berechtigung des Antragstellers zur Erbringung der Dienstleistung belegt.")</f>
        <v>Zur Annahme des Antrags benötigen wir einen Ausweis, der die Berechtigung des Antragstellers zur Erbringung der Dienstleistung belegt.</v>
      </c>
      <c r="J389" s="4" t="str">
        <f>IFERROR(__xludf.DUMMYFUNCTION("GOOGLETRANSLATE(B389,""en"",""ko"")"),"신청서를 수락하려면 신청자의 서비스 제공 자격을 증명하는 신분증이 필요합니다.")</f>
        <v>신청서를 수락하려면 신청자의 서비스 제공 자격을 증명하는 신분증이 필요합니다.</v>
      </c>
      <c r="K389" s="4" t="str">
        <f>IFERROR(__xludf.DUMMYFUNCTION("GOOGLETRANSLATE(B389,""en"",""zh"")"),"为了接受申请，我们需要证明申请人有资格提供服务的身份证明。")</f>
        <v>为了接受申请，我们需要证明申请人有资格提供服务的身份证明。</v>
      </c>
      <c r="L389" s="4" t="str">
        <f>IFERROR(__xludf.DUMMYFUNCTION("GOOGLETRANSLATE(B389,""en"",""es"")"),"Para aceptar la solicitud, necesitamos una identificación que acredite la elegibilidad del solicitante para brindar el servicio.")</f>
        <v>Para aceptar la solicitud, necesitamos una identificación que acredite la elegibilidad del solicitante para brindar el servicio.</v>
      </c>
      <c r="M389" s="4" t="str">
        <f>IFERROR(__xludf.DUMMYFUNCTION("GOOGLETRANSLATE(B389,""en"",""iw"")"),"כדי לקבל את הבקשה, אנו זקוקים לזיהוי המוכיח את זכאותו של המבקש לספק את השירות.")</f>
        <v>כדי לקבל את הבקשה, אנו זקוקים לזיהוי המוכיח את זכאותו של המבקש לספק את השירות.</v>
      </c>
      <c r="N389" s="4" t="str">
        <f>IFERROR(__xludf.DUMMYFUNCTION("GOOGLETRANSLATE(B389,""en"",""bn"")"),"আবেদন গ্রহণ করার জন্য, আমাদের পরিচয়পত্র প্রয়োজন যা আবেদনকারীর পরিষেবা প্রদানের যোগ্যতা প্রমাণ করে।")</f>
        <v>আবেদন গ্রহণ করার জন্য, আমাদের পরিচয়পত্র প্রয়োজন যা আবেদনকারীর পরিষেবা প্রদানের যোগ্যতা প্রমাণ করে।</v>
      </c>
      <c r="O389" s="4" t="str">
        <f>IFERROR(__xludf.DUMMYFUNCTION("GOOGLETRANSLATE(B389,""en"",""pt"")"),"Para aceitar a candidatura, necessitamos de identificação que comprove a elegibilidade do requerente para a prestação do serviço.")</f>
        <v>Para aceitar a candidatura, necessitamos de identificação que comprove a elegibilidade do requerente para a prestação do serviço.</v>
      </c>
      <c r="P389" s="4"/>
    </row>
    <row r="390">
      <c r="A390" s="35" t="s">
        <v>999</v>
      </c>
      <c r="B390" s="36" t="s">
        <v>1000</v>
      </c>
      <c r="C390" s="4" t="str">
        <f>IFERROR(__xludf.DUMMYFUNCTION("GOOGLETRANSLATE(B390,""en"",""hi"")"),"कार की जानकारी")</f>
        <v>कार की जानकारी</v>
      </c>
      <c r="D390" s="4" t="str">
        <f>IFERROR(__xludf.DUMMYFUNCTION("GOOGLETRANSLATE(B390,""en"",""ar"")"),"معلومات السيارة")</f>
        <v>معلومات السيارة</v>
      </c>
      <c r="E390" s="4" t="str">
        <f>IFERROR(__xludf.DUMMYFUNCTION("GOOGLETRANSLATE(B390,""en"",""fr"")"),"Informations sur la voiture")</f>
        <v>Informations sur la voiture</v>
      </c>
      <c r="F390" s="4" t="str">
        <f>IFERROR(__xludf.DUMMYFUNCTION("GOOGLETRANSLATE(B390,""en"",""tr"")"),"Araç Bilgileri")</f>
        <v>Araç Bilgileri</v>
      </c>
      <c r="G390" s="4" t="str">
        <f>IFERROR(__xludf.DUMMYFUNCTION("GOOGLETRANSLATE(B390,""en"",""ru"")"),"Информация об автомобиле")</f>
        <v>Информация об автомобиле</v>
      </c>
      <c r="H390" s="4" t="str">
        <f>IFERROR(__xludf.DUMMYFUNCTION("GOOGLETRANSLATE(B390,""en"",""it"")"),"Informazioni sull'auto")</f>
        <v>Informazioni sull'auto</v>
      </c>
      <c r="I390" s="4" t="str">
        <f>IFERROR(__xludf.DUMMYFUNCTION("GOOGLETRANSLATE(B390,""en"",""de"")"),"Fahrzeuginformationen")</f>
        <v>Fahrzeuginformationen</v>
      </c>
      <c r="J390" s="4" t="str">
        <f>IFERROR(__xludf.DUMMYFUNCTION("GOOGLETRANSLATE(B390,""en"",""ko"")"),"자동차 정보")</f>
        <v>자동차 정보</v>
      </c>
      <c r="K390" s="4" t="str">
        <f>IFERROR(__xludf.DUMMYFUNCTION("GOOGLETRANSLATE(B390,""en"",""zh"")"),"汽车信息")</f>
        <v>汽车信息</v>
      </c>
      <c r="L390" s="4" t="str">
        <f>IFERROR(__xludf.DUMMYFUNCTION("GOOGLETRANSLATE(B390,""en"",""es"")"),"Información del coche")</f>
        <v>Información del coche</v>
      </c>
      <c r="M390" s="4" t="str">
        <f>IFERROR(__xludf.DUMMYFUNCTION("GOOGLETRANSLATE(B390,""en"",""iw"")"),"מידע על רכב")</f>
        <v>מידע על רכב</v>
      </c>
      <c r="N390" s="4" t="str">
        <f>IFERROR(__xludf.DUMMYFUNCTION("GOOGLETRANSLATE(B390,""en"",""bn"")"),"গাড়ির তথ্য")</f>
        <v>গাড়ির তথ্য</v>
      </c>
      <c r="O390" s="4" t="str">
        <f>IFERROR(__xludf.DUMMYFUNCTION("GOOGLETRANSLATE(B390,""en"",""pt"")"),"Informações do carro")</f>
        <v>Informações do carro</v>
      </c>
      <c r="P390" s="4"/>
    </row>
    <row r="391">
      <c r="A391" s="35" t="s">
        <v>1001</v>
      </c>
      <c r="B391" s="36" t="s">
        <v>998</v>
      </c>
      <c r="C391" s="4" t="str">
        <f>IFERROR(__xludf.DUMMYFUNCTION("GOOGLETRANSLATE(B391,""en"",""hi"")"),"आवेदन स्वीकार करने के लिए, हमें ऐसी पहचान की आवश्यकता है जो सेवा प्रदान करने के लिए आवेदक की पात्रता साबित करे।")</f>
        <v>आवेदन स्वीकार करने के लिए, हमें ऐसी पहचान की आवश्यकता है जो सेवा प्रदान करने के लिए आवेदक की पात्रता साबित करे।</v>
      </c>
      <c r="D391" s="4" t="str">
        <f>IFERROR(__xludf.DUMMYFUNCTION("GOOGLETRANSLATE(B391,""en"",""ar"")"),"لقبول الطلب، نحتاج إلى إثبات هوية تثبت أهلية مقدم الطلب لتقديم الخدمة.")</f>
        <v>لقبول الطلب، نحتاج إلى إثبات هوية تثبت أهلية مقدم الطلب لتقديم الخدمة.</v>
      </c>
      <c r="E391" s="4" t="str">
        <f>IFERROR(__xludf.DUMMYFUNCTION("GOOGLETRANSLATE(B391,""en"",""fr"")"),"Pour accepter la demande, nous avons besoin d'une pièce d'identité prouvant l'éligibilité du demandeur à fournir le service.")</f>
        <v>Pour accepter la demande, nous avons besoin d'une pièce d'identité prouvant l'éligibilité du demandeur à fournir le service.</v>
      </c>
      <c r="F391" s="4" t="str">
        <f>IFERROR(__xludf.DUMMYFUNCTION("GOOGLETRANSLATE(B391,""en"",""tr"")"),"Başvuruyu kabul etmek için, başvuru sahibinin hizmeti sağlamaya uygunluğunu kanıtlayan bir kimliğe ihtiyacımız var.")</f>
        <v>Başvuruyu kabul etmek için, başvuru sahibinin hizmeti sağlamaya uygunluğunu kanıtlayan bir kimliğe ihtiyacımız var.</v>
      </c>
      <c r="G391" s="4" t="str">
        <f>IFERROR(__xludf.DUMMYFUNCTION("GOOGLETRANSLATE(B391,""en"",""ru"")"),"Чтобы принять заявку, нам необходимо удостоверение личности, подтверждающее право заявителя на предоставление услуги.")</f>
        <v>Чтобы принять заявку, нам необходимо удостоверение личности, подтверждающее право заявителя на предоставление услуги.</v>
      </c>
      <c r="H391" s="4" t="str">
        <f>IFERROR(__xludf.DUMMYFUNCTION("GOOGLETRANSLATE(B391,""en"",""it"")"),"Per accettare la domanda, abbiamo bisogno di un'identificazione che dimostri l'idoneità del richiedente a fornire il servizio.")</f>
        <v>Per accettare la domanda, abbiamo bisogno di un'identificazione che dimostri l'idoneità del richiedente a fornire il servizio.</v>
      </c>
      <c r="I391" s="4" t="str">
        <f>IFERROR(__xludf.DUMMYFUNCTION("GOOGLETRANSLATE(B391,""en"",""de"")"),"Zur Annahme des Antrags benötigen wir einen Ausweis, der die Berechtigung des Antragstellers zur Erbringung der Dienstleistung belegt.")</f>
        <v>Zur Annahme des Antrags benötigen wir einen Ausweis, der die Berechtigung des Antragstellers zur Erbringung der Dienstleistung belegt.</v>
      </c>
      <c r="J391" s="4" t="str">
        <f>IFERROR(__xludf.DUMMYFUNCTION("GOOGLETRANSLATE(B391,""en"",""ko"")"),"신청서를 수락하려면 신청자의 서비스 제공 자격을 증명하는 신분증이 필요합니다.")</f>
        <v>신청서를 수락하려면 신청자의 서비스 제공 자격을 증명하는 신분증이 필요합니다.</v>
      </c>
      <c r="K391" s="4" t="str">
        <f>IFERROR(__xludf.DUMMYFUNCTION("GOOGLETRANSLATE(B391,""en"",""zh"")"),"为了接受申请，我们需要证明申请人有资格提供服务的身份证明。")</f>
        <v>为了接受申请，我们需要证明申请人有资格提供服务的身份证明。</v>
      </c>
      <c r="L391" s="4" t="str">
        <f>IFERROR(__xludf.DUMMYFUNCTION("GOOGLETRANSLATE(B391,""en"",""es"")"),"Para aceptar la solicitud, necesitamos una identificación que acredite la elegibilidad del solicitante para brindar el servicio.")</f>
        <v>Para aceptar la solicitud, necesitamos una identificación que acredite la elegibilidad del solicitante para brindar el servicio.</v>
      </c>
      <c r="M391" s="4" t="str">
        <f>IFERROR(__xludf.DUMMYFUNCTION("GOOGLETRANSLATE(B391,""en"",""iw"")"),"כדי לקבל את הבקשה, אנו זקוקים לזיהוי המוכיח את זכאותו של המבקש לספק את השירות.")</f>
        <v>כדי לקבל את הבקשה, אנו זקוקים לזיהוי המוכיח את זכאותו של המבקש לספק את השירות.</v>
      </c>
      <c r="N391" s="4" t="str">
        <f>IFERROR(__xludf.DUMMYFUNCTION("GOOGLETRANSLATE(B391,""en"",""bn"")"),"আবেদন গ্রহণ করার জন্য, আমাদের পরিচয়পত্র প্রয়োজন যা আবেদনকারীর পরিষেবা প্রদানের যোগ্যতা প্রমাণ করে।")</f>
        <v>আবেদন গ্রহণ করার জন্য, আমাদের পরিচয়পত্র প্রয়োজন যা আবেদনকারীর পরিষেবা প্রদানের যোগ্যতা প্রমাণ করে।</v>
      </c>
      <c r="O391" s="4" t="str">
        <f>IFERROR(__xludf.DUMMYFUNCTION("GOOGLETRANSLATE(B391,""en"",""pt"")"),"Para aceitar a candidatura, necessitamos de identificação que comprove a elegibilidade do requerente para a prestação do serviço.")</f>
        <v>Para aceitar a candidatura, necessitamos de identificação que comprove a elegibilidade do requerente para a prestação do serviço.</v>
      </c>
      <c r="P391" s="4"/>
    </row>
    <row r="392">
      <c r="A392" s="35" t="s">
        <v>1002</v>
      </c>
      <c r="B392" s="36" t="s">
        <v>1003</v>
      </c>
      <c r="C392" s="4" t="str">
        <f>IFERROR(__xludf.DUMMYFUNCTION("GOOGLETRANSLATE(B392,""en"",""hi"")"),"दस्तावेज़")</f>
        <v>दस्तावेज़</v>
      </c>
      <c r="D392" s="4" t="str">
        <f>IFERROR(__xludf.DUMMYFUNCTION("GOOGLETRANSLATE(B392,""en"",""ar"")"),"وثيقة")</f>
        <v>وثيقة</v>
      </c>
      <c r="E392" s="4" t="str">
        <f>IFERROR(__xludf.DUMMYFUNCTION("GOOGLETRANSLATE(B392,""en"",""fr"")"),"Document")</f>
        <v>Document</v>
      </c>
      <c r="F392" s="4" t="str">
        <f>IFERROR(__xludf.DUMMYFUNCTION("GOOGLETRANSLATE(B392,""en"",""tr"")"),"Belge")</f>
        <v>Belge</v>
      </c>
      <c r="G392" s="4" t="str">
        <f>IFERROR(__xludf.DUMMYFUNCTION("GOOGLETRANSLATE(B392,""en"",""ru"")"),"Документ")</f>
        <v>Документ</v>
      </c>
      <c r="H392" s="4" t="str">
        <f>IFERROR(__xludf.DUMMYFUNCTION("GOOGLETRANSLATE(B392,""en"",""it"")"),"Documento")</f>
        <v>Documento</v>
      </c>
      <c r="I392" s="4" t="str">
        <f>IFERROR(__xludf.DUMMYFUNCTION("GOOGLETRANSLATE(B392,""en"",""de"")"),"Dokumentieren")</f>
        <v>Dokumentieren</v>
      </c>
      <c r="J392" s="4" t="str">
        <f>IFERROR(__xludf.DUMMYFUNCTION("GOOGLETRANSLATE(B392,""en"",""ko"")"),"문서")</f>
        <v>문서</v>
      </c>
      <c r="K392" s="4" t="str">
        <f>IFERROR(__xludf.DUMMYFUNCTION("GOOGLETRANSLATE(B392,""en"",""zh"")"),"文档")</f>
        <v>文档</v>
      </c>
      <c r="L392" s="4" t="str">
        <f>IFERROR(__xludf.DUMMYFUNCTION("GOOGLETRANSLATE(B392,""en"",""es"")"),"Documento")</f>
        <v>Documento</v>
      </c>
      <c r="M392" s="4" t="str">
        <f>IFERROR(__xludf.DUMMYFUNCTION("GOOGLETRANSLATE(B392,""en"",""iw"")"),"מסמך")</f>
        <v>מסמך</v>
      </c>
      <c r="N392" s="4" t="str">
        <f>IFERROR(__xludf.DUMMYFUNCTION("GOOGLETRANSLATE(B392,""en"",""bn"")"),"দলিল")</f>
        <v>দলিল</v>
      </c>
      <c r="O392" s="4" t="str">
        <f>IFERROR(__xludf.DUMMYFUNCTION("GOOGLETRANSLATE(B392,""en"",""pt"")"),"Documento")</f>
        <v>Documento</v>
      </c>
      <c r="P392" s="4"/>
    </row>
    <row r="393">
      <c r="A393" s="35" t="s">
        <v>1004</v>
      </c>
      <c r="B393" s="36" t="s">
        <v>1005</v>
      </c>
      <c r="C393" s="4" t="str">
        <f>IFERROR(__xludf.DUMMYFUNCTION("GOOGLETRANSLATE(B393,""en"",""hi"")"),"अपना फोटो और लाइसेंस अपलोड करें")</f>
        <v>अपना फोटो और लाइसेंस अपलोड करें</v>
      </c>
      <c r="D393" s="4" t="str">
        <f>IFERROR(__xludf.DUMMYFUNCTION("GOOGLETRANSLATE(B393,""en"",""ar"")"),"قم بتحميل صورتك وترخيصك")</f>
        <v>قم بتحميل صورتك وترخيصك</v>
      </c>
      <c r="E393" s="4" t="str">
        <f>IFERROR(__xludf.DUMMYFUNCTION("GOOGLETRANSLATE(B393,""en"",""fr"")"),"Téléchargez votre photo et votre licence")</f>
        <v>Téléchargez votre photo et votre licence</v>
      </c>
      <c r="F393" s="4" t="str">
        <f>IFERROR(__xludf.DUMMYFUNCTION("GOOGLETRANSLATE(B393,""en"",""tr"")"),"Fotoğrafınızı ve Lisansınızı yükleyin")</f>
        <v>Fotoğrafınızı ve Lisansınızı yükleyin</v>
      </c>
      <c r="G393" s="4" t="str">
        <f>IFERROR(__xludf.DUMMYFUNCTION("GOOGLETRANSLATE(B393,""en"",""ru"")"),"Загрузите свою фотографию и лицензию.")</f>
        <v>Загрузите свою фотографию и лицензию.</v>
      </c>
      <c r="H393" s="4" t="str">
        <f>IFERROR(__xludf.DUMMYFUNCTION("GOOGLETRANSLATE(B393,""en"",""it"")"),"Carica la tua foto e la licenza")</f>
        <v>Carica la tua foto e la licenza</v>
      </c>
      <c r="I393" s="4" t="str">
        <f>IFERROR(__xludf.DUMMYFUNCTION("GOOGLETRANSLATE(B393,""en"",""de"")"),"Laden Sie Ihr Foto und Ihre Lizenz hoch")</f>
        <v>Laden Sie Ihr Foto und Ihre Lizenz hoch</v>
      </c>
      <c r="J393" s="4" t="str">
        <f>IFERROR(__xludf.DUMMYFUNCTION("GOOGLETRANSLATE(B393,""en"",""ko"")"),"사진과 면허증을 업로드하세요")</f>
        <v>사진과 면허증을 업로드하세요</v>
      </c>
      <c r="K393" s="4" t="str">
        <f>IFERROR(__xludf.DUMMYFUNCTION("GOOGLETRANSLATE(B393,""en"",""zh"")"),"上传您的照片和许可证")</f>
        <v>上传您的照片和许可证</v>
      </c>
      <c r="L393" s="4" t="str">
        <f>IFERROR(__xludf.DUMMYFUNCTION("GOOGLETRANSLATE(B393,""en"",""es"")"),"Sube tu foto y licencia")</f>
        <v>Sube tu foto y licencia</v>
      </c>
      <c r="M393" s="4" t="str">
        <f>IFERROR(__xludf.DUMMYFUNCTION("GOOGLETRANSLATE(B393,""en"",""iw"")"),"העלה את התמונה והרישיון שלך")</f>
        <v>העלה את התמונה והרישיון שלך</v>
      </c>
      <c r="N393" s="4" t="str">
        <f>IFERROR(__xludf.DUMMYFUNCTION("GOOGLETRANSLATE(B393,""en"",""bn"")"),"আপনার ছবি এবং লাইসেন্স আপলোড করুন")</f>
        <v>আপনার ছবি এবং লাইসেন্স আপলোড করুন</v>
      </c>
      <c r="O393" s="4" t="str">
        <f>IFERROR(__xludf.DUMMYFUNCTION("GOOGLETRANSLATE(B393,""en"",""pt"")"),"Envie sua foto e licença")</f>
        <v>Envie sua foto e licença</v>
      </c>
      <c r="P393" s="4"/>
    </row>
    <row r="394">
      <c r="A394" s="35" t="s">
        <v>1006</v>
      </c>
      <c r="B394" s="36" t="s">
        <v>1007</v>
      </c>
      <c r="C394" s="4" t="str">
        <f>IFERROR(__xludf.DUMMYFUNCTION("GOOGLETRANSLATE(B394,""en"",""hi"")"),"तस्विर अपलोड करना")</f>
        <v>तस्विर अपलोड करना</v>
      </c>
      <c r="D394" s="4" t="str">
        <f>IFERROR(__xludf.DUMMYFUNCTION("GOOGLETRANSLATE(B394,""en"",""ar"")"),"تحميل الصور")</f>
        <v>تحميل الصور</v>
      </c>
      <c r="E394" s="4" t="str">
        <f>IFERROR(__xludf.DUMMYFUNCTION("GOOGLETRANSLATE(B394,""en"",""fr"")"),"Télécharger une image")</f>
        <v>Télécharger une image</v>
      </c>
      <c r="F394" s="4" t="str">
        <f>IFERROR(__xludf.DUMMYFUNCTION("GOOGLETRANSLATE(B394,""en"",""tr"")"),"Fotoğraf yükleniyor")</f>
        <v>Fotoğraf yükleniyor</v>
      </c>
      <c r="G394" s="4" t="str">
        <f>IFERROR(__xludf.DUMMYFUNCTION("GOOGLETRANSLATE(B394,""en"",""ru"")"),"Загрузить изображение")</f>
        <v>Загрузить изображение</v>
      </c>
      <c r="H394" s="4" t="str">
        <f>IFERROR(__xludf.DUMMYFUNCTION("GOOGLETRANSLATE(B394,""en"",""it"")"),"Carica immagine")</f>
        <v>Carica immagine</v>
      </c>
      <c r="I394" s="4" t="str">
        <f>IFERROR(__xludf.DUMMYFUNCTION("GOOGLETRANSLATE(B394,""en"",""de"")"),"Bild hochladen")</f>
        <v>Bild hochladen</v>
      </c>
      <c r="J394" s="4" t="str">
        <f>IFERROR(__xludf.DUMMYFUNCTION("GOOGLETRANSLATE(B394,""en"",""ko"")"),"이미지 업로드")</f>
        <v>이미지 업로드</v>
      </c>
      <c r="K394" s="4" t="str">
        <f>IFERROR(__xludf.DUMMYFUNCTION("GOOGLETRANSLATE(B394,""en"",""zh"")"),"上传图片")</f>
        <v>上传图片</v>
      </c>
      <c r="L394" s="4" t="str">
        <f>IFERROR(__xludf.DUMMYFUNCTION("GOOGLETRANSLATE(B394,""en"",""es"")"),"Cargar imagen")</f>
        <v>Cargar imagen</v>
      </c>
      <c r="M394" s="4" t="str">
        <f>IFERROR(__xludf.DUMMYFUNCTION("GOOGLETRANSLATE(B394,""en"",""iw"")"),"העלאת תמונה")</f>
        <v>העלאת תמונה</v>
      </c>
      <c r="N394" s="4" t="str">
        <f>IFERROR(__xludf.DUMMYFUNCTION("GOOGLETRANSLATE(B394,""en"",""bn"")"),"চিত্র আপলোড")</f>
        <v>চিত্র আপলোড</v>
      </c>
      <c r="O394" s="4" t="str">
        <f>IFERROR(__xludf.DUMMYFUNCTION("GOOGLETRANSLATE(B394,""en"",""pt"")"),"Enviar Imagem")</f>
        <v>Enviar Imagem</v>
      </c>
      <c r="P394" s="4"/>
    </row>
    <row r="395">
      <c r="A395" s="35" t="s">
        <v>1008</v>
      </c>
      <c r="B395" s="36" t="s">
        <v>1009</v>
      </c>
      <c r="C395" s="4" t="str">
        <f>IFERROR(__xludf.DUMMYFUNCTION("GOOGLETRANSLATE(B395,""en"",""hi"")"),"समाप्ति तिथि")</f>
        <v>समाप्ति तिथि</v>
      </c>
      <c r="D395" s="4" t="str">
        <f>IFERROR(__xludf.DUMMYFUNCTION("GOOGLETRANSLATE(B395,""en"",""ar"")"),"تاريخ الانتهاء")</f>
        <v>تاريخ الانتهاء</v>
      </c>
      <c r="E395" s="4" t="str">
        <f>IFERROR(__xludf.DUMMYFUNCTION("GOOGLETRANSLATE(B395,""en"",""fr"")"),"Date d'expiration")</f>
        <v>Date d'expiration</v>
      </c>
      <c r="F395" s="4" t="str">
        <f>IFERROR(__xludf.DUMMYFUNCTION("GOOGLETRANSLATE(B395,""en"",""tr"")"),"Son kullanma tarihi")</f>
        <v>Son kullanma tarihi</v>
      </c>
      <c r="G395" s="4" t="str">
        <f>IFERROR(__xludf.DUMMYFUNCTION("GOOGLETRANSLATE(B395,""en"",""ru"")"),"Дата истечения срока действия")</f>
        <v>Дата истечения срока действия</v>
      </c>
      <c r="H395" s="4" t="str">
        <f>IFERROR(__xludf.DUMMYFUNCTION("GOOGLETRANSLATE(B395,""en"",""it"")"),"Data di scadenza")</f>
        <v>Data di scadenza</v>
      </c>
      <c r="I395" s="4" t="str">
        <f>IFERROR(__xludf.DUMMYFUNCTION("GOOGLETRANSLATE(B395,""en"",""de"")"),"Verfallsdatum")</f>
        <v>Verfallsdatum</v>
      </c>
      <c r="J395" s="4" t="str">
        <f>IFERROR(__xludf.DUMMYFUNCTION("GOOGLETRANSLATE(B395,""en"",""ko"")"),"만료일")</f>
        <v>만료일</v>
      </c>
      <c r="K395" s="4" t="str">
        <f>IFERROR(__xludf.DUMMYFUNCTION("GOOGLETRANSLATE(B395,""en"",""zh"")"),"到期日")</f>
        <v>到期日</v>
      </c>
      <c r="L395" s="4" t="str">
        <f>IFERROR(__xludf.DUMMYFUNCTION("GOOGLETRANSLATE(B395,""en"",""es"")"),"Fecha de caducidad")</f>
        <v>Fecha de caducidad</v>
      </c>
      <c r="M395" s="4" t="str">
        <f>IFERROR(__xludf.DUMMYFUNCTION("GOOGLETRANSLATE(B395,""en"",""iw"")"),"תאריך תפוגה")</f>
        <v>תאריך תפוגה</v>
      </c>
      <c r="N395" s="4" t="str">
        <f>IFERROR(__xludf.DUMMYFUNCTION("GOOGLETRANSLATE(B395,""en"",""bn"")"),"মেয়াদ শেষ হওয়ার তারিখ")</f>
        <v>মেয়াদ শেষ হওয়ার তারিখ</v>
      </c>
      <c r="O395" s="4" t="str">
        <f>IFERROR(__xludf.DUMMYFUNCTION("GOOGLETRANSLATE(B395,""en"",""pt"")"),"Data de validade")</f>
        <v>Data de validade</v>
      </c>
      <c r="P395" s="4"/>
    </row>
    <row r="396">
      <c r="A396" s="35" t="s">
        <v>1010</v>
      </c>
      <c r="B396" s="36" t="s">
        <v>1011</v>
      </c>
      <c r="C396" s="4" t="str">
        <f>IFERROR(__xludf.DUMMYFUNCTION("GOOGLETRANSLATE(B396,""en"",""hi"")"),"समाप्ति तिथि चुनें")</f>
        <v>समाप्ति तिथि चुनें</v>
      </c>
      <c r="D396" s="4" t="str">
        <f>IFERROR(__xludf.DUMMYFUNCTION("GOOGLETRANSLATE(B396,""en"",""ar"")"),"اختر تاريخ انتهاء الصلاحية")</f>
        <v>اختر تاريخ انتهاء الصلاحية</v>
      </c>
      <c r="E396" s="4" t="str">
        <f>IFERROR(__xludf.DUMMYFUNCTION("GOOGLETRANSLATE(B396,""en"",""fr"")"),"Choisissez la date d'expiration")</f>
        <v>Choisissez la date d'expiration</v>
      </c>
      <c r="F396" s="4" t="str">
        <f>IFERROR(__xludf.DUMMYFUNCTION("GOOGLETRANSLATE(B396,""en"",""tr"")"),"Son Kullanma Tarihini Seçin")</f>
        <v>Son Kullanma Tarihini Seçin</v>
      </c>
      <c r="G396" s="4" t="str">
        <f>IFERROR(__xludf.DUMMYFUNCTION("GOOGLETRANSLATE(B396,""en"",""ru"")"),"Выберите дату истечения срока действия")</f>
        <v>Выберите дату истечения срока действия</v>
      </c>
      <c r="H396" s="4" t="str">
        <f>IFERROR(__xludf.DUMMYFUNCTION("GOOGLETRANSLATE(B396,""en"",""it"")"),"Scegli la data di scadenza")</f>
        <v>Scegli la data di scadenza</v>
      </c>
      <c r="I396" s="4" t="str">
        <f>IFERROR(__xludf.DUMMYFUNCTION("GOOGLETRANSLATE(B396,""en"",""de"")"),"Wählen Sie Ablaufdatum")</f>
        <v>Wählen Sie Ablaufdatum</v>
      </c>
      <c r="J396" s="4" t="str">
        <f>IFERROR(__xludf.DUMMYFUNCTION("GOOGLETRANSLATE(B396,""en"",""ko"")"),"만료일을 선택하세요")</f>
        <v>만료일을 선택하세요</v>
      </c>
      <c r="K396" s="4" t="str">
        <f>IFERROR(__xludf.DUMMYFUNCTION("GOOGLETRANSLATE(B396,""en"",""zh"")"),"选择到期日")</f>
        <v>选择到期日</v>
      </c>
      <c r="L396" s="4" t="str">
        <f>IFERROR(__xludf.DUMMYFUNCTION("GOOGLETRANSLATE(B396,""en"",""es"")"),"Elija la fecha de vencimiento")</f>
        <v>Elija la fecha de vencimiento</v>
      </c>
      <c r="M396" s="4" t="str">
        <f>IFERROR(__xludf.DUMMYFUNCTION("GOOGLETRANSLATE(B396,""en"",""iw"")"),"בחר תאריך תפוגה")</f>
        <v>בחר תאריך תפוגה</v>
      </c>
      <c r="N396" s="4" t="str">
        <f>IFERROR(__xludf.DUMMYFUNCTION("GOOGLETRANSLATE(B396,""en"",""bn"")"),"মেয়াদ শেষ হওয়ার তারিখ নির্বাচন করুন")</f>
        <v>মেয়াদ শেষ হওয়ার তারিখ নির্বাচন করুন</v>
      </c>
      <c r="O396" s="4" t="str">
        <f>IFERROR(__xludf.DUMMYFUNCTION("GOOGLETRANSLATE(B396,""en"",""pt"")"),"Escolha a data de validade")</f>
        <v>Escolha a data de validade</v>
      </c>
      <c r="P396" s="4"/>
    </row>
    <row r="397">
      <c r="A397" s="35" t="s">
        <v>1012</v>
      </c>
      <c r="B397" s="36" t="s">
        <v>1013</v>
      </c>
      <c r="C397" s="4" t="str">
        <f>IFERROR(__xludf.DUMMYFUNCTION("GOOGLETRANSLATE(B397,""en"",""hi"")"),"कृपया आवश्यक जानकारी भरें")</f>
        <v>कृपया आवश्यक जानकारी भरें</v>
      </c>
      <c r="D397" s="4" t="str">
        <f>IFERROR(__xludf.DUMMYFUNCTION("GOOGLETRANSLATE(B397,""en"",""ar"")"),"يرجى ملء المعلومات المطلوبة")</f>
        <v>يرجى ملء المعلومات المطلوبة</v>
      </c>
      <c r="E397" s="4" t="str">
        <f>IFERROR(__xludf.DUMMYFUNCTION("GOOGLETRANSLATE(B397,""en"",""fr"")"),"Veuillez remplir les informations requises")</f>
        <v>Veuillez remplir les informations requises</v>
      </c>
      <c r="F397" s="4" t="str">
        <f>IFERROR(__xludf.DUMMYFUNCTION("GOOGLETRANSLATE(B397,""en"",""tr"")"),"Lütfen Gerekli Bilgileri Doldurun")</f>
        <v>Lütfen Gerekli Bilgileri Doldurun</v>
      </c>
      <c r="G397" s="4" t="str">
        <f>IFERROR(__xludf.DUMMYFUNCTION("GOOGLETRANSLATE(B397,""en"",""ru"")"),"Пожалуйста, заполните необходимую информацию")</f>
        <v>Пожалуйста, заполните необходимую информацию</v>
      </c>
      <c r="H397" s="4" t="str">
        <f>IFERROR(__xludf.DUMMYFUNCTION("GOOGLETRANSLATE(B397,""en"",""it"")"),"Si prega di compilare le informazioni richieste")</f>
        <v>Si prega di compilare le informazioni richieste</v>
      </c>
      <c r="I397" s="4" t="str">
        <f>IFERROR(__xludf.DUMMYFUNCTION("GOOGLETRANSLATE(B397,""en"",""de"")"),"Bitte geben Sie die erforderlichen Informationen ein")</f>
        <v>Bitte geben Sie die erforderlichen Informationen ein</v>
      </c>
      <c r="J397" s="4" t="str">
        <f>IFERROR(__xludf.DUMMYFUNCTION("GOOGLETRANSLATE(B397,""en"",""ko"")"),"필수 정보를 입력해주세요")</f>
        <v>필수 정보를 입력해주세요</v>
      </c>
      <c r="K397" s="4" t="str">
        <f>IFERROR(__xludf.DUMMYFUNCTION("GOOGLETRANSLATE(B397,""en"",""zh"")"),"请填写必填信息")</f>
        <v>请填写必填信息</v>
      </c>
      <c r="L397" s="4" t="str">
        <f>IFERROR(__xludf.DUMMYFUNCTION("GOOGLETRANSLATE(B397,""en"",""es"")"),"Por favor complete la información requerida")</f>
        <v>Por favor complete la información requerida</v>
      </c>
      <c r="M397" s="4" t="str">
        <f>IFERROR(__xludf.DUMMYFUNCTION("GOOGLETRANSLATE(B397,""en"",""iw"")"),"נא למלא את המידע הנדרש")</f>
        <v>נא למלא את המידע הנדרש</v>
      </c>
      <c r="N397" s="4" t="str">
        <f>IFERROR(__xludf.DUMMYFUNCTION("GOOGLETRANSLATE(B397,""en"",""bn"")"),"অনুগ্রহ করে প্রয়োজনীয় তথ্য পূরণ করুন")</f>
        <v>অনুগ্রহ করে প্রয়োজনীয় তথ্য পূরণ করুন</v>
      </c>
      <c r="O397" s="4" t="str">
        <f>IFERROR(__xludf.DUMMYFUNCTION("GOOGLETRANSLATE(B397,""en"",""pt"")"),"Preencha as informações necessárias")</f>
        <v>Preencha as informações necessárias</v>
      </c>
      <c r="P397" s="4"/>
    </row>
    <row r="398">
      <c r="A398" s="35" t="s">
        <v>1014</v>
      </c>
      <c r="B398" s="36" t="s">
        <v>1015</v>
      </c>
      <c r="C398" s="4" t="str">
        <f>IFERROR(__xludf.DUMMYFUNCTION("GOOGLETRANSLATE(B398,""en"",""hi"")"),"कृपया छवि चुनें")</f>
        <v>कृपया छवि चुनें</v>
      </c>
      <c r="D398" s="4" t="str">
        <f>IFERROR(__xludf.DUMMYFUNCTION("GOOGLETRANSLATE(B398,""en"",""ar"")"),"الرجاء اختيار الصورة")</f>
        <v>الرجاء اختيار الصورة</v>
      </c>
      <c r="E398" s="4" t="str">
        <f>IFERROR(__xludf.DUMMYFUNCTION("GOOGLETRANSLATE(B398,""en"",""fr"")"),"veuillez choisir l'image")</f>
        <v>veuillez choisir l'image</v>
      </c>
      <c r="F398" s="4" t="str">
        <f>IFERROR(__xludf.DUMMYFUNCTION("GOOGLETRANSLATE(B398,""en"",""tr"")"),"lütfen resim seçin")</f>
        <v>lütfen resim seçin</v>
      </c>
      <c r="G398" s="4" t="str">
        <f>IFERROR(__xludf.DUMMYFUNCTION("GOOGLETRANSLATE(B398,""en"",""ru"")"),"пожалуйста, выберите изображение")</f>
        <v>пожалуйста, выберите изображение</v>
      </c>
      <c r="H398" s="4" t="str">
        <f>IFERROR(__xludf.DUMMYFUNCTION("GOOGLETRANSLATE(B398,""en"",""it"")"),"per favore scegli l'immagine")</f>
        <v>per favore scegli l'immagine</v>
      </c>
      <c r="I398" s="4" t="str">
        <f>IFERROR(__xludf.DUMMYFUNCTION("GOOGLETRANSLATE(B398,""en"",""de"")"),"Bitte Bild auswählen")</f>
        <v>Bitte Bild auswählen</v>
      </c>
      <c r="J398" s="4" t="str">
        <f>IFERROR(__xludf.DUMMYFUNCTION("GOOGLETRANSLATE(B398,""en"",""ko"")"),"이미지를 선택해주세요")</f>
        <v>이미지를 선택해주세요</v>
      </c>
      <c r="K398" s="4" t="str">
        <f>IFERROR(__xludf.DUMMYFUNCTION("GOOGLETRANSLATE(B398,""en"",""zh"")"),"请选择图片")</f>
        <v>请选择图片</v>
      </c>
      <c r="L398" s="4" t="str">
        <f>IFERROR(__xludf.DUMMYFUNCTION("GOOGLETRANSLATE(B398,""en"",""es"")"),"por favor elige la imagen")</f>
        <v>por favor elige la imagen</v>
      </c>
      <c r="M398" s="4" t="str">
        <f>IFERROR(__xludf.DUMMYFUNCTION("GOOGLETRANSLATE(B398,""en"",""iw"")"),"נא לבחור תמונה")</f>
        <v>נא לבחור תמונה</v>
      </c>
      <c r="N398" s="4" t="str">
        <f>IFERROR(__xludf.DUMMYFUNCTION("GOOGLETRANSLATE(B398,""en"",""bn"")"),"ছবি নির্বাচন করুন")</f>
        <v>ছবি নির্বাচন করুন</v>
      </c>
      <c r="O398" s="4" t="str">
        <f>IFERROR(__xludf.DUMMYFUNCTION("GOOGLETRANSLATE(B398,""en"",""pt"")"),"por favor escolha a imagem")</f>
        <v>por favor escolha a imagem</v>
      </c>
      <c r="P398" s="4"/>
    </row>
    <row r="399">
      <c r="A399" s="35" t="s">
        <v>1016</v>
      </c>
      <c r="B399" s="36" t="s">
        <v>1017</v>
      </c>
      <c r="C399" s="4" t="str">
        <f>IFERROR(__xludf.DUMMYFUNCTION("GOOGLETRANSLATE(B399,""en"",""hi"")"),"कार प्रकार")</f>
        <v>कार प्रकार</v>
      </c>
      <c r="D399" s="4" t="str">
        <f>IFERROR(__xludf.DUMMYFUNCTION("GOOGLETRANSLATE(B399,""en"",""ar"")"),"نوع السيارة")</f>
        <v>نوع السيارة</v>
      </c>
      <c r="E399" s="4" t="str">
        <f>IFERROR(__xludf.DUMMYFUNCTION("GOOGLETRANSLATE(B399,""en"",""fr"")"),"Type de voiture")</f>
        <v>Type de voiture</v>
      </c>
      <c r="F399" s="4" t="str">
        <f>IFERROR(__xludf.DUMMYFUNCTION("GOOGLETRANSLATE(B399,""en"",""tr"")"),"Araba tipi")</f>
        <v>Araba tipi</v>
      </c>
      <c r="G399" s="4" t="str">
        <f>IFERROR(__xludf.DUMMYFUNCTION("GOOGLETRANSLATE(B399,""en"",""ru"")"),"Тип автомобиля")</f>
        <v>Тип автомобиля</v>
      </c>
      <c r="H399" s="4" t="str">
        <f>IFERROR(__xludf.DUMMYFUNCTION("GOOGLETRANSLATE(B399,""en"",""it"")"),"Tipo di macchina")</f>
        <v>Tipo di macchina</v>
      </c>
      <c r="I399" s="4" t="str">
        <f>IFERROR(__xludf.DUMMYFUNCTION("GOOGLETRANSLATE(B399,""en"",""de"")"),"Auto Typ")</f>
        <v>Auto Typ</v>
      </c>
      <c r="J399" s="4" t="str">
        <f>IFERROR(__xludf.DUMMYFUNCTION("GOOGLETRANSLATE(B399,""en"",""ko"")"),"자동차 종류")</f>
        <v>자동차 종류</v>
      </c>
      <c r="K399" s="4" t="str">
        <f>IFERROR(__xludf.DUMMYFUNCTION("GOOGLETRANSLATE(B399,""en"",""zh"")"),"车型")</f>
        <v>车型</v>
      </c>
      <c r="L399" s="4" t="str">
        <f>IFERROR(__xludf.DUMMYFUNCTION("GOOGLETRANSLATE(B399,""en"",""es"")"),"Tipo de carro")</f>
        <v>Tipo de carro</v>
      </c>
      <c r="M399" s="4" t="str">
        <f>IFERROR(__xludf.DUMMYFUNCTION("GOOGLETRANSLATE(B399,""en"",""iw"")"),"סוג רכב")</f>
        <v>סוג רכב</v>
      </c>
      <c r="N399" s="4" t="str">
        <f>IFERROR(__xludf.DUMMYFUNCTION("GOOGLETRANSLATE(B399,""en"",""bn"")"),"গাড়ির ধরন")</f>
        <v>গাড়ির ধরন</v>
      </c>
      <c r="O399" s="4" t="str">
        <f>IFERROR(__xludf.DUMMYFUNCTION("GOOGLETRANSLATE(B399,""en"",""pt"")"),"Tipo de carro")</f>
        <v>Tipo de carro</v>
      </c>
      <c r="P399" s="4"/>
    </row>
    <row r="400">
      <c r="A400" s="38" t="s">
        <v>1018</v>
      </c>
      <c r="B400" s="39" t="s">
        <v>1019</v>
      </c>
      <c r="C400" s="4" t="str">
        <f>IFERROR(__xludf.DUMMYFUNCTION("GOOGLETRANSLATE(B400,""en"",""hi"")"),"नाम बनाओ")</f>
        <v>नाम बनाओ</v>
      </c>
      <c r="D400" s="4" t="str">
        <f>IFERROR(__xludf.DUMMYFUNCTION("GOOGLETRANSLATE(B400,""en"",""ar"")"),"جعل الاسم")</f>
        <v>جعل الاسم</v>
      </c>
      <c r="E400" s="4" t="str">
        <f>IFERROR(__xludf.DUMMYFUNCTION("GOOGLETRANSLATE(B400,""en"",""fr"")"),"Faire un nom")</f>
        <v>Faire un nom</v>
      </c>
      <c r="F400" s="4" t="str">
        <f>IFERROR(__xludf.DUMMYFUNCTION("GOOGLETRANSLATE(B400,""en"",""tr"")"),"İsim Yap")</f>
        <v>İsim Yap</v>
      </c>
      <c r="G400" s="4" t="str">
        <f>IFERROR(__xludf.DUMMYFUNCTION("GOOGLETRANSLATE(B400,""en"",""ru"")"),"Сделать имя")</f>
        <v>Сделать имя</v>
      </c>
      <c r="H400" s="4" t="str">
        <f>IFERROR(__xludf.DUMMYFUNCTION("GOOGLETRANSLATE(B400,""en"",""it"")"),"Crea nome")</f>
        <v>Crea nome</v>
      </c>
      <c r="I400" s="4" t="str">
        <f>IFERROR(__xludf.DUMMYFUNCTION("GOOGLETRANSLATE(B400,""en"",""de"")"),"Machen Sie einen Namen")</f>
        <v>Machen Sie einen Namen</v>
      </c>
      <c r="J400" s="4" t="str">
        <f>IFERROR(__xludf.DUMMYFUNCTION("GOOGLETRANSLATE(B400,""en"",""ko"")"),"이름 짓기")</f>
        <v>이름 짓기</v>
      </c>
      <c r="K400" s="4" t="str">
        <f>IFERROR(__xludf.DUMMYFUNCTION("GOOGLETRANSLATE(B400,""en"",""zh"")"),"起名字")</f>
        <v>起名字</v>
      </c>
      <c r="L400" s="4" t="str">
        <f>IFERROR(__xludf.DUMMYFUNCTION("GOOGLETRANSLATE(B400,""en"",""es"")"),"Hacer nombre")</f>
        <v>Hacer nombre</v>
      </c>
      <c r="M400" s="4" t="str">
        <f>IFERROR(__xludf.DUMMYFUNCTION("GOOGLETRANSLATE(B400,""en"",""iw"")"),"עשה שם")</f>
        <v>עשה שם</v>
      </c>
      <c r="N400" s="4" t="str">
        <f>IFERROR(__xludf.DUMMYFUNCTION("GOOGLETRANSLATE(B400,""en"",""bn"")"),"নাম করুন")</f>
        <v>নাম করুন</v>
      </c>
      <c r="O400" s="4" t="str">
        <f>IFERROR(__xludf.DUMMYFUNCTION("GOOGLETRANSLATE(B400,""en"",""pt"")"),"Faça Nome")</f>
        <v>Faça Nome</v>
      </c>
      <c r="P400" s="4"/>
    </row>
    <row r="401">
      <c r="A401" s="38" t="s">
        <v>1020</v>
      </c>
      <c r="B401" s="39" t="s">
        <v>1021</v>
      </c>
      <c r="C401" s="4" t="str">
        <f>IFERROR(__xludf.DUMMYFUNCTION("GOOGLETRANSLATE(B401,""en"",""hi"")"),"मॉडल नाम")</f>
        <v>मॉडल नाम</v>
      </c>
      <c r="D401" s="4" t="str">
        <f>IFERROR(__xludf.DUMMYFUNCTION("GOOGLETRANSLATE(B401,""en"",""ar"")"),"اسم النموذج")</f>
        <v>اسم النموذج</v>
      </c>
      <c r="E401" s="4" t="str">
        <f>IFERROR(__xludf.DUMMYFUNCTION("GOOGLETRANSLATE(B401,""en"",""fr"")"),"Nom du modèle")</f>
        <v>Nom du modèle</v>
      </c>
      <c r="F401" s="4" t="str">
        <f>IFERROR(__xludf.DUMMYFUNCTION("GOOGLETRANSLATE(B401,""en"",""tr"")"),"Model adı")</f>
        <v>Model adı</v>
      </c>
      <c r="G401" s="4" t="str">
        <f>IFERROR(__xludf.DUMMYFUNCTION("GOOGLETRANSLATE(B401,""en"",""ru"")"),"Название модели")</f>
        <v>Название модели</v>
      </c>
      <c r="H401" s="4" t="str">
        <f>IFERROR(__xludf.DUMMYFUNCTION("GOOGLETRANSLATE(B401,""en"",""it"")"),"Nome del modello")</f>
        <v>Nome del modello</v>
      </c>
      <c r="I401" s="4" t="str">
        <f>IFERROR(__xludf.DUMMYFUNCTION("GOOGLETRANSLATE(B401,""en"",""de"")"),"Modellname")</f>
        <v>Modellname</v>
      </c>
      <c r="J401" s="4" t="str">
        <f>IFERROR(__xludf.DUMMYFUNCTION("GOOGLETRANSLATE(B401,""en"",""ko"")"),"모델명")</f>
        <v>모델명</v>
      </c>
      <c r="K401" s="4" t="str">
        <f>IFERROR(__xludf.DUMMYFUNCTION("GOOGLETRANSLATE(B401,""en"",""zh"")"),"型号名称")</f>
        <v>型号名称</v>
      </c>
      <c r="L401" s="4" t="str">
        <f>IFERROR(__xludf.DUMMYFUNCTION("GOOGLETRANSLATE(B401,""en"",""es"")"),"Nombre del modelo")</f>
        <v>Nombre del modelo</v>
      </c>
      <c r="M401" s="4" t="str">
        <f>IFERROR(__xludf.DUMMYFUNCTION("GOOGLETRANSLATE(B401,""en"",""iw"")"),"שם המודל")</f>
        <v>שם המודל</v>
      </c>
      <c r="N401" s="4" t="str">
        <f>IFERROR(__xludf.DUMMYFUNCTION("GOOGLETRANSLATE(B401,""en"",""bn"")"),"ণশড")</f>
        <v>ণশড</v>
      </c>
      <c r="O401" s="4" t="str">
        <f>IFERROR(__xludf.DUMMYFUNCTION("GOOGLETRANSLATE(B401,""en"",""pt"")"),"Nome do modelo")</f>
        <v>Nome do modelo</v>
      </c>
      <c r="P401" s="4"/>
    </row>
    <row r="402">
      <c r="A402" s="38" t="s">
        <v>1022</v>
      </c>
      <c r="B402" s="22" t="s">
        <v>1023</v>
      </c>
      <c r="C402" s="4" t="str">
        <f>IFERROR(__xludf.DUMMYFUNCTION("GOOGLETRANSLATE(B402,""en"",""hi"")"),"आदर्श वर्ष")</f>
        <v>आदर्श वर्ष</v>
      </c>
      <c r="D402" s="4" t="str">
        <f>IFERROR(__xludf.DUMMYFUNCTION("GOOGLETRANSLATE(B402,""en"",""ar"")"),"سنة الصنع")</f>
        <v>سنة الصنع</v>
      </c>
      <c r="E402" s="4" t="str">
        <f>IFERROR(__xludf.DUMMYFUNCTION("GOOGLETRANSLATE(B402,""en"",""fr"")"),"Année modèle")</f>
        <v>Année modèle</v>
      </c>
      <c r="F402" s="4" t="str">
        <f>IFERROR(__xludf.DUMMYFUNCTION("GOOGLETRANSLATE(B402,""en"",""tr"")"),"Model Yılı")</f>
        <v>Model Yılı</v>
      </c>
      <c r="G402" s="4" t="str">
        <f>IFERROR(__xludf.DUMMYFUNCTION("GOOGLETRANSLATE(B402,""en"",""ru"")"),"Год выпуска")</f>
        <v>Год выпуска</v>
      </c>
      <c r="H402" s="4" t="str">
        <f>IFERROR(__xludf.DUMMYFUNCTION("GOOGLETRANSLATE(B402,""en"",""it"")"),"Anno del modello")</f>
        <v>Anno del modello</v>
      </c>
      <c r="I402" s="4" t="str">
        <f>IFERROR(__xludf.DUMMYFUNCTION("GOOGLETRANSLATE(B402,""en"",""de"")"),"Model Jahr")</f>
        <v>Model Jahr</v>
      </c>
      <c r="J402" s="4" t="str">
        <f>IFERROR(__xludf.DUMMYFUNCTION("GOOGLETRANSLATE(B402,""en"",""ko"")"),"모델 연도")</f>
        <v>모델 연도</v>
      </c>
      <c r="K402" s="4" t="str">
        <f>IFERROR(__xludf.DUMMYFUNCTION("GOOGLETRANSLATE(B402,""en"",""zh"")"),"型号年份")</f>
        <v>型号年份</v>
      </c>
      <c r="L402" s="4" t="str">
        <f>IFERROR(__xludf.DUMMYFUNCTION("GOOGLETRANSLATE(B402,""en"",""es"")"),"Año del modelo")</f>
        <v>Año del modelo</v>
      </c>
      <c r="M402" s="4" t="str">
        <f>IFERROR(__xludf.DUMMYFUNCTION("GOOGLETRANSLATE(B402,""en"",""iw"")"),"שנת מודל")</f>
        <v>שנת מודל</v>
      </c>
      <c r="N402" s="4" t="str">
        <f>IFERROR(__xludf.DUMMYFUNCTION("GOOGLETRANSLATE(B402,""en"",""bn"")"),"আদর্শ বছর")</f>
        <v>আদর্শ বছর</v>
      </c>
      <c r="O402" s="4" t="str">
        <f>IFERROR(__xludf.DUMMYFUNCTION("GOOGLETRANSLATE(B402,""en"",""pt"")"),"Ano modelo")</f>
        <v>Ano modelo</v>
      </c>
      <c r="P402" s="4"/>
    </row>
    <row r="403">
      <c r="A403" s="38" t="s">
        <v>1024</v>
      </c>
      <c r="B403" s="39" t="s">
        <v>1025</v>
      </c>
      <c r="C403" s="4" t="str">
        <f>IFERROR(__xludf.DUMMYFUNCTION("GOOGLETRANSLATE(B403,""en"",""hi"")"),"वाहन मॉडल वर्ष दर्ज करें")</f>
        <v>वाहन मॉडल वर्ष दर्ज करें</v>
      </c>
      <c r="D403" s="4" t="str">
        <f>IFERROR(__xludf.DUMMYFUNCTION("GOOGLETRANSLATE(B403,""en"",""ar"")"),"أدخل سنة طراز السيارة")</f>
        <v>أدخل سنة طراز السيارة</v>
      </c>
      <c r="E403" s="4" t="str">
        <f>IFERROR(__xludf.DUMMYFUNCTION("GOOGLETRANSLATE(B403,""en"",""fr"")"),"Entrez l'année du modèle du véhicule")</f>
        <v>Entrez l'année du modèle du véhicule</v>
      </c>
      <c r="F403" s="4" t="str">
        <f>IFERROR(__xludf.DUMMYFUNCTION("GOOGLETRANSLATE(B403,""en"",""tr"")"),"Araç Model Yılını Girin")</f>
        <v>Araç Model Yılını Girin</v>
      </c>
      <c r="G403" s="4" t="str">
        <f>IFERROR(__xludf.DUMMYFUNCTION("GOOGLETRANSLATE(B403,""en"",""ru"")"),"Введите год модели автомобиля")</f>
        <v>Введите год модели автомобиля</v>
      </c>
      <c r="H403" s="4" t="str">
        <f>IFERROR(__xludf.DUMMYFUNCTION("GOOGLETRANSLATE(B403,""en"",""it"")"),"Inserisci l'anno del modello del veicolo")</f>
        <v>Inserisci l'anno del modello del veicolo</v>
      </c>
      <c r="I403" s="4" t="str">
        <f>IFERROR(__xludf.DUMMYFUNCTION("GOOGLETRANSLATE(B403,""en"",""de"")"),"Geben Sie das Fahrzeugmodelljahr ein")</f>
        <v>Geben Sie das Fahrzeugmodelljahr ein</v>
      </c>
      <c r="J403" s="4" t="str">
        <f>IFERROR(__xludf.DUMMYFUNCTION("GOOGLETRANSLATE(B403,""en"",""ko"")"),"차량 모델 연도를 입력하세요.")</f>
        <v>차량 모델 연도를 입력하세요.</v>
      </c>
      <c r="K403" s="4" t="str">
        <f>IFERROR(__xludf.DUMMYFUNCTION("GOOGLETRANSLATE(B403,""en"",""zh"")"),"输入车辆型号年份")</f>
        <v>输入车辆型号年份</v>
      </c>
      <c r="L403" s="4" t="str">
        <f>IFERROR(__xludf.DUMMYFUNCTION("GOOGLETRANSLATE(B403,""en"",""es"")"),"Ingrese el año del modelo del vehículo")</f>
        <v>Ingrese el año del modelo del vehículo</v>
      </c>
      <c r="M403" s="4" t="str">
        <f>IFERROR(__xludf.DUMMYFUNCTION("GOOGLETRANSLATE(B403,""en"",""iw"")"),"הזן שנת דגם רכב")</f>
        <v>הזן שנת דגם רכב</v>
      </c>
      <c r="N403" s="4" t="str">
        <f>IFERROR(__xludf.DUMMYFUNCTION("GOOGLETRANSLATE(B403,""en"",""bn"")"),"যানবাহনের মডেল বছর লিখুন")</f>
        <v>যানবাহনের মডেল বছর লিখুন</v>
      </c>
      <c r="O403" s="4" t="str">
        <f>IFERROR(__xludf.DUMMYFUNCTION("GOOGLETRANSLATE(B403,""en"",""pt"")"),"Insira o ano do modelo do veículo")</f>
        <v>Insira o ano do modelo do veículo</v>
      </c>
      <c r="P403" s="4"/>
    </row>
    <row r="404">
      <c r="A404" s="38" t="s">
        <v>1026</v>
      </c>
      <c r="B404" s="39" t="s">
        <v>1027</v>
      </c>
      <c r="C404" s="4" t="str">
        <f>IFERROR(__xludf.DUMMYFUNCTION("GOOGLETRANSLATE(B404,""en"",""hi"")"),"कृपया मान्य तिथि दर्ज करें")</f>
        <v>कृपया मान्य तिथि दर्ज करें</v>
      </c>
      <c r="D404" s="4" t="str">
        <f>IFERROR(__xludf.DUMMYFUNCTION("GOOGLETRANSLATE(B404,""en"",""ar"")"),"الرجاء إدخال تاريخ صالح")</f>
        <v>الرجاء إدخال تاريخ صالح</v>
      </c>
      <c r="E404" s="4" t="str">
        <f>IFERROR(__xludf.DUMMYFUNCTION("GOOGLETRANSLATE(B404,""en"",""fr"")"),"Veuillez entrer une date valide")</f>
        <v>Veuillez entrer une date valide</v>
      </c>
      <c r="F404" s="4" t="str">
        <f>IFERROR(__xludf.DUMMYFUNCTION("GOOGLETRANSLATE(B404,""en"",""tr"")"),"Lütfen Geçerli Tarih Girin")</f>
        <v>Lütfen Geçerli Tarih Girin</v>
      </c>
      <c r="G404" s="4" t="str">
        <f>IFERROR(__xludf.DUMMYFUNCTION("GOOGLETRANSLATE(B404,""en"",""ru"")"),"Пожалуйста, введите действительную дату")</f>
        <v>Пожалуйста, введите действительную дату</v>
      </c>
      <c r="H404" s="4" t="str">
        <f>IFERROR(__xludf.DUMMYFUNCTION("GOOGLETRANSLATE(B404,""en"",""it"")"),"Inserisci una data valida")</f>
        <v>Inserisci una data valida</v>
      </c>
      <c r="I404" s="4" t="str">
        <f>IFERROR(__xludf.DUMMYFUNCTION("GOOGLETRANSLATE(B404,""en"",""de"")"),"Bitte geben Sie ein gültiges Datum ein")</f>
        <v>Bitte geben Sie ein gültiges Datum ein</v>
      </c>
      <c r="J404" s="4" t="str">
        <f>IFERROR(__xludf.DUMMYFUNCTION("GOOGLETRANSLATE(B404,""en"",""ko"")"),"유효한 날짜를 입력하십시오")</f>
        <v>유효한 날짜를 입력하십시오</v>
      </c>
      <c r="K404" s="4" t="str">
        <f>IFERROR(__xludf.DUMMYFUNCTION("GOOGLETRANSLATE(B404,""en"",""zh"")"),"请输入有效日期")</f>
        <v>请输入有效日期</v>
      </c>
      <c r="L404" s="4" t="str">
        <f>IFERROR(__xludf.DUMMYFUNCTION("GOOGLETRANSLATE(B404,""en"",""es"")"),"Por favor ingrese la fecha válida")</f>
        <v>Por favor ingrese la fecha válida</v>
      </c>
      <c r="M404" s="4" t="str">
        <f>IFERROR(__xludf.DUMMYFUNCTION("GOOGLETRANSLATE(B404,""en"",""iw"")"),"נא להזין תאריך חוקי")</f>
        <v>נא להזין תאריך חוקי</v>
      </c>
      <c r="N404" s="4" t="str">
        <f>IFERROR(__xludf.DUMMYFUNCTION("GOOGLETRANSLATE(B404,""en"",""bn"")"),"বৈধ তারিখ লিখুন")</f>
        <v>বৈধ তারিখ লিখুন</v>
      </c>
      <c r="O404" s="4" t="str">
        <f>IFERROR(__xludf.DUMMYFUNCTION("GOOGLETRANSLATE(B404,""en"",""pt"")"),"Insira uma data válida")</f>
        <v>Insira uma data válida</v>
      </c>
      <c r="P404" s="4"/>
    </row>
    <row r="405">
      <c r="A405" s="38" t="s">
        <v>1028</v>
      </c>
      <c r="B405" s="39" t="s">
        <v>1029</v>
      </c>
      <c r="C405" s="4" t="str">
        <f>IFERROR(__xludf.DUMMYFUNCTION("GOOGLETRANSLATE(B405,""en"",""hi"")"),"वाहन संख्या दर्ज करें")</f>
        <v>वाहन संख्या दर्ज करें</v>
      </c>
      <c r="D405" s="4" t="str">
        <f>IFERROR(__xludf.DUMMYFUNCTION("GOOGLETRANSLATE(B405,""en"",""ar"")"),"أدخل رقم المركبة")</f>
        <v>أدخل رقم المركبة</v>
      </c>
      <c r="E405" s="4" t="str">
        <f>IFERROR(__xludf.DUMMYFUNCTION("GOOGLETRANSLATE(B405,""en"",""fr"")"),"Entrez le numéro du véhicule")</f>
        <v>Entrez le numéro du véhicule</v>
      </c>
      <c r="F405" s="4" t="str">
        <f>IFERROR(__xludf.DUMMYFUNCTION("GOOGLETRANSLATE(B405,""en"",""tr"")"),"Araç Numarasını Girin")</f>
        <v>Araç Numarasını Girin</v>
      </c>
      <c r="G405" s="4" t="str">
        <f>IFERROR(__xludf.DUMMYFUNCTION("GOOGLETRANSLATE(B405,""en"",""ru"")"),"Введите номер автомобиля")</f>
        <v>Введите номер автомобиля</v>
      </c>
      <c r="H405" s="4" t="str">
        <f>IFERROR(__xludf.DUMMYFUNCTION("GOOGLETRANSLATE(B405,""en"",""it"")"),"Inserisci il numero del veicolo")</f>
        <v>Inserisci il numero del veicolo</v>
      </c>
      <c r="I405" s="4" t="str">
        <f>IFERROR(__xludf.DUMMYFUNCTION("GOOGLETRANSLATE(B405,""en"",""de"")"),"Geben Sie die Fahrzeugnummer ein")</f>
        <v>Geben Sie die Fahrzeugnummer ein</v>
      </c>
      <c r="J405" s="4" t="str">
        <f>IFERROR(__xludf.DUMMYFUNCTION("GOOGLETRANSLATE(B405,""en"",""ko"")"),"차량번호 입력")</f>
        <v>차량번호 입력</v>
      </c>
      <c r="K405" s="4" t="str">
        <f>IFERROR(__xludf.DUMMYFUNCTION("GOOGLETRANSLATE(B405,""en"",""zh"")"),"输入车号")</f>
        <v>输入车号</v>
      </c>
      <c r="L405" s="4" t="str">
        <f>IFERROR(__xludf.DUMMYFUNCTION("GOOGLETRANSLATE(B405,""en"",""es"")"),"Ingrese el número de vehículo")</f>
        <v>Ingrese el número de vehículo</v>
      </c>
      <c r="M405" s="4" t="str">
        <f>IFERROR(__xludf.DUMMYFUNCTION("GOOGLETRANSLATE(B405,""en"",""iw"")"),"הזן מספר רכב")</f>
        <v>הזן מספר רכב</v>
      </c>
      <c r="N405" s="4" t="str">
        <f>IFERROR(__xludf.DUMMYFUNCTION("GOOGLETRANSLATE(B405,""en"",""bn"")"),"যানবাহনের নম্বর লিখুন")</f>
        <v>যানবাহনের নম্বর লিখুন</v>
      </c>
      <c r="O405" s="4" t="str">
        <f>IFERROR(__xludf.DUMMYFUNCTION("GOOGLETRANSLATE(B405,""en"",""pt"")"),"Insira o número do veículo")</f>
        <v>Insira o número do veículo</v>
      </c>
      <c r="P405" s="4"/>
    </row>
    <row r="406">
      <c r="A406" s="38" t="s">
        <v>1030</v>
      </c>
      <c r="B406" s="39" t="s">
        <v>1031</v>
      </c>
      <c r="C406" s="4" t="str">
        <f>IFERROR(__xludf.DUMMYFUNCTION("GOOGLETRANSLATE(B406,""en"",""hi"")"),"वाहन का रंग दर्ज करें")</f>
        <v>वाहन का रंग दर्ज करें</v>
      </c>
      <c r="D406" s="4" t="str">
        <f>IFERROR(__xludf.DUMMYFUNCTION("GOOGLETRANSLATE(B406,""en"",""ar"")"),"أدخل لون المركبة")</f>
        <v>أدخل لون المركبة</v>
      </c>
      <c r="E406" s="4" t="str">
        <f>IFERROR(__xludf.DUMMYFUNCTION("GOOGLETRANSLATE(B406,""en"",""fr"")"),"Entrez la couleur du véhicule")</f>
        <v>Entrez la couleur du véhicule</v>
      </c>
      <c r="F406" s="4" t="str">
        <f>IFERROR(__xludf.DUMMYFUNCTION("GOOGLETRANSLATE(B406,""en"",""tr"")"),"Araç Rengini Girin")</f>
        <v>Araç Rengini Girin</v>
      </c>
      <c r="G406" s="4" t="str">
        <f>IFERROR(__xludf.DUMMYFUNCTION("GOOGLETRANSLATE(B406,""en"",""ru"")"),"Введите цвет автомобиля")</f>
        <v>Введите цвет автомобиля</v>
      </c>
      <c r="H406" s="4" t="str">
        <f>IFERROR(__xludf.DUMMYFUNCTION("GOOGLETRANSLATE(B406,""en"",""it"")"),"Inserisci il colore del veicolo")</f>
        <v>Inserisci il colore del veicolo</v>
      </c>
      <c r="I406" s="4" t="str">
        <f>IFERROR(__xludf.DUMMYFUNCTION("GOOGLETRANSLATE(B406,""en"",""de"")"),"Geben Sie die Fahrzeugfarbe ein")</f>
        <v>Geben Sie die Fahrzeugfarbe ein</v>
      </c>
      <c r="J406" s="4" t="str">
        <f>IFERROR(__xludf.DUMMYFUNCTION("GOOGLETRANSLATE(B406,""en"",""ko"")"),"차량 색상 입력")</f>
        <v>차량 색상 입력</v>
      </c>
      <c r="K406" s="4" t="str">
        <f>IFERROR(__xludf.DUMMYFUNCTION("GOOGLETRANSLATE(B406,""en"",""zh"")"),"输入车辆颜色")</f>
        <v>输入车辆颜色</v>
      </c>
      <c r="L406" s="4" t="str">
        <f>IFERROR(__xludf.DUMMYFUNCTION("GOOGLETRANSLATE(B406,""en"",""es"")"),"Ingrese el color del vehículo")</f>
        <v>Ingrese el color del vehículo</v>
      </c>
      <c r="M406" s="4" t="str">
        <f>IFERROR(__xludf.DUMMYFUNCTION("GOOGLETRANSLATE(B406,""en"",""iw"")"),"הזן צבע רכב")</f>
        <v>הזן צבע רכב</v>
      </c>
      <c r="N406" s="4" t="str">
        <f>IFERROR(__xludf.DUMMYFUNCTION("GOOGLETRANSLATE(B406,""en"",""bn"")"),"যানবাহনের রঙ লিখুন")</f>
        <v>যানবাহনের রঙ লিখুন</v>
      </c>
      <c r="O406" s="4" t="str">
        <f>IFERROR(__xludf.DUMMYFUNCTION("GOOGLETRANSLATE(B406,""en"",""pt"")"),"Insira a cor do veículo")</f>
        <v>Insira a cor do veículo</v>
      </c>
      <c r="P406" s="4"/>
    </row>
    <row r="407">
      <c r="A407" s="38" t="s">
        <v>1032</v>
      </c>
      <c r="B407" s="39" t="s">
        <v>1033</v>
      </c>
      <c r="C407" s="4" t="str">
        <f>IFERROR(__xludf.DUMMYFUNCTION("GOOGLETRANSLATE(B407,""en"",""hi"")"),"साइन आउट")</f>
        <v>साइन आउट</v>
      </c>
      <c r="D407" s="4" t="str">
        <f>IFERROR(__xludf.DUMMYFUNCTION("GOOGLETRANSLATE(B407,""en"",""ar"")"),"خروج")</f>
        <v>خروج</v>
      </c>
      <c r="E407" s="4" t="str">
        <f>IFERROR(__xludf.DUMMYFUNCTION("GOOGLETRANSLATE(B407,""en"",""fr"")"),"Se déconnecter")</f>
        <v>Se déconnecter</v>
      </c>
      <c r="F407" s="4" t="str">
        <f>IFERROR(__xludf.DUMMYFUNCTION("GOOGLETRANSLATE(B407,""en"",""tr"")"),"Oturumu Kapat")</f>
        <v>Oturumu Kapat</v>
      </c>
      <c r="G407" s="4" t="str">
        <f>IFERROR(__xludf.DUMMYFUNCTION("GOOGLETRANSLATE(B407,""en"",""ru"")"),"Выход")</f>
        <v>Выход</v>
      </c>
      <c r="H407" s="4" t="str">
        <f>IFERROR(__xludf.DUMMYFUNCTION("GOOGLETRANSLATE(B407,""en"",""it"")"),"Disconnessione")</f>
        <v>Disconnessione</v>
      </c>
      <c r="I407" s="4" t="str">
        <f>IFERROR(__xludf.DUMMYFUNCTION("GOOGLETRANSLATE(B407,""en"",""de"")"),"Abmelden")</f>
        <v>Abmelden</v>
      </c>
      <c r="J407" s="4" t="str">
        <f>IFERROR(__xludf.DUMMYFUNCTION("GOOGLETRANSLATE(B407,""en"",""ko"")"),"로그아웃")</f>
        <v>로그아웃</v>
      </c>
      <c r="K407" s="4" t="str">
        <f>IFERROR(__xludf.DUMMYFUNCTION("GOOGLETRANSLATE(B407,""en"",""zh"")"),"登出")</f>
        <v>登出</v>
      </c>
      <c r="L407" s="4" t="str">
        <f>IFERROR(__xludf.DUMMYFUNCTION("GOOGLETRANSLATE(B407,""en"",""es"")"),"Desconectar")</f>
        <v>Desconectar</v>
      </c>
      <c r="M407" s="4" t="str">
        <f>IFERROR(__xludf.DUMMYFUNCTION("GOOGLETRANSLATE(B407,""en"",""iw"")"),"התנתק")</f>
        <v>התנתק</v>
      </c>
      <c r="N407" s="4" t="str">
        <f>IFERROR(__xludf.DUMMYFUNCTION("GOOGLETRANSLATE(B407,""en"",""bn"")"),"সাইন আউট")</f>
        <v>সাইন আউট</v>
      </c>
      <c r="O407" s="4" t="str">
        <f>IFERROR(__xludf.DUMMYFUNCTION("GOOGLETRANSLATE(B407,""en"",""pt"")"),"Sair")</f>
        <v>Sair</v>
      </c>
      <c r="P407" s="4"/>
    </row>
    <row r="408">
      <c r="A408" s="38" t="s">
        <v>1034</v>
      </c>
      <c r="B408" s="39" t="s">
        <v>1035</v>
      </c>
      <c r="C408" s="4" t="str">
        <f>IFERROR(__xludf.DUMMYFUNCTION("GOOGLETRANSLATE(B408,""en"",""hi"")"),"सहेजा गया पता")</f>
        <v>सहेजा गया पता</v>
      </c>
      <c r="D408" s="4" t="str">
        <f>IFERROR(__xludf.DUMMYFUNCTION("GOOGLETRANSLATE(B408,""en"",""ar"")"),"العنوان المحفوظ")</f>
        <v>العنوان المحفوظ</v>
      </c>
      <c r="E408" s="4" t="str">
        <f>IFERROR(__xludf.DUMMYFUNCTION("GOOGLETRANSLATE(B408,""en"",""fr"")"),"Adresse enregistrée")</f>
        <v>Adresse enregistrée</v>
      </c>
      <c r="F408" s="4" t="str">
        <f>IFERROR(__xludf.DUMMYFUNCTION("GOOGLETRANSLATE(B408,""en"",""tr"")"),"Kayıtlı Adres")</f>
        <v>Kayıtlı Adres</v>
      </c>
      <c r="G408" s="4" t="str">
        <f>IFERROR(__xludf.DUMMYFUNCTION("GOOGLETRANSLATE(B408,""en"",""ru"")"),"Сохраненный адрес")</f>
        <v>Сохраненный адрес</v>
      </c>
      <c r="H408" s="4" t="str">
        <f>IFERROR(__xludf.DUMMYFUNCTION("GOOGLETRANSLATE(B408,""en"",""it"")"),"Indirizzo salvato")</f>
        <v>Indirizzo salvato</v>
      </c>
      <c r="I408" s="4" t="str">
        <f>IFERROR(__xludf.DUMMYFUNCTION("GOOGLETRANSLATE(B408,""en"",""de"")"),"Gespeicherte Adresse")</f>
        <v>Gespeicherte Adresse</v>
      </c>
      <c r="J408" s="4" t="str">
        <f>IFERROR(__xludf.DUMMYFUNCTION("GOOGLETRANSLATE(B408,""en"",""ko"")"),"저장된 주소")</f>
        <v>저장된 주소</v>
      </c>
      <c r="K408" s="4" t="str">
        <f>IFERROR(__xludf.DUMMYFUNCTION("GOOGLETRANSLATE(B408,""en"",""zh"")"),"已保存地址")</f>
        <v>已保存地址</v>
      </c>
      <c r="L408" s="4" t="str">
        <f>IFERROR(__xludf.DUMMYFUNCTION("GOOGLETRANSLATE(B408,""en"",""es"")"),"Dirección guardada")</f>
        <v>Dirección guardada</v>
      </c>
      <c r="M408" s="4" t="str">
        <f>IFERROR(__xludf.DUMMYFUNCTION("GOOGLETRANSLATE(B408,""en"",""iw"")"),"כתובת שמורה")</f>
        <v>כתובת שמורה</v>
      </c>
      <c r="N408" s="4" t="str">
        <f>IFERROR(__xludf.DUMMYFUNCTION("GOOGLETRANSLATE(B408,""en"",""bn"")"),"সংরক্ষিত ঠিকানা")</f>
        <v>সংরক্ষিত ঠিকানা</v>
      </c>
      <c r="O408" s="4" t="str">
        <f>IFERROR(__xludf.DUMMYFUNCTION("GOOGLETRANSLATE(B408,""en"",""pt"")"),"Endereço salvo")</f>
        <v>Endereço salvo</v>
      </c>
      <c r="P408" s="4"/>
    </row>
    <row r="409">
      <c r="A409" s="38" t="s">
        <v>1036</v>
      </c>
      <c r="B409" s="39" t="s">
        <v>1037</v>
      </c>
      <c r="C409" s="4" t="str">
        <f>IFERROR(__xludf.DUMMYFUNCTION("GOOGLETRANSLATE(B409,""en"",""hi"")"),"मेरे आदेश")</f>
        <v>मेरे आदेश</v>
      </c>
      <c r="D409" s="4" t="str">
        <f>IFERROR(__xludf.DUMMYFUNCTION("GOOGLETRANSLATE(B409,""en"",""ar"")"),"طلباتي")</f>
        <v>طلباتي</v>
      </c>
      <c r="E409" s="4" t="str">
        <f>IFERROR(__xludf.DUMMYFUNCTION("GOOGLETRANSLATE(B409,""en"",""fr"")"),"Mes commandes")</f>
        <v>Mes commandes</v>
      </c>
      <c r="F409" s="4" t="str">
        <f>IFERROR(__xludf.DUMMYFUNCTION("GOOGLETRANSLATE(B409,""en"",""tr"")"),"Siparişlerim")</f>
        <v>Siparişlerim</v>
      </c>
      <c r="G409" s="4" t="str">
        <f>IFERROR(__xludf.DUMMYFUNCTION("GOOGLETRANSLATE(B409,""en"",""ru"")"),"мои заказы")</f>
        <v>мои заказы</v>
      </c>
      <c r="H409" s="4" t="str">
        <f>IFERROR(__xludf.DUMMYFUNCTION("GOOGLETRANSLATE(B409,""en"",""it"")"),"i miei ordini")</f>
        <v>i miei ordini</v>
      </c>
      <c r="I409" s="4" t="str">
        <f>IFERROR(__xludf.DUMMYFUNCTION("GOOGLETRANSLATE(B409,""en"",""de"")"),"Meine Bestellungen")</f>
        <v>Meine Bestellungen</v>
      </c>
      <c r="J409" s="4" t="str">
        <f>IFERROR(__xludf.DUMMYFUNCTION("GOOGLETRANSLATE(B409,""en"",""ko"")"),"내 주문")</f>
        <v>내 주문</v>
      </c>
      <c r="K409" s="4" t="str">
        <f>IFERROR(__xludf.DUMMYFUNCTION("GOOGLETRANSLATE(B409,""en"",""zh"")"),"我的订单")</f>
        <v>我的订单</v>
      </c>
      <c r="L409" s="4" t="str">
        <f>IFERROR(__xludf.DUMMYFUNCTION("GOOGLETRANSLATE(B409,""en"",""es"")"),"Mis ordenes")</f>
        <v>Mis ordenes</v>
      </c>
      <c r="M409" s="4" t="str">
        <f>IFERROR(__xludf.DUMMYFUNCTION("GOOGLETRANSLATE(B409,""en"",""iw"")"),"ההזמנות שלי")</f>
        <v>ההזמנות שלי</v>
      </c>
      <c r="N409" s="4" t="str">
        <f>IFERROR(__xludf.DUMMYFUNCTION("GOOGLETRANSLATE(B409,""en"",""bn"")"),"আমার আদেশ")</f>
        <v>আমার আদেশ</v>
      </c>
      <c r="O409" s="4" t="str">
        <f>IFERROR(__xludf.DUMMYFUNCTION("GOOGLETRANSLATE(B409,""en"",""pt"")"),"minhas ordens")</f>
        <v>minhas ordens</v>
      </c>
      <c r="P409" s="4"/>
    </row>
    <row r="410">
      <c r="A410" s="38" t="s">
        <v>1038</v>
      </c>
      <c r="B410" s="39" t="s">
        <v>1039</v>
      </c>
      <c r="C410" s="4" t="str">
        <f>IFERROR(__xludf.DUMMYFUNCTION("GOOGLETRANSLATE(B410,""en"",""hi"")"),"कुल")</f>
        <v>कुल</v>
      </c>
      <c r="D410" s="4" t="str">
        <f>IFERROR(__xludf.DUMMYFUNCTION("GOOGLETRANSLATE(B410,""en"",""ar"")"),"المجموع")</f>
        <v>المجموع</v>
      </c>
      <c r="E410" s="4" t="str">
        <f>IFERROR(__xludf.DUMMYFUNCTION("GOOGLETRANSLATE(B410,""en"",""fr"")"),"Total")</f>
        <v>Total</v>
      </c>
      <c r="F410" s="4" t="str">
        <f>IFERROR(__xludf.DUMMYFUNCTION("GOOGLETRANSLATE(B410,""en"",""tr"")"),"Toplam")</f>
        <v>Toplam</v>
      </c>
      <c r="G410" s="4" t="str">
        <f>IFERROR(__xludf.DUMMYFUNCTION("GOOGLETRANSLATE(B410,""en"",""ru"")"),"Общий")</f>
        <v>Общий</v>
      </c>
      <c r="H410" s="4" t="str">
        <f>IFERROR(__xludf.DUMMYFUNCTION("GOOGLETRANSLATE(B410,""en"",""it"")"),"Totale")</f>
        <v>Totale</v>
      </c>
      <c r="I410" s="4" t="str">
        <f>IFERROR(__xludf.DUMMYFUNCTION("GOOGLETRANSLATE(B410,""en"",""de"")"),"Gesamt")</f>
        <v>Gesamt</v>
      </c>
      <c r="J410" s="4" t="str">
        <f>IFERROR(__xludf.DUMMYFUNCTION("GOOGLETRANSLATE(B410,""en"",""ko"")"),"총")</f>
        <v>총</v>
      </c>
      <c r="K410" s="4" t="str">
        <f>IFERROR(__xludf.DUMMYFUNCTION("GOOGLETRANSLATE(B410,""en"",""zh"")"),"全部的")</f>
        <v>全部的</v>
      </c>
      <c r="L410" s="4" t="str">
        <f>IFERROR(__xludf.DUMMYFUNCTION("GOOGLETRANSLATE(B410,""en"",""es"")"),"Total")</f>
        <v>Total</v>
      </c>
      <c r="M410" s="4" t="str">
        <f>IFERROR(__xludf.DUMMYFUNCTION("GOOGLETRANSLATE(B410,""en"",""iw"")"),"סה""כ")</f>
        <v>סה"כ</v>
      </c>
      <c r="N410" s="4" t="str">
        <f>IFERROR(__xludf.DUMMYFUNCTION("GOOGLETRANSLATE(B410,""en"",""bn"")"),"মোট")</f>
        <v>মোট</v>
      </c>
      <c r="O410" s="4" t="str">
        <f>IFERROR(__xludf.DUMMYFUNCTION("GOOGLETRANSLATE(B410,""en"",""pt"")"),"Total")</f>
        <v>Total</v>
      </c>
      <c r="P410" s="4"/>
    </row>
    <row r="411">
      <c r="A411" s="38" t="s">
        <v>1040</v>
      </c>
      <c r="B411" s="40" t="s">
        <v>1041</v>
      </c>
      <c r="C411" s="4" t="str">
        <f>IFERROR(__xludf.DUMMYFUNCTION("GOOGLETRANSLATE(B411,""en"",""hi"")"),"हम आपकी प्रोफ़ाइल का मूल्यांकन कर रहे हैं")</f>
        <v>हम आपकी प्रोफ़ाइल का मूल्यांकन कर रहे हैं</v>
      </c>
      <c r="D411" s="4" t="str">
        <f>IFERROR(__xludf.DUMMYFUNCTION("GOOGLETRANSLATE(B411,""en"",""ar"")"),"نحن نقوم بتقييم ملفك الشخصي")</f>
        <v>نحن نقوم بتقييم ملفك الشخصي</v>
      </c>
      <c r="E411" s="4" t="str">
        <f>IFERROR(__xludf.DUMMYFUNCTION("GOOGLETRANSLATE(B411,""en"",""fr"")"),"Nous évaluons votre profil")</f>
        <v>Nous évaluons votre profil</v>
      </c>
      <c r="F411" s="4" t="str">
        <f>IFERROR(__xludf.DUMMYFUNCTION("GOOGLETRANSLATE(B411,""en"",""tr"")"),"Profilinizi değerlendiriyoruz")</f>
        <v>Profilinizi değerlendiriyoruz</v>
      </c>
      <c r="G411" s="4" t="str">
        <f>IFERROR(__xludf.DUMMYFUNCTION("GOOGLETRANSLATE(B411,""en"",""ru"")"),"Мы оцениваем ваш профиль")</f>
        <v>Мы оцениваем ваш профиль</v>
      </c>
      <c r="H411" s="4" t="str">
        <f>IFERROR(__xludf.DUMMYFUNCTION("GOOGLETRANSLATE(B411,""en"",""it"")"),"Stiamo valutando il tuo profilo")</f>
        <v>Stiamo valutando il tuo profilo</v>
      </c>
      <c r="I411" s="4" t="str">
        <f>IFERROR(__xludf.DUMMYFUNCTION("GOOGLETRANSLATE(B411,""en"",""de"")"),"Wir werten Ihr Profil aus")</f>
        <v>Wir werten Ihr Profil aus</v>
      </c>
      <c r="J411" s="4" t="str">
        <f>IFERROR(__xludf.DUMMYFUNCTION("GOOGLETRANSLATE(B411,""en"",""ko"")"),"귀하의 프로필을 평가하는 중입니다.")</f>
        <v>귀하의 프로필을 평가하는 중입니다.</v>
      </c>
      <c r="K411" s="4" t="str">
        <f>IFERROR(__xludf.DUMMYFUNCTION("GOOGLETRANSLATE(B411,""en"",""zh"")"),"我们正在评估您的个人资料")</f>
        <v>我们正在评估您的个人资料</v>
      </c>
      <c r="L411" s="4" t="str">
        <f>IFERROR(__xludf.DUMMYFUNCTION("GOOGLETRANSLATE(B411,""en"",""es"")"),"Estamos evaluando tu perfil")</f>
        <v>Estamos evaluando tu perfil</v>
      </c>
      <c r="M411" s="4" t="str">
        <f>IFERROR(__xludf.DUMMYFUNCTION("GOOGLETRANSLATE(B411,""en"",""iw"")"),"אנחנו בוחנים את הפרופיל שלך")</f>
        <v>אנחנו בוחנים את הפרופיל שלך</v>
      </c>
      <c r="N411" s="4" t="str">
        <f>IFERROR(__xludf.DUMMYFUNCTION("GOOGLETRANSLATE(B411,""en"",""bn"")"),"আমরা আপনার প্রোফাইল মূল্যায়ন করা হয়")</f>
        <v>আমরা আপনার প্রোফাইল মূল্যায়ন করা হয়</v>
      </c>
      <c r="O411" s="4" t="str">
        <f>IFERROR(__xludf.DUMMYFUNCTION("GOOGLETRANSLATE(B411,""en"",""pt"")"),"Estamos avaliando seu perfil")</f>
        <v>Estamos avaliando seu perfil</v>
      </c>
      <c r="P411" s="4"/>
    </row>
    <row r="412">
      <c r="A412" s="38" t="s">
        <v>1042</v>
      </c>
      <c r="B412" s="40" t="s">
        <v>1043</v>
      </c>
      <c r="C412" s="4" t="str">
        <f>IFERROR(__xludf.DUMMYFUNCTION("GOOGLETRANSLATE(B412,""en"",""hi"")"),"यह सुनिश्चित करने के लिए कि हमारा समुदाय एक मानक बनाए रखता है, हम किसी भी प्रोफ़ाइल को इसमें शामिल होने की अनुमति नहीं देते हैं।")</f>
        <v>यह सुनिश्चित करने के लिए कि हमारा समुदाय एक मानक बनाए रखता है, हम किसी भी प्रोफ़ाइल को इसमें शामिल होने की अनुमति नहीं देते हैं।</v>
      </c>
      <c r="D412" s="4" t="str">
        <f>IFERROR(__xludf.DUMMYFUNCTION("GOOGLETRANSLATE(B412,""en"",""ar"")"),"من أجل التأكد من أن مجتمعنا يلتزم بالمعايير، فإننا لا نسمح لأي ملفات شخصية بالدخول.")</f>
        <v>من أجل التأكد من أن مجتمعنا يلتزم بالمعايير، فإننا لا نسمح لأي ملفات شخصية بالدخول.</v>
      </c>
      <c r="E412" s="4" t="str">
        <f>IFERROR(__xludf.DUMMYFUNCTION("GOOGLETRANSLATE(B412,""en"",""fr"")"),"Afin de garantir que notre communauté respecte les normes, nous n'autorisons aucun profil à entrer.")</f>
        <v>Afin de garantir que notre communauté respecte les normes, nous n'autorisons aucun profil à entrer.</v>
      </c>
      <c r="F412" s="4" t="str">
        <f>IFERROR(__xludf.DUMMYFUNCTION("GOOGLETRANSLATE(B412,""en"",""tr"")"),"Topluluğumuzun bir standarda uyduğundan emin olmak için hiçbir profilin girmesine izin vermiyoruz.")</f>
        <v>Topluluğumuzun bir standarda uyduğundan emin olmak için hiçbir profilin girmesine izin vermiyoruz.</v>
      </c>
      <c r="G412" s="4" t="str">
        <f>IFERROR(__xludf.DUMMYFUNCTION("GOOGLETRANSLATE(B412,""en"",""ru"")"),"Чтобы убедиться, что наше сообщество соответствует стандартам, мы не разрешаем проникновение каких-либо профилей.")</f>
        <v>Чтобы убедиться, что наше сообщество соответствует стандартам, мы не разрешаем проникновение каких-либо профилей.</v>
      </c>
      <c r="H412" s="4" t="str">
        <f>IFERROR(__xludf.DUMMYFUNCTION("GOOGLETRANSLATE(B412,""en"",""it"")"),"Per garantire che la nostra community mantenga uno standard, non consentiamo l'accesso a nessun profilo.")</f>
        <v>Per garantire che la nostra community mantenga uno standard, non consentiamo l'accesso a nessun profilo.</v>
      </c>
      <c r="I412" s="4" t="str">
        <f>IFERROR(__xludf.DUMMYFUNCTION("GOOGLETRANSLATE(B412,""en"",""de"")"),"Um sicherzustellen, dass unsere Community einen Standard einhält, gestatten wir keine Profile.")</f>
        <v>Um sicherzustellen, dass unsere Community einen Standard einhält, gestatten wir keine Profile.</v>
      </c>
      <c r="J412" s="4" t="str">
        <f>IFERROR(__xludf.DUMMYFUNCTION("GOOGLETRANSLATE(B412,""en"",""ko"")"),"우리 커뮤니티가 표준을 유지할 수 있도록 어떤 프로필도 허용하지 않습니다.")</f>
        <v>우리 커뮤니티가 표준을 유지할 수 있도록 어떤 프로필도 허용하지 않습니다.</v>
      </c>
      <c r="K412" s="4" t="str">
        <f>IFERROR(__xludf.DUMMYFUNCTION("GOOGLETRANSLATE(B412,""en"",""zh"")"),"为了确保我们的社区保持标准，我们不允许任何个人资料进入。")</f>
        <v>为了确保我们的社区保持标准，我们不允许任何个人资料进入。</v>
      </c>
      <c r="L412" s="4" t="str">
        <f>IFERROR(__xludf.DUMMYFUNCTION("GOOGLETRANSLATE(B412,""en"",""es"")"),"Para asegurarnos de que nuestra comunidad mantenga un estándar, no permitimos el ingreso de ningún perfil.")</f>
        <v>Para asegurarnos de que nuestra comunidad mantenga un estándar, no permitimos el ingreso de ningún perfil.</v>
      </c>
      <c r="M412" s="4" t="str">
        <f>IFERROR(__xludf.DUMMYFUNCTION("GOOGLETRANSLATE(B412,""en"",""iw"")"),"על מנת לוודא שהקהילה שלנו עומדת בסטנדרטים, איננו מאפשרים לשום פרופיל להיכנס.")</f>
        <v>על מנת לוודא שהקהילה שלנו עומדת בסטנדרטים, איננו מאפשרים לשום פרופיל להיכנס.</v>
      </c>
      <c r="N412" s="4" t="str">
        <f>IFERROR(__xludf.DUMMYFUNCTION("GOOGLETRANSLATE(B412,""en"",""bn"")"),"আমাদের সম্প্রদায় একটি মান ধরে রেখেছে তা নিশ্চিত করার জন্য, আমরা কোনো প্রোফাইলে প্রবেশের অনুমতি দিই না।")</f>
        <v>আমাদের সম্প্রদায় একটি মান ধরে রেখেছে তা নিশ্চিত করার জন্য, আমরা কোনো প্রোফাইলে প্রবেশের অনুমতি দিই না।</v>
      </c>
      <c r="O412" s="4" t="str">
        <f>IFERROR(__xludf.DUMMYFUNCTION("GOOGLETRANSLATE(B412,""en"",""pt"")"),"Para garantir que nossa comunidade mantenha um padrão, não permitimos a entrada de nenhum perfil.")</f>
        <v>Para garantir que nossa comunidade mantenha um padrão, não permitimos a entrada de nenhum perfil.</v>
      </c>
      <c r="P412" s="4"/>
    </row>
    <row r="413">
      <c r="A413" s="38" t="s">
        <v>1044</v>
      </c>
      <c r="B413" s="41" t="s">
        <v>1045</v>
      </c>
      <c r="C413" s="4" t="str">
        <f>IFERROR(__xludf.DUMMYFUNCTION("GOOGLETRANSLATE(B413,""en"",""hi"")"),"कृपया आवश्यक दस्तावेज़ पुनः अपलोड करें")</f>
        <v>कृपया आवश्यक दस्तावेज़ पुनः अपलोड करें</v>
      </c>
      <c r="D413" s="4" t="str">
        <f>IFERROR(__xludf.DUMMYFUNCTION("GOOGLETRANSLATE(B413,""en"",""ar"")"),"يرجى إعادة تحميل الوثيقة المطلوبة")</f>
        <v>يرجى إعادة تحميل الوثيقة المطلوبة</v>
      </c>
      <c r="E413" s="4" t="str">
        <f>IFERROR(__xludf.DUMMYFUNCTION("GOOGLETRANSLATE(B413,""en"",""fr"")"),"Veuillez télécharger à nouveau le document requis")</f>
        <v>Veuillez télécharger à nouveau le document requis</v>
      </c>
      <c r="F413" s="4" t="str">
        <f>IFERROR(__xludf.DUMMYFUNCTION("GOOGLETRANSLATE(B413,""en"",""tr"")"),"Lütfen gerekli belgeyi yeniden yükleyin")</f>
        <v>Lütfen gerekli belgeyi yeniden yükleyin</v>
      </c>
      <c r="G413" s="4" t="str">
        <f>IFERROR(__xludf.DUMMYFUNCTION("GOOGLETRANSLATE(B413,""en"",""ru"")"),"Пожалуйста, повторно загрузите необходимый документ")</f>
        <v>Пожалуйста, повторно загрузите необходимый документ</v>
      </c>
      <c r="H413" s="4" t="str">
        <f>IFERROR(__xludf.DUMMYFUNCTION("GOOGLETRANSLATE(B413,""en"",""it"")"),"Si prega di ricaricare il documento richiesto")</f>
        <v>Si prega di ricaricare il documento richiesto</v>
      </c>
      <c r="I413" s="4" t="str">
        <f>IFERROR(__xludf.DUMMYFUNCTION("GOOGLETRANSLATE(B413,""en"",""de"")"),"Bitte laden Sie das erforderliche Dokument erneut hoch")</f>
        <v>Bitte laden Sie das erforderliche Dokument erneut hoch</v>
      </c>
      <c r="J413" s="4" t="str">
        <f>IFERROR(__xludf.DUMMYFUNCTION("GOOGLETRANSLATE(B413,""en"",""ko"")"),"필수 서류를 다시 업로드해주세요.")</f>
        <v>필수 서류를 다시 업로드해주세요.</v>
      </c>
      <c r="K413" s="4" t="str">
        <f>IFERROR(__xludf.DUMMYFUNCTION("GOOGLETRANSLATE(B413,""en"",""zh"")"),"请重新上传所需文件")</f>
        <v>请重新上传所需文件</v>
      </c>
      <c r="L413" s="4" t="str">
        <f>IFERROR(__xludf.DUMMYFUNCTION("GOOGLETRANSLATE(B413,""en"",""es"")"),"Por favor vuelva a cargar el documento requerido.")</f>
        <v>Por favor vuelva a cargar el documento requerido.</v>
      </c>
      <c r="M413" s="4" t="str">
        <f>IFERROR(__xludf.DUMMYFUNCTION("GOOGLETRANSLATE(B413,""en"",""iw"")"),"אנא העלה מחדש את המסמך הנדרש")</f>
        <v>אנא העלה מחדש את המסמך הנדרש</v>
      </c>
      <c r="N413" s="4" t="str">
        <f>IFERROR(__xludf.DUMMYFUNCTION("GOOGLETRANSLATE(B413,""en"",""bn"")"),"অনুগ্রহ করে প্রয়োজনীয় নথিটি পুনরায় আপলোড করুন")</f>
        <v>অনুগ্রহ করে প্রয়োজনীয় নথিটি পুনরায় আপলোড করুন</v>
      </c>
      <c r="O413" s="4" t="str">
        <f>IFERROR(__xludf.DUMMYFUNCTION("GOOGLETRANSLATE(B413,""en"",""pt"")"),"Por favor, reenvie o documento necessário")</f>
        <v>Por favor, reenvie o documento necessário</v>
      </c>
      <c r="P413" s="4"/>
    </row>
    <row r="414">
      <c r="A414" s="38" t="s">
        <v>1046</v>
      </c>
      <c r="B414" s="41" t="s">
        <v>1047</v>
      </c>
      <c r="C414" s="4" t="str">
        <f>IFERROR(__xludf.DUMMYFUNCTION("GOOGLETRANSLATE(B414,""en"",""hi"")"),"यह चरण 2-24 घंटे के बीच करें")</f>
        <v>यह चरण 2-24 घंटे के बीच करें</v>
      </c>
      <c r="D414" s="4" t="str">
        <f>IFERROR(__xludf.DUMMYFUNCTION("GOOGLETRANSLATE(B414,""en"",""ar"")"),"تستغرق هذه الخطوة ما بين 2-24 ساعة")</f>
        <v>تستغرق هذه الخطوة ما بين 2-24 ساعة</v>
      </c>
      <c r="E414" s="4" t="str">
        <f>IFERROR(__xludf.DUMMYFUNCTION("GOOGLETRANSLATE(B414,""en"",""fr"")"),"Cette étape prend entre 2 et 24 heures")</f>
        <v>Cette étape prend entre 2 et 24 heures</v>
      </c>
      <c r="F414" s="4" t="str">
        <f>IFERROR(__xludf.DUMMYFUNCTION("GOOGLETRANSLATE(B414,""en"",""tr"")"),"Bu adım 2-24 saat arasında sürer")</f>
        <v>Bu adım 2-24 saat arasında sürer</v>
      </c>
      <c r="G414" s="4" t="str">
        <f>IFERROR(__xludf.DUMMYFUNCTION("GOOGLETRANSLATE(B414,""en"",""ru"")"),"Этот шаг занимает от 2 до 24 часов.")</f>
        <v>Этот шаг занимает от 2 до 24 часов.</v>
      </c>
      <c r="H414" s="4" t="str">
        <f>IFERROR(__xludf.DUMMYFUNCTION("GOOGLETRANSLATE(B414,""en"",""it"")"),"Questo passaggio richiede dalle 2 alle 24 ore")</f>
        <v>Questo passaggio richiede dalle 2 alle 24 ore</v>
      </c>
      <c r="I414" s="4" t="str">
        <f>IFERROR(__xludf.DUMMYFUNCTION("GOOGLETRANSLATE(B414,""en"",""de"")"),"Dieser Schritt dauert zwischen 2 und 24 Stunden")</f>
        <v>Dieser Schritt dauert zwischen 2 und 24 Stunden</v>
      </c>
      <c r="J414" s="4" t="str">
        <f>IFERROR(__xludf.DUMMYFUNCTION("GOOGLETRANSLATE(B414,""en"",""ko"")"),"이 단계는 2~24시간 정도 소요됩니다.")</f>
        <v>이 단계는 2~24시간 정도 소요됩니다.</v>
      </c>
      <c r="K414" s="4" t="str">
        <f>IFERROR(__xludf.DUMMYFUNCTION("GOOGLETRANSLATE(B414,""en"",""zh"")"),"此步骤需要 2-24 小时")</f>
        <v>此步骤需要 2-24 小时</v>
      </c>
      <c r="L414" s="4" t="str">
        <f>IFERROR(__xludf.DUMMYFUNCTION("GOOGLETRANSLATE(B414,""en"",""es"")"),"Este paso tarda entre 2 y 24 horas.")</f>
        <v>Este paso tarda entre 2 y 24 horas.</v>
      </c>
      <c r="M414" s="4" t="str">
        <f>IFERROR(__xludf.DUMMYFUNCTION("GOOGLETRANSLATE(B414,""en"",""iw"")"),"שלב זה נמשך בין 2-24 שעות")</f>
        <v>שלב זה נמשך בין 2-24 שעות</v>
      </c>
      <c r="N414" s="4" t="str">
        <f>IFERROR(__xludf.DUMMYFUNCTION("GOOGLETRANSLATE(B414,""en"",""bn"")"),"এই পদক্ষেপটি 2-24 ঘন্টার মধ্যে নিতে হবে")</f>
        <v>এই পদক্ষেপটি 2-24 ঘন্টার মধ্যে নিতে হবে</v>
      </c>
      <c r="O414" s="4" t="str">
        <f>IFERROR(__xludf.DUMMYFUNCTION("GOOGLETRANSLATE(B414,""en"",""pt"")"),"Esta etapa leva entre 2 a 24 horas")</f>
        <v>Esta etapa leva entre 2 a 24 horas</v>
      </c>
      <c r="P414" s="4"/>
    </row>
    <row r="415">
      <c r="A415" s="38" t="s">
        <v>1048</v>
      </c>
      <c r="B415" s="41" t="s">
        <v>1049</v>
      </c>
      <c r="C415" s="4" t="str">
        <f>IFERROR(__xludf.DUMMYFUNCTION("GOOGLETRANSLATE(B415,""en"",""hi"")"),"अस्वीकृत कारण है")</f>
        <v>अस्वीकृत कारण है</v>
      </c>
      <c r="D415" s="4" t="str">
        <f>IFERROR(__xludf.DUMMYFUNCTION("GOOGLETRANSLATE(B415,""en"",""ar"")"),"سبب الرفض هو")</f>
        <v>سبب الرفض هو</v>
      </c>
      <c r="E415" s="4" t="str">
        <f>IFERROR(__xludf.DUMMYFUNCTION("GOOGLETRANSLATE(B415,""en"",""fr"")"),"La raison du refus est")</f>
        <v>La raison du refus est</v>
      </c>
      <c r="F415" s="4" t="str">
        <f>IFERROR(__xludf.DUMMYFUNCTION("GOOGLETRANSLATE(B415,""en"",""tr"")"),"Reddedilme nedeni:")</f>
        <v>Reddedilme nedeni:</v>
      </c>
      <c r="G415" s="4" t="str">
        <f>IFERROR(__xludf.DUMMYFUNCTION("GOOGLETRANSLATE(B415,""en"",""ru"")"),"Причина отклонения:")</f>
        <v>Причина отклонения:</v>
      </c>
      <c r="H415" s="4" t="str">
        <f>IFERROR(__xludf.DUMMYFUNCTION("GOOGLETRANSLATE(B415,""en"",""it"")"),"Il motivo del rifiuto è")</f>
        <v>Il motivo del rifiuto è</v>
      </c>
      <c r="I415" s="4" t="str">
        <f>IFERROR(__xludf.DUMMYFUNCTION("GOOGLETRANSLATE(B415,""en"",""de"")"),"Der Grund für die Ablehnung ist")</f>
        <v>Der Grund für die Ablehnung ist</v>
      </c>
      <c r="J415" s="4" t="str">
        <f>IFERROR(__xludf.DUMMYFUNCTION("GOOGLETRANSLATE(B415,""en"",""ko"")"),"거부 이유는 다음과 같습니다.")</f>
        <v>거부 이유는 다음과 같습니다.</v>
      </c>
      <c r="K415" s="4" t="str">
        <f>IFERROR(__xludf.DUMMYFUNCTION("GOOGLETRANSLATE(B415,""en"",""zh"")"),"被拒绝的原因是")</f>
        <v>被拒绝的原因是</v>
      </c>
      <c r="L415" s="4" t="str">
        <f>IFERROR(__xludf.DUMMYFUNCTION("GOOGLETRANSLATE(B415,""en"",""es"")"),"El motivo del rechazo es")</f>
        <v>El motivo del rechazo es</v>
      </c>
      <c r="M415" s="4" t="str">
        <f>IFERROR(__xludf.DUMMYFUNCTION("GOOGLETRANSLATE(B415,""en"",""iw"")"),"הסיבה לדחיה היא")</f>
        <v>הסיבה לדחיה היא</v>
      </c>
      <c r="N415" s="4" t="str">
        <f>IFERROR(__xludf.DUMMYFUNCTION("GOOGLETRANSLATE(B415,""en"",""bn"")"),"প্রত্যাখ্যান কারণ হল")</f>
        <v>প্রত্যাখ্যান কারণ হল</v>
      </c>
      <c r="O415" s="4" t="str">
        <f>IFERROR(__xludf.DUMMYFUNCTION("GOOGLETRANSLATE(B415,""en"",""pt"")"),"O motivo da recusa é")</f>
        <v>O motivo da recusa é</v>
      </c>
      <c r="P415" s="4"/>
    </row>
    <row r="416">
      <c r="A416" s="42" t="s">
        <v>1050</v>
      </c>
      <c r="B416" s="41" t="s">
        <v>1051</v>
      </c>
      <c r="C416" s="4" t="str">
        <f>IFERROR(__xludf.DUMMYFUNCTION("GOOGLETRANSLATE(B416,""en"",""hi"")"),"प्रोफाइल की जानकारी")</f>
        <v>प्रोफाइल की जानकारी</v>
      </c>
      <c r="D416" s="4" t="str">
        <f>IFERROR(__xludf.DUMMYFUNCTION("GOOGLETRANSLATE(B416,""en"",""ar"")"),"معلومات الملف الشخصي")</f>
        <v>معلومات الملف الشخصي</v>
      </c>
      <c r="E416" s="4" t="str">
        <f>IFERROR(__xludf.DUMMYFUNCTION("GOOGLETRANSLATE(B416,""en"",""fr"")"),"Informations sur le profil")</f>
        <v>Informations sur le profil</v>
      </c>
      <c r="F416" s="4" t="str">
        <f>IFERROR(__xludf.DUMMYFUNCTION("GOOGLETRANSLATE(B416,""en"",""tr"")"),"profil bilgisi")</f>
        <v>profil bilgisi</v>
      </c>
      <c r="G416" s="4" t="str">
        <f>IFERROR(__xludf.DUMMYFUNCTION("GOOGLETRANSLATE(B416,""en"",""ru"")"),"информация профиля")</f>
        <v>информация профиля</v>
      </c>
      <c r="H416" s="4" t="str">
        <f>IFERROR(__xludf.DUMMYFUNCTION("GOOGLETRANSLATE(B416,""en"",""it"")"),"Informazioni del profilo")</f>
        <v>Informazioni del profilo</v>
      </c>
      <c r="I416" s="4" t="str">
        <f>IFERROR(__xludf.DUMMYFUNCTION("GOOGLETRANSLATE(B416,""en"",""de"")"),"Profil Information")</f>
        <v>Profil Information</v>
      </c>
      <c r="J416" s="4" t="str">
        <f>IFERROR(__xludf.DUMMYFUNCTION("GOOGLETRANSLATE(B416,""en"",""ko"")"),"프로필 정보")</f>
        <v>프로필 정보</v>
      </c>
      <c r="K416" s="4" t="str">
        <f>IFERROR(__xludf.DUMMYFUNCTION("GOOGLETRANSLATE(B416,""en"",""zh"")"),"档案信息")</f>
        <v>档案信息</v>
      </c>
      <c r="L416" s="4" t="str">
        <f>IFERROR(__xludf.DUMMYFUNCTION("GOOGLETRANSLATE(B416,""en"",""es"")"),"información del perfil")</f>
        <v>información del perfil</v>
      </c>
      <c r="M416" s="4" t="str">
        <f>IFERROR(__xludf.DUMMYFUNCTION("GOOGLETRANSLATE(B416,""en"",""iw"")"),"מידע על הפרופיל")</f>
        <v>מידע על הפרופיל</v>
      </c>
      <c r="N416" s="4" t="str">
        <f>IFERROR(__xludf.DUMMYFUNCTION("GOOGLETRANSLATE(B416,""en"",""bn"")"),"জীবন তথ্য")</f>
        <v>জীবন তথ্য</v>
      </c>
      <c r="O416" s="4" t="str">
        <f>IFERROR(__xludf.DUMMYFUNCTION("GOOGLETRANSLATE(B416,""en"",""pt"")"),"Informação do Perfil")</f>
        <v>Informação do Perfil</v>
      </c>
      <c r="P416" s="4"/>
    </row>
    <row r="417">
      <c r="A417" s="42" t="s">
        <v>1052</v>
      </c>
      <c r="B417" s="43" t="s">
        <v>1053</v>
      </c>
      <c r="C417" s="4" t="str">
        <f>IFERROR(__xludf.DUMMYFUNCTION("GOOGLETRANSLATE(B417,""en"",""hi"")"),"मोबाइल नंबर")</f>
        <v>मोबाइल नंबर</v>
      </c>
      <c r="D417" s="4" t="str">
        <f>IFERROR(__xludf.DUMMYFUNCTION("GOOGLETRANSLATE(B417,""en"",""ar"")"),"رقم الهاتف المحمول")</f>
        <v>رقم الهاتف المحمول</v>
      </c>
      <c r="E417" s="4" t="str">
        <f>IFERROR(__xludf.DUMMYFUNCTION("GOOGLETRANSLATE(B417,""en"",""fr"")"),"Numéro de portable")</f>
        <v>Numéro de portable</v>
      </c>
      <c r="F417" s="4" t="str">
        <f>IFERROR(__xludf.DUMMYFUNCTION("GOOGLETRANSLATE(B417,""en"",""tr"")"),"Cep numarası")</f>
        <v>Cep numarası</v>
      </c>
      <c r="G417" s="4" t="str">
        <f>IFERROR(__xludf.DUMMYFUNCTION("GOOGLETRANSLATE(B417,""en"",""ru"")"),"Номер мобильного телефона")</f>
        <v>Номер мобильного телефона</v>
      </c>
      <c r="H417" s="4" t="str">
        <f>IFERROR(__xludf.DUMMYFUNCTION("GOOGLETRANSLATE(B417,""en"",""it"")"),"Numero di cellulare")</f>
        <v>Numero di cellulare</v>
      </c>
      <c r="I417" s="4" t="str">
        <f>IFERROR(__xludf.DUMMYFUNCTION("GOOGLETRANSLATE(B417,""en"",""de"")"),"Handynummer")</f>
        <v>Handynummer</v>
      </c>
      <c r="J417" s="4" t="str">
        <f>IFERROR(__xludf.DUMMYFUNCTION("GOOGLETRANSLATE(B417,""en"",""ko"")"),"휴대폰 번호")</f>
        <v>휴대폰 번호</v>
      </c>
      <c r="K417" s="4" t="str">
        <f>IFERROR(__xludf.DUMMYFUNCTION("GOOGLETRANSLATE(B417,""en"",""zh"")"),"手机号码")</f>
        <v>手机号码</v>
      </c>
      <c r="L417" s="4" t="str">
        <f>IFERROR(__xludf.DUMMYFUNCTION("GOOGLETRANSLATE(B417,""en"",""es"")"),"Número de teléfono móvil")</f>
        <v>Número de teléfono móvil</v>
      </c>
      <c r="M417" s="4" t="str">
        <f>IFERROR(__xludf.DUMMYFUNCTION("GOOGLETRANSLATE(B417,""en"",""iw"")"),"מספר טלפון נייד")</f>
        <v>מספר טלפון נייד</v>
      </c>
      <c r="N417" s="4" t="str">
        <f>IFERROR(__xludf.DUMMYFUNCTION("GOOGLETRANSLATE(B417,""en"",""bn"")"),"মোবাইল নম্বর")</f>
        <v>মোবাইল নম্বর</v>
      </c>
      <c r="O417" s="4" t="str">
        <f>IFERROR(__xludf.DUMMYFUNCTION("GOOGLETRANSLATE(B417,""en"",""pt"")"),"Número de telemóvel")</f>
        <v>Número de telemóvel</v>
      </c>
      <c r="P417" s="4"/>
    </row>
    <row r="418">
      <c r="A418" s="42" t="s">
        <v>1054</v>
      </c>
      <c r="B418" s="44" t="s">
        <v>1055</v>
      </c>
      <c r="C418" s="4" t="str">
        <f>IFERROR(__xludf.DUMMYFUNCTION("GOOGLETRANSLATE(B418,""en"",""hi"")"),"कार्य क्षेत्र चुनें")</f>
        <v>कार्य क्षेत्र चुनें</v>
      </c>
      <c r="D418" s="4" t="str">
        <f>IFERROR(__xludf.DUMMYFUNCTION("GOOGLETRANSLATE(B418,""en"",""ar"")"),"حدد منطقة العمل")</f>
        <v>حدد منطقة العمل</v>
      </c>
      <c r="E418" s="4" t="str">
        <f>IFERROR(__xludf.DUMMYFUNCTION("GOOGLETRANSLATE(B418,""en"",""fr"")"),"Sélectionnez la zone de travail")</f>
        <v>Sélectionnez la zone de travail</v>
      </c>
      <c r="F418" s="4" t="str">
        <f>IFERROR(__xludf.DUMMYFUNCTION("GOOGLETRANSLATE(B418,""en"",""tr"")"),"Çalışma Alanını Seçin")</f>
        <v>Çalışma Alanını Seçin</v>
      </c>
      <c r="G418" s="4" t="str">
        <f>IFERROR(__xludf.DUMMYFUNCTION("GOOGLETRANSLATE(B418,""en"",""ru"")"),"Выберите рабочую область")</f>
        <v>Выберите рабочую область</v>
      </c>
      <c r="H418" s="4" t="str">
        <f>IFERROR(__xludf.DUMMYFUNCTION("GOOGLETRANSLATE(B418,""en"",""it"")"),"Seleziona Area di lavoro")</f>
        <v>Seleziona Area di lavoro</v>
      </c>
      <c r="I418" s="4" t="str">
        <f>IFERROR(__xludf.DUMMYFUNCTION("GOOGLETRANSLATE(B418,""en"",""de"")"),"Wählen Sie Arbeitsbereich")</f>
        <v>Wählen Sie Arbeitsbereich</v>
      </c>
      <c r="J418" s="4" t="str">
        <f>IFERROR(__xludf.DUMMYFUNCTION("GOOGLETRANSLATE(B418,""en"",""ko"")"),"작업 영역 선택")</f>
        <v>작업 영역 선택</v>
      </c>
      <c r="K418" s="4" t="str">
        <f>IFERROR(__xludf.DUMMYFUNCTION("GOOGLETRANSLATE(B418,""en"",""zh"")"),"选择工作区域")</f>
        <v>选择工作区域</v>
      </c>
      <c r="L418" s="4" t="str">
        <f>IFERROR(__xludf.DUMMYFUNCTION("GOOGLETRANSLATE(B418,""en"",""es"")"),"Seleccionar área de trabajo")</f>
        <v>Seleccionar área de trabajo</v>
      </c>
      <c r="M418" s="4" t="str">
        <f>IFERROR(__xludf.DUMMYFUNCTION("GOOGLETRANSLATE(B418,""en"",""iw"")"),"בחר אזור עבודה")</f>
        <v>בחר אזור עבודה</v>
      </c>
      <c r="N418" s="4" t="str">
        <f>IFERROR(__xludf.DUMMYFUNCTION("GOOGLETRANSLATE(B418,""en"",""bn"")"),"কাজের এলাকা নির্বাচন করুন")</f>
        <v>কাজের এলাকা নির্বাচন করুন</v>
      </c>
      <c r="O418" s="4" t="str">
        <f>IFERROR(__xludf.DUMMYFUNCTION("GOOGLETRANSLATE(B418,""en"",""pt"")"),"Selecione a área de trabalho")</f>
        <v>Selecione a área de trabalho</v>
      </c>
      <c r="P418" s="4"/>
    </row>
    <row r="419">
      <c r="A419" s="42" t="s">
        <v>1056</v>
      </c>
      <c r="B419" s="41" t="s">
        <v>1057</v>
      </c>
      <c r="C419" s="4" t="str">
        <f>IFERROR(__xludf.DUMMYFUNCTION("GOOGLETRANSLATE(B419,""en"",""hi"")"),"कार्य क्षेत्र")</f>
        <v>कार्य क्षेत्र</v>
      </c>
      <c r="D419" s="4" t="str">
        <f>IFERROR(__xludf.DUMMYFUNCTION("GOOGLETRANSLATE(B419,""en"",""ar"")"),"منطقة العمل")</f>
        <v>منطقة العمل</v>
      </c>
      <c r="E419" s="4" t="str">
        <f>IFERROR(__xludf.DUMMYFUNCTION("GOOGLETRANSLATE(B419,""en"",""fr"")"),"Espace de travail")</f>
        <v>Espace de travail</v>
      </c>
      <c r="F419" s="4" t="str">
        <f>IFERROR(__xludf.DUMMYFUNCTION("GOOGLETRANSLATE(B419,""en"",""tr"")"),"Çalışma alanı")</f>
        <v>Çalışma alanı</v>
      </c>
      <c r="G419" s="4" t="str">
        <f>IFERROR(__xludf.DUMMYFUNCTION("GOOGLETRANSLATE(B419,""en"",""ru"")"),"Рабочая зона")</f>
        <v>Рабочая зона</v>
      </c>
      <c r="H419" s="4" t="str">
        <f>IFERROR(__xludf.DUMMYFUNCTION("GOOGLETRANSLATE(B419,""en"",""it"")"),"Area di lavoro")</f>
        <v>Area di lavoro</v>
      </c>
      <c r="I419" s="4" t="str">
        <f>IFERROR(__xludf.DUMMYFUNCTION("GOOGLETRANSLATE(B419,""en"",""de"")"),"Arbeitsbereich")</f>
        <v>Arbeitsbereich</v>
      </c>
      <c r="J419" s="4" t="str">
        <f>IFERROR(__xludf.DUMMYFUNCTION("GOOGLETRANSLATE(B419,""en"",""ko"")"),"작업 공간")</f>
        <v>작업 공간</v>
      </c>
      <c r="K419" s="4" t="str">
        <f>IFERROR(__xludf.DUMMYFUNCTION("GOOGLETRANSLATE(B419,""en"",""zh"")"),"工作区域")</f>
        <v>工作区域</v>
      </c>
      <c r="L419" s="4" t="str">
        <f>IFERROR(__xludf.DUMMYFUNCTION("GOOGLETRANSLATE(B419,""en"",""es"")"),"Área de trabajo")</f>
        <v>Área de trabajo</v>
      </c>
      <c r="M419" s="4" t="str">
        <f>IFERROR(__xludf.DUMMYFUNCTION("GOOGLETRANSLATE(B419,""en"",""iw"")"),"אזור עבודה")</f>
        <v>אזור עבודה</v>
      </c>
      <c r="N419" s="4" t="str">
        <f>IFERROR(__xludf.DUMMYFUNCTION("GOOGLETRANSLATE(B419,""en"",""bn"")"),"কর্মস্থান")</f>
        <v>কর্মস্থান</v>
      </c>
      <c r="O419" s="4" t="str">
        <f>IFERROR(__xludf.DUMMYFUNCTION("GOOGLETRANSLATE(B419,""en"",""pt"")"),"Área de trabalho")</f>
        <v>Área de trabalho</v>
      </c>
      <c r="P419" s="4"/>
    </row>
    <row r="420">
      <c r="A420" s="45" t="s">
        <v>1058</v>
      </c>
      <c r="B420" s="46" t="s">
        <v>1059</v>
      </c>
      <c r="C420" s="4" t="str">
        <f>IFERROR(__xludf.DUMMYFUNCTION("GOOGLETRANSLATE(B420,""en"",""hi"")"),"वाहन मॉडल का चयन करें")</f>
        <v>वाहन मॉडल का चयन करें</v>
      </c>
      <c r="D420" s="4" t="str">
        <f>IFERROR(__xludf.DUMMYFUNCTION("GOOGLETRANSLATE(B420,""en"",""ar"")"),"حدد طراز السيارة")</f>
        <v>حدد طراز السيارة</v>
      </c>
      <c r="E420" s="4" t="str">
        <f>IFERROR(__xludf.DUMMYFUNCTION("GOOGLETRANSLATE(B420,""en"",""fr"")"),"Sélectionnez le modèle de véhicule")</f>
        <v>Sélectionnez le modèle de véhicule</v>
      </c>
      <c r="F420" s="4" t="str">
        <f>IFERROR(__xludf.DUMMYFUNCTION("GOOGLETRANSLATE(B420,""en"",""tr"")"),"Araç Modelini Seçin")</f>
        <v>Araç Modelini Seçin</v>
      </c>
      <c r="G420" s="4" t="str">
        <f>IFERROR(__xludf.DUMMYFUNCTION("GOOGLETRANSLATE(B420,""en"",""ru"")"),"Выберите модель автомобиля")</f>
        <v>Выберите модель автомобиля</v>
      </c>
      <c r="H420" s="4" t="str">
        <f>IFERROR(__xludf.DUMMYFUNCTION("GOOGLETRANSLATE(B420,""en"",""it"")"),"Seleziona il modello del veicolo")</f>
        <v>Seleziona il modello del veicolo</v>
      </c>
      <c r="I420" s="4" t="str">
        <f>IFERROR(__xludf.DUMMYFUNCTION("GOOGLETRANSLATE(B420,""en"",""de"")"),"Wählen Sie Fahrzeugmodell")</f>
        <v>Wählen Sie Fahrzeugmodell</v>
      </c>
      <c r="J420" s="4" t="str">
        <f>IFERROR(__xludf.DUMMYFUNCTION("GOOGLETRANSLATE(B420,""en"",""ko"")"),"차량 모델 선택")</f>
        <v>차량 모델 선택</v>
      </c>
      <c r="K420" s="4" t="str">
        <f>IFERROR(__xludf.DUMMYFUNCTION("GOOGLETRANSLATE(B420,""en"",""zh"")"),"选择车型")</f>
        <v>选择车型</v>
      </c>
      <c r="L420" s="4" t="str">
        <f>IFERROR(__xludf.DUMMYFUNCTION("GOOGLETRANSLATE(B420,""en"",""es"")"),"Seleccionar modelo de vehículo")</f>
        <v>Seleccionar modelo de vehículo</v>
      </c>
      <c r="M420" s="4" t="str">
        <f>IFERROR(__xludf.DUMMYFUNCTION("GOOGLETRANSLATE(B420,""en"",""iw"")"),"בחר דגם רכב")</f>
        <v>בחר דגם רכב</v>
      </c>
      <c r="N420" s="4" t="str">
        <f>IFERROR(__xludf.DUMMYFUNCTION("GOOGLETRANSLATE(B420,""en"",""bn"")"),"গাড়ির মডেল নির্বাচন করুন")</f>
        <v>গাড়ির মডেল নির্বাচন করুন</v>
      </c>
      <c r="O420" s="4" t="str">
        <f>IFERROR(__xludf.DUMMYFUNCTION("GOOGLETRANSLATE(B420,""en"",""pt"")"),"Selecione o modelo do veículo")</f>
        <v>Selecione o modelo do veículo</v>
      </c>
      <c r="P420" s="4"/>
    </row>
    <row r="421">
      <c r="A421" s="42" t="s">
        <v>1060</v>
      </c>
      <c r="B421" s="46" t="s">
        <v>1061</v>
      </c>
      <c r="C421" s="4" t="str">
        <f>IFERROR(__xludf.DUMMYFUNCTION("GOOGLETRANSLATE(B421,""en"",""hi"")"),"वाहन निर्माण का चयन करें")</f>
        <v>वाहन निर्माण का चयन करें</v>
      </c>
      <c r="D421" s="4" t="str">
        <f>IFERROR(__xludf.DUMMYFUNCTION("GOOGLETRANSLATE(B421,""en"",""ar"")"),"حدد نوع المركبة")</f>
        <v>حدد نوع المركبة</v>
      </c>
      <c r="E421" s="4" t="str">
        <f>IFERROR(__xludf.DUMMYFUNCTION("GOOGLETRANSLATE(B421,""en"",""fr"")"),"Sélectionnez la marque du véhicule")</f>
        <v>Sélectionnez la marque du véhicule</v>
      </c>
      <c r="F421" s="4" t="str">
        <f>IFERROR(__xludf.DUMMYFUNCTION("GOOGLETRANSLATE(B421,""en"",""tr"")"),"Araç Markasını Seçin")</f>
        <v>Araç Markasını Seçin</v>
      </c>
      <c r="G421" s="4" t="str">
        <f>IFERROR(__xludf.DUMMYFUNCTION("GOOGLETRANSLATE(B421,""en"",""ru"")"),"Выберите марку автомобиля")</f>
        <v>Выберите марку автомобиля</v>
      </c>
      <c r="H421" s="4" t="str">
        <f>IFERROR(__xludf.DUMMYFUNCTION("GOOGLETRANSLATE(B421,""en"",""it"")"),"Seleziona la marca del veicolo")</f>
        <v>Seleziona la marca del veicolo</v>
      </c>
      <c r="I421" s="4" t="str">
        <f>IFERROR(__xludf.DUMMYFUNCTION("GOOGLETRANSLATE(B421,""en"",""de"")"),"Wählen Sie Fahrzeugmarke")</f>
        <v>Wählen Sie Fahrzeugmarke</v>
      </c>
      <c r="J421" s="4" t="str">
        <f>IFERROR(__xludf.DUMMYFUNCTION("GOOGLETRANSLATE(B421,""en"",""ko"")"),"차량 브랜드 선택")</f>
        <v>차량 브랜드 선택</v>
      </c>
      <c r="K421" s="4" t="str">
        <f>IFERROR(__xludf.DUMMYFUNCTION("GOOGLETRANSLATE(B421,""en"",""zh"")"),"选择车辆品牌")</f>
        <v>选择车辆品牌</v>
      </c>
      <c r="L421" s="4" t="str">
        <f>IFERROR(__xludf.DUMMYFUNCTION("GOOGLETRANSLATE(B421,""en"",""es"")"),"Seleccione la marca del vehículo")</f>
        <v>Seleccione la marca del vehículo</v>
      </c>
      <c r="M421" s="4" t="str">
        <f>IFERROR(__xludf.DUMMYFUNCTION("GOOGLETRANSLATE(B421,""en"",""iw"")"),"בחר יצרן רכב")</f>
        <v>בחר יצרן רכב</v>
      </c>
      <c r="N421" s="4" t="str">
        <f>IFERROR(__xludf.DUMMYFUNCTION("GOOGLETRANSLATE(B421,""en"",""bn"")"),"যানবাহন তৈরি নির্বাচন করুন")</f>
        <v>যানবাহন তৈরি নির্বাচন করুন</v>
      </c>
      <c r="O421" s="4" t="str">
        <f>IFERROR(__xludf.DUMMYFUNCTION("GOOGLETRANSLATE(B421,""en"",""pt"")"),"Selecione a marca do veículo")</f>
        <v>Selecione a marca do veículo</v>
      </c>
      <c r="P421" s="4"/>
    </row>
    <row r="422">
      <c r="A422" s="42" t="s">
        <v>1062</v>
      </c>
      <c r="B422" s="29" t="s">
        <v>1063</v>
      </c>
      <c r="C422" s="4" t="str">
        <f>IFERROR(__xludf.DUMMYFUNCTION("GOOGLETRANSLATE(B422,""en"",""hi"")"),"दिनांक चुनें")</f>
        <v>दिनांक चुनें</v>
      </c>
      <c r="D422" s="4" t="str">
        <f>IFERROR(__xludf.DUMMYFUNCTION("GOOGLETRANSLATE(B422,""en"",""ar"")"),"اختر موعدا")</f>
        <v>اختر موعدا</v>
      </c>
      <c r="E422" s="4" t="str">
        <f>IFERROR(__xludf.DUMMYFUNCTION("GOOGLETRANSLATE(B422,""en"",""fr"")"),"Choisir une date")</f>
        <v>Choisir une date</v>
      </c>
      <c r="F422" s="4" t="str">
        <f>IFERROR(__xludf.DUMMYFUNCTION("GOOGLETRANSLATE(B422,""en"",""tr"")"),"Tarih Seçin")</f>
        <v>Tarih Seçin</v>
      </c>
      <c r="G422" s="4" t="str">
        <f>IFERROR(__xludf.DUMMYFUNCTION("GOOGLETRANSLATE(B422,""en"",""ru"")"),"Выберите дату")</f>
        <v>Выберите дату</v>
      </c>
      <c r="H422" s="4" t="str">
        <f>IFERROR(__xludf.DUMMYFUNCTION("GOOGLETRANSLATE(B422,""en"",""it"")"),"Scegli Data")</f>
        <v>Scegli Data</v>
      </c>
      <c r="I422" s="4" t="str">
        <f>IFERROR(__xludf.DUMMYFUNCTION("GOOGLETRANSLATE(B422,""en"",""de"")"),"Wählen Sie Datum")</f>
        <v>Wählen Sie Datum</v>
      </c>
      <c r="J422" s="4" t="str">
        <f>IFERROR(__xludf.DUMMYFUNCTION("GOOGLETRANSLATE(B422,""en"",""ko"")"),"날짜 선택")</f>
        <v>날짜 선택</v>
      </c>
      <c r="K422" s="4" t="str">
        <f>IFERROR(__xludf.DUMMYFUNCTION("GOOGLETRANSLATE(B422,""en"",""zh"")"),"选择日期")</f>
        <v>选择日期</v>
      </c>
      <c r="L422" s="4" t="str">
        <f>IFERROR(__xludf.DUMMYFUNCTION("GOOGLETRANSLATE(B422,""en"",""es"")"),"Elige fecha")</f>
        <v>Elige fecha</v>
      </c>
      <c r="M422" s="4" t="str">
        <f>IFERROR(__xludf.DUMMYFUNCTION("GOOGLETRANSLATE(B422,""en"",""iw"")"),"בחר תאריך")</f>
        <v>בחר תאריך</v>
      </c>
      <c r="N422" s="4" t="str">
        <f>IFERROR(__xludf.DUMMYFUNCTION("GOOGLETRANSLATE(B422,""en"",""bn"")"),"তারিখ নির্বাচন করুন")</f>
        <v>তারিখ নির্বাচন করুন</v>
      </c>
      <c r="O422" s="4" t="str">
        <f>IFERROR(__xludf.DUMMYFUNCTION("GOOGLETRANSLATE(B422,""en"",""pt"")"),"Escolha a data")</f>
        <v>Escolha a data</v>
      </c>
      <c r="P422" s="4"/>
    </row>
    <row r="423">
      <c r="A423" s="42" t="s">
        <v>1064</v>
      </c>
      <c r="B423" s="29" t="s">
        <v>1065</v>
      </c>
      <c r="C423" s="4" t="str">
        <f>IFERROR(__xludf.DUMMYFUNCTION("GOOGLETRANSLATE(B423,""en"",""hi"")"),"मिटाना")</f>
        <v>मिटाना</v>
      </c>
      <c r="D423" s="4" t="str">
        <f>IFERROR(__xludf.DUMMYFUNCTION("GOOGLETRANSLATE(B423,""en"",""ar"")"),"يمسح")</f>
        <v>يمسح</v>
      </c>
      <c r="E423" s="4" t="str">
        <f>IFERROR(__xludf.DUMMYFUNCTION("GOOGLETRANSLATE(B423,""en"",""fr"")"),"Supprimer")</f>
        <v>Supprimer</v>
      </c>
      <c r="F423" s="4" t="str">
        <f>IFERROR(__xludf.DUMMYFUNCTION("GOOGLETRANSLATE(B423,""en"",""tr"")"),"Silmek")</f>
        <v>Silmek</v>
      </c>
      <c r="G423" s="4" t="str">
        <f>IFERROR(__xludf.DUMMYFUNCTION("GOOGLETRANSLATE(B423,""en"",""ru"")"),"Удалить")</f>
        <v>Удалить</v>
      </c>
      <c r="H423" s="4" t="str">
        <f>IFERROR(__xludf.DUMMYFUNCTION("GOOGLETRANSLATE(B423,""en"",""it"")"),"Eliminare")</f>
        <v>Eliminare</v>
      </c>
      <c r="I423" s="4" t="str">
        <f>IFERROR(__xludf.DUMMYFUNCTION("GOOGLETRANSLATE(B423,""en"",""de"")"),"Löschen")</f>
        <v>Löschen</v>
      </c>
      <c r="J423" s="4" t="str">
        <f>IFERROR(__xludf.DUMMYFUNCTION("GOOGLETRANSLATE(B423,""en"",""ko"")"),"삭제")</f>
        <v>삭제</v>
      </c>
      <c r="K423" s="4" t="str">
        <f>IFERROR(__xludf.DUMMYFUNCTION("GOOGLETRANSLATE(B423,""en"",""zh"")"),"删除")</f>
        <v>删除</v>
      </c>
      <c r="L423" s="4" t="str">
        <f>IFERROR(__xludf.DUMMYFUNCTION("GOOGLETRANSLATE(B423,""en"",""es"")"),"Borrar")</f>
        <v>Borrar</v>
      </c>
      <c r="M423" s="4" t="str">
        <f>IFERROR(__xludf.DUMMYFUNCTION("GOOGLETRANSLATE(B423,""en"",""iw"")"),"לִמְחוֹק")</f>
        <v>לִמְחוֹק</v>
      </c>
      <c r="N423" s="4" t="str">
        <f>IFERROR(__xludf.DUMMYFUNCTION("GOOGLETRANSLATE(B423,""en"",""bn"")"),"মুছে ফেলা")</f>
        <v>মুছে ফেলা</v>
      </c>
      <c r="O423" s="4" t="str">
        <f>IFERROR(__xludf.DUMMYFUNCTION("GOOGLETRANSLATE(B423,""en"",""pt"")"),"Excluir")</f>
        <v>Excluir</v>
      </c>
      <c r="P423" s="4"/>
    </row>
    <row r="424">
      <c r="A424" s="42" t="s">
        <v>1066</v>
      </c>
      <c r="B424" s="29" t="s">
        <v>1067</v>
      </c>
      <c r="C424" s="4" t="str">
        <f>IFERROR(__xludf.DUMMYFUNCTION("GOOGLETRANSLATE(B424,""en"",""hi"")"),"आप कहाँ जाना चाहते हैं?")</f>
        <v>आप कहाँ जाना चाहते हैं?</v>
      </c>
      <c r="D424" s="4" t="str">
        <f>IFERROR(__xludf.DUMMYFUNCTION("GOOGLETRANSLATE(B424,""en"",""ar"")"),"أين تريد أن تذهب؟")</f>
        <v>أين تريد أن تذهب؟</v>
      </c>
      <c r="E424" s="4" t="str">
        <f>IFERROR(__xludf.DUMMYFUNCTION("GOOGLETRANSLATE(B424,""en"",""fr"")"),"Où veux-tu aller?")</f>
        <v>Où veux-tu aller?</v>
      </c>
      <c r="F424" s="4" t="str">
        <f>IFERROR(__xludf.DUMMYFUNCTION("GOOGLETRANSLATE(B424,""en"",""tr"")"),"Nereye gitmek istersin?")</f>
        <v>Nereye gitmek istersin?</v>
      </c>
      <c r="G424" s="4" t="str">
        <f>IFERROR(__xludf.DUMMYFUNCTION("GOOGLETRANSLATE(B424,""en"",""ru"")"),"Куда ты хочешь пойти?")</f>
        <v>Куда ты хочешь пойти?</v>
      </c>
      <c r="H424" s="4" t="str">
        <f>IFERROR(__xludf.DUMMYFUNCTION("GOOGLETRANSLATE(B424,""en"",""it"")"),"Dove vuoi andare?")</f>
        <v>Dove vuoi andare?</v>
      </c>
      <c r="I424" s="4" t="str">
        <f>IFERROR(__xludf.DUMMYFUNCTION("GOOGLETRANSLATE(B424,""en"",""de"")"),"Wohin willst du gehen?")</f>
        <v>Wohin willst du gehen?</v>
      </c>
      <c r="J424" s="4" t="str">
        <f>IFERROR(__xludf.DUMMYFUNCTION("GOOGLETRANSLATE(B424,""en"",""ko"")"),"어디로 가고 싶나요?")</f>
        <v>어디로 가고 싶나요?</v>
      </c>
      <c r="K424" s="4" t="str">
        <f>IFERROR(__xludf.DUMMYFUNCTION("GOOGLETRANSLATE(B424,""en"",""zh"")"),"你想去哪里？")</f>
        <v>你想去哪里？</v>
      </c>
      <c r="L424" s="4" t="str">
        <f>IFERROR(__xludf.DUMMYFUNCTION("GOOGLETRANSLATE(B424,""en"",""es"")"),"¿A donde quieres ir?")</f>
        <v>¿A donde quieres ir?</v>
      </c>
      <c r="M424" s="4" t="str">
        <f>IFERROR(__xludf.DUMMYFUNCTION("GOOGLETRANSLATE(B424,""en"",""iw"")"),"לאן אתה רוצה ללכת?")</f>
        <v>לאן אתה רוצה ללכת?</v>
      </c>
      <c r="N424" s="4" t="str">
        <f>IFERROR(__xludf.DUMMYFUNCTION("GOOGLETRANSLATE(B424,""en"",""bn"")"),"আপনি কোথায় যেতে চান?")</f>
        <v>আপনি কোথায় যেতে চান?</v>
      </c>
      <c r="O424" s="4" t="str">
        <f>IFERROR(__xludf.DUMMYFUNCTION("GOOGLETRANSLATE(B424,""en"",""pt"")"),"Onde você quer ir?")</f>
        <v>Onde você quer ir?</v>
      </c>
      <c r="P424" s="4"/>
    </row>
    <row r="425">
      <c r="A425" s="42" t="s">
        <v>1068</v>
      </c>
      <c r="B425" s="39" t="s">
        <v>1069</v>
      </c>
      <c r="C425" s="4" t="str">
        <f>IFERROR(__xludf.DUMMYFUNCTION("GOOGLETRANSLATE(B425,""en"",""hi"")"),"मानचित्र पर देखें")</f>
        <v>मानचित्र पर देखें</v>
      </c>
      <c r="D425" s="4" t="str">
        <f>IFERROR(__xludf.DUMMYFUNCTION("GOOGLETRANSLATE(B425,""en"",""ar"")"),"عرض على الخريطة")</f>
        <v>عرض على الخريطة</v>
      </c>
      <c r="E425" s="4" t="str">
        <f>IFERROR(__xludf.DUMMYFUNCTION("GOOGLETRANSLATE(B425,""en"",""fr"")"),"Voir sur la carte")</f>
        <v>Voir sur la carte</v>
      </c>
      <c r="F425" s="4" t="str">
        <f>IFERROR(__xludf.DUMMYFUNCTION("GOOGLETRANSLATE(B425,""en"",""tr"")"),"Haritada görüntüle")</f>
        <v>Haritada görüntüle</v>
      </c>
      <c r="G425" s="4" t="str">
        <f>IFERROR(__xludf.DUMMYFUNCTION("GOOGLETRANSLATE(B425,""en"",""ru"")"),"Посмотреть на карте")</f>
        <v>Посмотреть на карте</v>
      </c>
      <c r="H425" s="4" t="str">
        <f>IFERROR(__xludf.DUMMYFUNCTION("GOOGLETRANSLATE(B425,""en"",""it"")"),"Visualizza sulla mappa")</f>
        <v>Visualizza sulla mappa</v>
      </c>
      <c r="I425" s="4" t="str">
        <f>IFERROR(__xludf.DUMMYFUNCTION("GOOGLETRANSLATE(B425,""en"",""de"")"),"Auf der Karte anzeigen")</f>
        <v>Auf der Karte anzeigen</v>
      </c>
      <c r="J425" s="4" t="str">
        <f>IFERROR(__xludf.DUMMYFUNCTION("GOOGLETRANSLATE(B425,""en"",""ko"")"),"지도에서 보기")</f>
        <v>지도에서 보기</v>
      </c>
      <c r="K425" s="4" t="str">
        <f>IFERROR(__xludf.DUMMYFUNCTION("GOOGLETRANSLATE(B425,""en"",""zh"")"),"在地图上查看")</f>
        <v>在地图上查看</v>
      </c>
      <c r="L425" s="4" t="str">
        <f>IFERROR(__xludf.DUMMYFUNCTION("GOOGLETRANSLATE(B425,""en"",""es"")"),"Ver en el mapa")</f>
        <v>Ver en el mapa</v>
      </c>
      <c r="M425" s="4" t="str">
        <f>IFERROR(__xludf.DUMMYFUNCTION("GOOGLETRANSLATE(B425,""en"",""iw"")"),"צפה במפה")</f>
        <v>צפה במפה</v>
      </c>
      <c r="N425" s="4" t="str">
        <f>IFERROR(__xludf.DUMMYFUNCTION("GOOGLETRANSLATE(B425,""en"",""bn"")"),"মানচিত্রে দেখুন")</f>
        <v>মানচিত্রে দেখুন</v>
      </c>
      <c r="O425" s="4" t="str">
        <f>IFERROR(__xludf.DUMMYFUNCTION("GOOGLETRANSLATE(B425,""en"",""pt"")"),"Ver no mapa")</f>
        <v>Ver no mapa</v>
      </c>
      <c r="P425" s="4"/>
    </row>
    <row r="426">
      <c r="A426" s="42" t="s">
        <v>1070</v>
      </c>
      <c r="B426" s="29" t="s">
        <v>1071</v>
      </c>
      <c r="C426" s="4" t="str">
        <f>IFERROR(__xludf.DUMMYFUNCTION("GOOGLETRANSLATE(B426,""en"",""hi"")"),"कूपन")</f>
        <v>कूपन</v>
      </c>
      <c r="D426" s="4" t="str">
        <f>IFERROR(__xludf.DUMMYFUNCTION("GOOGLETRANSLATE(B426,""en"",""ar"")"),"قسيمة")</f>
        <v>قسيمة</v>
      </c>
      <c r="E426" s="4" t="str">
        <f>IFERROR(__xludf.DUMMYFUNCTION("GOOGLETRANSLATE(B426,""en"",""fr"")"),"Coupon")</f>
        <v>Coupon</v>
      </c>
      <c r="F426" s="4" t="str">
        <f>IFERROR(__xludf.DUMMYFUNCTION("GOOGLETRANSLATE(B426,""en"",""tr"")"),"Kupon")</f>
        <v>Kupon</v>
      </c>
      <c r="G426" s="4" t="str">
        <f>IFERROR(__xludf.DUMMYFUNCTION("GOOGLETRANSLATE(B426,""en"",""ru"")"),"Купон")</f>
        <v>Купон</v>
      </c>
      <c r="H426" s="4" t="str">
        <f>IFERROR(__xludf.DUMMYFUNCTION("GOOGLETRANSLATE(B426,""en"",""it"")"),"Buono")</f>
        <v>Buono</v>
      </c>
      <c r="I426" s="4" t="str">
        <f>IFERROR(__xludf.DUMMYFUNCTION("GOOGLETRANSLATE(B426,""en"",""de"")"),"Coupon")</f>
        <v>Coupon</v>
      </c>
      <c r="J426" s="4" t="str">
        <f>IFERROR(__xludf.DUMMYFUNCTION("GOOGLETRANSLATE(B426,""en"",""ko"")"),"쿠폰")</f>
        <v>쿠폰</v>
      </c>
      <c r="K426" s="4" t="str">
        <f>IFERROR(__xludf.DUMMYFUNCTION("GOOGLETRANSLATE(B426,""en"",""zh"")"),"优惠券")</f>
        <v>优惠券</v>
      </c>
      <c r="L426" s="4" t="str">
        <f>IFERROR(__xludf.DUMMYFUNCTION("GOOGLETRANSLATE(B426,""en"",""es"")"),"Cupón")</f>
        <v>Cupón</v>
      </c>
      <c r="M426" s="4" t="str">
        <f>IFERROR(__xludf.DUMMYFUNCTION("GOOGLETRANSLATE(B426,""en"",""iw"")"),"קוּפּוֹן")</f>
        <v>קוּפּוֹן</v>
      </c>
      <c r="N426" s="4" t="str">
        <f>IFERROR(__xludf.DUMMYFUNCTION("GOOGLETRANSLATE(B426,""en"",""bn"")"),"কুপন")</f>
        <v>কুপন</v>
      </c>
      <c r="O426" s="4" t="str">
        <f>IFERROR(__xludf.DUMMYFUNCTION("GOOGLETRANSLATE(B426,""en"",""pt"")"),"Cupom")</f>
        <v>Cupom</v>
      </c>
      <c r="P426" s="4"/>
    </row>
    <row r="427">
      <c r="A427" s="42" t="s">
        <v>1072</v>
      </c>
      <c r="B427" s="39" t="s">
        <v>1073</v>
      </c>
      <c r="C427" s="4" t="str">
        <f>IFERROR(__xludf.DUMMYFUNCTION("GOOGLETRANSLATE(B427,""en"",""hi"")"),"बुकिंग रद्द करें")</f>
        <v>बुकिंग रद्द करें</v>
      </c>
      <c r="D427" s="4" t="str">
        <f>IFERROR(__xludf.DUMMYFUNCTION("GOOGLETRANSLATE(B427,""en"",""ar"")"),"إلغاء الحجز")</f>
        <v>إلغاء الحجز</v>
      </c>
      <c r="E427" s="4" t="str">
        <f>IFERROR(__xludf.DUMMYFUNCTION("GOOGLETRANSLATE(B427,""en"",""fr"")"),"Annuler la réservation")</f>
        <v>Annuler la réservation</v>
      </c>
      <c r="F427" s="4" t="str">
        <f>IFERROR(__xludf.DUMMYFUNCTION("GOOGLETRANSLATE(B427,""en"",""tr"")"),"Rezervasyon iptali")</f>
        <v>Rezervasyon iptali</v>
      </c>
      <c r="G427" s="4" t="str">
        <f>IFERROR(__xludf.DUMMYFUNCTION("GOOGLETRANSLATE(B427,""en"",""ru"")"),"Отменить бронирование")</f>
        <v>Отменить бронирование</v>
      </c>
      <c r="H427" s="4" t="str">
        <f>IFERROR(__xludf.DUMMYFUNCTION("GOOGLETRANSLATE(B427,""en"",""it"")"),"Annulla prenotazione")</f>
        <v>Annulla prenotazione</v>
      </c>
      <c r="I427" s="4" t="str">
        <f>IFERROR(__xludf.DUMMYFUNCTION("GOOGLETRANSLATE(B427,""en"",""de"")"),"Buchung stornieren")</f>
        <v>Buchung stornieren</v>
      </c>
      <c r="J427" s="4" t="str">
        <f>IFERROR(__xludf.DUMMYFUNCTION("GOOGLETRANSLATE(B427,""en"",""ko"")"),"예약 취소")</f>
        <v>예약 취소</v>
      </c>
      <c r="K427" s="4" t="str">
        <f>IFERROR(__xludf.DUMMYFUNCTION("GOOGLETRANSLATE(B427,""en"",""zh"")"),"取消预订")</f>
        <v>取消预订</v>
      </c>
      <c r="L427" s="4" t="str">
        <f>IFERROR(__xludf.DUMMYFUNCTION("GOOGLETRANSLATE(B427,""en"",""es"")"),"Cancelar reserva")</f>
        <v>Cancelar reserva</v>
      </c>
      <c r="M427" s="4" t="str">
        <f>IFERROR(__xludf.DUMMYFUNCTION("GOOGLETRANSLATE(B427,""en"",""iw"")"),"בטל את ההזמנה")</f>
        <v>בטל את ההזמנה</v>
      </c>
      <c r="N427" s="4" t="str">
        <f>IFERROR(__xludf.DUMMYFUNCTION("GOOGLETRANSLATE(B427,""en"",""bn"")"),"বুকিং বাতিল করুন")</f>
        <v>বুকিং বাতিল করুন</v>
      </c>
      <c r="O427" s="4" t="str">
        <f>IFERROR(__xludf.DUMMYFUNCTION("GOOGLETRANSLATE(B427,""en"",""pt"")"),"Cancelar reserva")</f>
        <v>Cancelar reserva</v>
      </c>
      <c r="P427" s="4"/>
    </row>
    <row r="428">
      <c r="A428" s="42" t="s">
        <v>1074</v>
      </c>
      <c r="B428" s="29" t="s">
        <v>1075</v>
      </c>
      <c r="C428" s="4" t="str">
        <f>IFERROR(__xludf.DUMMYFUNCTION("GOOGLETRANSLATE(B428,""en"",""hi"")"),"ड्राइवर पास में")</f>
        <v>ड्राइवर पास में</v>
      </c>
      <c r="D428" s="4" t="str">
        <f>IFERROR(__xludf.DUMMYFUNCTION("GOOGLETRANSLATE(B428,""en"",""ar"")"),"سائق قريب")</f>
        <v>سائق قريب</v>
      </c>
      <c r="E428" s="4" t="str">
        <f>IFERROR(__xludf.DUMMYFUNCTION("GOOGLETRANSLATE(B428,""en"",""fr"")"),"Chauffeur à proximité")</f>
        <v>Chauffeur à proximité</v>
      </c>
      <c r="F428" s="4" t="str">
        <f>IFERROR(__xludf.DUMMYFUNCTION("GOOGLETRANSLATE(B428,""en"",""tr"")"),"Yakındaki Sürücü")</f>
        <v>Yakındaki Sürücü</v>
      </c>
      <c r="G428" s="4" t="str">
        <f>IFERROR(__xludf.DUMMYFUNCTION("GOOGLETRANSLATE(B428,""en"",""ru"")"),"Водитель рядом")</f>
        <v>Водитель рядом</v>
      </c>
      <c r="H428" s="4" t="str">
        <f>IFERROR(__xludf.DUMMYFUNCTION("GOOGLETRANSLATE(B428,""en"",""it"")"),"Autista nelle vicinanze")</f>
        <v>Autista nelle vicinanze</v>
      </c>
      <c r="I428" s="4" t="str">
        <f>IFERROR(__xludf.DUMMYFUNCTION("GOOGLETRANSLATE(B428,""en"",""de"")"),"Fahrer in der Nähe")</f>
        <v>Fahrer in der Nähe</v>
      </c>
      <c r="J428" s="4" t="str">
        <f>IFERROR(__xludf.DUMMYFUNCTION("GOOGLETRANSLATE(B428,""en"",""ko"")"),"근처의 드라이버 파트너")</f>
        <v>근처의 드라이버 파트너</v>
      </c>
      <c r="K428" s="4" t="str">
        <f>IFERROR(__xludf.DUMMYFUNCTION("GOOGLETRANSLATE(B428,""en"",""zh"")"),"附近的司机")</f>
        <v>附近的司机</v>
      </c>
      <c r="L428" s="4" t="str">
        <f>IFERROR(__xludf.DUMMYFUNCTION("GOOGLETRANSLATE(B428,""en"",""es"")"),"Conductor cerca")</f>
        <v>Conductor cerca</v>
      </c>
      <c r="M428" s="4" t="str">
        <f>IFERROR(__xludf.DUMMYFUNCTION("GOOGLETRANSLATE(B428,""en"",""iw"")"),"נהג בקרבת מקום")</f>
        <v>נהג בקרבת מקום</v>
      </c>
      <c r="N428" s="4" t="str">
        <f>IFERROR(__xludf.DUMMYFUNCTION("GOOGLETRANSLATE(B428,""en"",""bn"")"),"কাছাকাছি ড্রাইভার")</f>
        <v>কাছাকাছি ড্রাইভার</v>
      </c>
      <c r="O428" s="4" t="str">
        <f>IFERROR(__xludf.DUMMYFUNCTION("GOOGLETRANSLATE(B428,""en"",""pt"")"),"Motorista próximo")</f>
        <v>Motorista próximo</v>
      </c>
      <c r="P428" s="4"/>
    </row>
    <row r="429">
      <c r="A429" s="42" t="s">
        <v>1076</v>
      </c>
      <c r="B429" s="29" t="s">
        <v>1077</v>
      </c>
      <c r="C429" s="4" t="str">
        <f>IFERROR(__xludf.DUMMYFUNCTION("GOOGLETRANSLATE(B429,""en"",""hi"")"),"ड्राइवर 2 मिनट के भीतर आ जाएगा, उससे मिलने के लिए तैयार रहें")</f>
        <v>ड्राइवर 2 मिनट के भीतर आ जाएगा, उससे मिलने के लिए तैयार रहें</v>
      </c>
      <c r="D429" s="4" t="str">
        <f>IFERROR(__xludf.DUMMYFUNCTION("GOOGLETRANSLATE(B429,""en"",""ar"")"),"سيصل السائق خلال دقيقتين ليكون جاهزًا لمقابلته")</f>
        <v>سيصل السائق خلال دقيقتين ليكون جاهزًا لمقابلته</v>
      </c>
      <c r="E429" s="4" t="str">
        <f>IFERROR(__xludf.DUMMYFUNCTION("GOOGLETRANSLATE(B429,""en"",""fr"")"),"Le chauffeur arrivera dans les 2 minutes, soyez prêt à le rencontrer")</f>
        <v>Le chauffeur arrivera dans les 2 minutes, soyez prêt à le rencontrer</v>
      </c>
      <c r="F429" s="4" t="str">
        <f>IFERROR(__xludf.DUMMYFUNCTION("GOOGLETRANSLATE(B429,""en"",""tr"")"),"Sürücü 2 dakika içinde gelecek ve onunla buluşmaya hazır olun")</f>
        <v>Sürücü 2 dakika içinde gelecek ve onunla buluşmaya hazır olun</v>
      </c>
      <c r="G429" s="4" t="str">
        <f>IFERROR(__xludf.DUMMYFUNCTION("GOOGLETRANSLATE(B429,""en"",""ru"")"),"Водитель приедет в течение 2 минут, будьте готовы его встретить.")</f>
        <v>Водитель приедет в течение 2 минут, будьте готовы его встретить.</v>
      </c>
      <c r="H429" s="4" t="str">
        <f>IFERROR(__xludf.DUMMYFUNCTION("GOOGLETRANSLATE(B429,""en"",""it"")"),"L'autista arriverà entro 2 minuti, pronto ad incontrarlo")</f>
        <v>L'autista arriverà entro 2 minuti, pronto ad incontrarlo</v>
      </c>
      <c r="I429" s="4" t="str">
        <f>IFERROR(__xludf.DUMMYFUNCTION("GOOGLETRANSLATE(B429,""en"",""de"")"),"Der Fahrer wird innerhalb von 2 Minuten eintreffen und bereit sein, ihn abzuholen")</f>
        <v>Der Fahrer wird innerhalb von 2 Minuten eintreffen und bereit sein, ihn abzuholen</v>
      </c>
      <c r="J429" s="4" t="str">
        <f>IFERROR(__xludf.DUMMYFUNCTION("GOOGLETRANSLATE(B429,""en"",""ko"")"),"운전기사가 2분 이내에 도착하여 만날 준비를 합니다.")</f>
        <v>운전기사가 2분 이내에 도착하여 만날 준비를 합니다.</v>
      </c>
      <c r="K429" s="4" t="str">
        <f>IFERROR(__xludf.DUMMYFUNCTION("GOOGLETRANSLATE(B429,""en"",""zh"")"),"司机将在 2 分钟内到达并准备好迎接他")</f>
        <v>司机将在 2 分钟内到达并准备好迎接他</v>
      </c>
      <c r="L429" s="4" t="str">
        <f>IFERROR(__xludf.DUMMYFUNCTION("GOOGLETRANSLATE(B429,""en"",""es"")"),"El conductor llegará en 2 minutos y estará listo para recibirlo.")</f>
        <v>El conductor llegará en 2 minutos y estará listo para recibirlo.</v>
      </c>
      <c r="M429" s="4" t="str">
        <f>IFERROR(__xludf.DUMMYFUNCTION("GOOGLETRANSLATE(B429,""en"",""iw"")"),"הנהג יגיע תוך 2 דקות מוכן לפגוש אותו")</f>
        <v>הנהג יגיע תוך 2 דקות מוכן לפגוש אותו</v>
      </c>
      <c r="N429" s="4" t="str">
        <f>IFERROR(__xludf.DUMMYFUNCTION("GOOGLETRANSLATE(B429,""en"",""bn"")"),"ড্রাইভার তার সাথে দেখা করার জন্য প্রস্তুত 2 মিনিটের মধ্যে আসবে")</f>
        <v>ড্রাইভার তার সাথে দেখা করার জন্য প্রস্তুত 2 মিনিটের মধ্যে আসবে</v>
      </c>
      <c r="O429" s="4" t="str">
        <f>IFERROR(__xludf.DUMMYFUNCTION("GOOGLETRANSLATE(B429,""en"",""pt"")"),"O motorista chegará dentro de 2 minutos e estará pronto para encontrá-lo")</f>
        <v>O motorista chegará dentro de 2 minutos e estará pronto para encontrá-lo</v>
      </c>
      <c r="P429" s="4"/>
    </row>
    <row r="430">
      <c r="A430" s="42" t="s">
        <v>1078</v>
      </c>
      <c r="B430" s="29" t="s">
        <v>1079</v>
      </c>
      <c r="C430" s="4" t="str">
        <f>IFERROR(__xludf.DUMMYFUNCTION("GOOGLETRANSLATE(B430,""en"",""hi"")"),"ड्राइवर आ गया है")</f>
        <v>ड्राइवर आ गया है</v>
      </c>
      <c r="D430" s="4" t="str">
        <f>IFERROR(__xludf.DUMMYFUNCTION("GOOGLETRANSLATE(B430,""en"",""ar"")"),"لقد وصل السائق")</f>
        <v>لقد وصل السائق</v>
      </c>
      <c r="E430" s="4" t="str">
        <f>IFERROR(__xludf.DUMMYFUNCTION("GOOGLETRANSLATE(B430,""en"",""fr"")"),"Le chauffeur est arrivé")</f>
        <v>Le chauffeur est arrivé</v>
      </c>
      <c r="F430" s="4" t="str">
        <f>IFERROR(__xludf.DUMMYFUNCTION("GOOGLETRANSLATE(B430,""en"",""tr"")"),"Sürücü Geldi")</f>
        <v>Sürücü Geldi</v>
      </c>
      <c r="G430" s="4" t="str">
        <f>IFERROR(__xludf.DUMMYFUNCTION("GOOGLETRANSLATE(B430,""en"",""ru"")"),"Водитель прибыл")</f>
        <v>Водитель прибыл</v>
      </c>
      <c r="H430" s="4" t="str">
        <f>IFERROR(__xludf.DUMMYFUNCTION("GOOGLETRANSLATE(B430,""en"",""it"")"),"L'autista è arrivato")</f>
        <v>L'autista è arrivato</v>
      </c>
      <c r="I430" s="4" t="str">
        <f>IFERROR(__xludf.DUMMYFUNCTION("GOOGLETRANSLATE(B430,""en"",""de"")"),"Der Fahrer ist angekommen")</f>
        <v>Der Fahrer ist angekommen</v>
      </c>
      <c r="J430" s="4" t="str">
        <f>IFERROR(__xludf.DUMMYFUNCTION("GOOGLETRANSLATE(B430,""en"",""ko"")"),"운전기사가 도착했습니다")</f>
        <v>운전기사가 도착했습니다</v>
      </c>
      <c r="K430" s="4" t="str">
        <f>IFERROR(__xludf.DUMMYFUNCTION("GOOGLETRANSLATE(B430,""en"",""zh"")"),"司机已抵达")</f>
        <v>司机已抵达</v>
      </c>
      <c r="L430" s="4" t="str">
        <f>IFERROR(__xludf.DUMMYFUNCTION("GOOGLETRANSLATE(B430,""en"",""es"")"),"El conductor ha llegado")</f>
        <v>El conductor ha llegado</v>
      </c>
      <c r="M430" s="4" t="str">
        <f>IFERROR(__xludf.DUMMYFUNCTION("GOOGLETRANSLATE(B430,""en"",""iw"")"),"הנהג הגיע")</f>
        <v>הנהג הגיע</v>
      </c>
      <c r="N430" s="4" t="str">
        <f>IFERROR(__xludf.DUMMYFUNCTION("GOOGLETRANSLATE(B430,""en"",""bn"")"),"ড্রাইভার এসেছে")</f>
        <v>ড্রাইভার এসেছে</v>
      </c>
      <c r="O430" s="4" t="str">
        <f>IFERROR(__xludf.DUMMYFUNCTION("GOOGLETRANSLATE(B430,""en"",""pt"")"),"O motorista chegou")</f>
        <v>O motorista chegou</v>
      </c>
      <c r="P430" s="4"/>
    </row>
    <row r="431">
      <c r="A431" s="42" t="s">
        <v>1080</v>
      </c>
      <c r="B431" s="29" t="s">
        <v>1081</v>
      </c>
      <c r="C431" s="4" t="str">
        <f>IFERROR(__xludf.DUMMYFUNCTION("GOOGLETRANSLATE(B431,""en"",""hi"")"),"ड्राइवर आ गया है. अतिरिक्त शुल्क से बचने के लिए, 3 मिनट के भीतर अपने ड्राइवर से मिलना सुनिश्चित करें")</f>
        <v>ड्राइवर आ गया है. अतिरिक्त शुल्क से बचने के लिए, 3 मिनट के भीतर अपने ड्राइवर से मिलना सुनिश्चित करें</v>
      </c>
      <c r="D431" s="4" t="str">
        <f>IFERROR(__xludf.DUMMYFUNCTION("GOOGLETRANSLATE(B431,""en"",""ar"")"),"لقد وصل السائق. لتجنب الرسوم الإضافية، تأكد من مقابلة السائق الخاص بك في غضون 3 دقائق")</f>
        <v>لقد وصل السائق. لتجنب الرسوم الإضافية، تأكد من مقابلة السائق الخاص بك في غضون 3 دقائق</v>
      </c>
      <c r="E431" s="4" t="str">
        <f>IFERROR(__xludf.DUMMYFUNCTION("GOOGLETRANSLATE(B431,""en"",""fr"")"),"Le chauffeur est arrivé. Pour éviter des frais supplémentaires, assurez-vous de rencontrer votre chauffeur dans les 3 minutes.")</f>
        <v>Le chauffeur est arrivé. Pour éviter des frais supplémentaires, assurez-vous de rencontrer votre chauffeur dans les 3 minutes.</v>
      </c>
      <c r="F431" s="4" t="str">
        <f>IFERROR(__xludf.DUMMYFUNCTION("GOOGLETRANSLATE(B431,""en"",""tr"")"),"Sürücü geldi. Ekstra ücretlerden kaçınmak için sürücünüzle 3 dakika içinde buluşmayı unutmayın.")</f>
        <v>Sürücü geldi. Ekstra ücretlerden kaçınmak için sürücünüzle 3 dakika içinde buluşmayı unutmayın.</v>
      </c>
      <c r="G431" s="4" t="str">
        <f>IFERROR(__xludf.DUMMYFUNCTION("GOOGLETRANSLATE(B431,""en"",""ru"")"),"Водитель приехал. Чтобы избежать дополнительных сборов, обязательно встретите своего водителя в течение 3 минут.")</f>
        <v>Водитель приехал. Чтобы избежать дополнительных сборов, обязательно встретите своего водителя в течение 3 минут.</v>
      </c>
      <c r="H431" s="4" t="str">
        <f>IFERROR(__xludf.DUMMYFUNCTION("GOOGLETRANSLATE(B431,""en"",""it"")"),"L'autista è arrivato. Per evitare costi aggiuntivi, assicurati di incontrare l'autista entro 3 minuti")</f>
        <v>L'autista è arrivato. Per evitare costi aggiuntivi, assicurati di incontrare l'autista entro 3 minuti</v>
      </c>
      <c r="I431" s="4" t="str">
        <f>IFERROR(__xludf.DUMMYFUNCTION("GOOGLETRANSLATE(B431,""en"",""de"")"),"Der Fahrer ist angekommen. Um zusätzliche Gebühren zu vermeiden, treffen Sie Ihren Fahrer unbedingt innerhalb von 3 Minuten")</f>
        <v>Der Fahrer ist angekommen. Um zusätzliche Gebühren zu vermeiden, treffen Sie Ihren Fahrer unbedingt innerhalb von 3 Minuten</v>
      </c>
      <c r="J431" s="4" t="str">
        <f>IFERROR(__xludf.DUMMYFUNCTION("GOOGLETRANSLATE(B431,""en"",""ko"")"),"운전기사가 도착했습니다. 추가 비용을 피하려면 3분 이내에 운전기사를 만나세요.")</f>
        <v>운전기사가 도착했습니다. 추가 비용을 피하려면 3분 이내에 운전기사를 만나세요.</v>
      </c>
      <c r="K431" s="4" t="str">
        <f>IFERROR(__xludf.DUMMYFUNCTION("GOOGLETRANSLATE(B431,""en"",""zh"")"),"司机已经到了。为避免额外费用，请务必在 3 分钟内与您的司机会面")</f>
        <v>司机已经到了。为避免额外费用，请务必在 3 分钟内与您的司机会面</v>
      </c>
      <c r="L431" s="4" t="str">
        <f>IFERROR(__xludf.DUMMYFUNCTION("GOOGLETRANSLATE(B431,""en"",""es"")"),"El conductor ha llegado. Para evitar cargos adicionales, asegúrese de encontrarse con su conductor dentro de los 3 minutos")</f>
        <v>El conductor ha llegado. Para evitar cargos adicionales, asegúrese de encontrarse con su conductor dentro de los 3 minutos</v>
      </c>
      <c r="M431" s="4" t="str">
        <f>IFERROR(__xludf.DUMMYFUNCTION("GOOGLETRANSLATE(B431,""en"",""iw"")"),"הנהג הגיע. כדי למנוע עמלות נוספות, הקפד לפגוש את הנהג שלך תוך 3 דקות")</f>
        <v>הנהג הגיע. כדי למנוע עמלות נוספות, הקפד לפגוש את הנהג שלך תוך 3 דקות</v>
      </c>
      <c r="N431" s="4" t="str">
        <f>IFERROR(__xludf.DUMMYFUNCTION("GOOGLETRANSLATE(B431,""en"",""bn"")"),"ড্রাইভার এসেছে। অতিরিক্ত ফি এড়াতে, 3 মিনিটের মধ্যে আপনার ড্রাইভারের সাথে দেখা করতে ভুলবেন না")</f>
        <v>ড্রাইভার এসেছে। অতিরিক্ত ফি এড়াতে, 3 মিনিটের মধ্যে আপনার ড্রাইভারের সাথে দেখা করতে ভুলবেন না</v>
      </c>
      <c r="O431" s="4" t="str">
        <f>IFERROR(__xludf.DUMMYFUNCTION("GOOGLETRANSLATE(B431,""en"",""pt"")"),"O motorista chegou. Para evitar taxas extras, encontre seu motorista dentro de 3 minutos")</f>
        <v>O motorista chegou. Para evitar taxas extras, encontre seu motorista dentro de 3 minutos</v>
      </c>
      <c r="P431" s="4"/>
    </row>
    <row r="432">
      <c r="A432" s="42" t="s">
        <v>1082</v>
      </c>
      <c r="B432" s="29" t="s">
        <v>1083</v>
      </c>
      <c r="C432" s="4" t="str">
        <f>IFERROR(__xludf.DUMMYFUNCTION("GOOGLETRANSLATE(B432,""en"",""hi"")"),"आप ऑर्डर रद्द क्यों करना चाहते हैं?")</f>
        <v>आप ऑर्डर रद्द क्यों करना चाहते हैं?</v>
      </c>
      <c r="D432" s="4" t="str">
        <f>IFERROR(__xludf.DUMMYFUNCTION("GOOGLETRANSLATE(B432,""en"",""ar"")"),"لماذا تريد إلغاء الطلب؟")</f>
        <v>لماذا تريد إلغاء الطلب؟</v>
      </c>
      <c r="E432" s="4" t="str">
        <f>IFERROR(__xludf.DUMMYFUNCTION("GOOGLETRANSLATE(B432,""en"",""fr"")"),"Pourquoi souhaitez-vous annuler la commande ?")</f>
        <v>Pourquoi souhaitez-vous annuler la commande ?</v>
      </c>
      <c r="F432" s="4" t="str">
        <f>IFERROR(__xludf.DUMMYFUNCTION("GOOGLETRANSLATE(B432,""en"",""tr"")"),"Siparişi neden iptal etmek istiyorsunuz?")</f>
        <v>Siparişi neden iptal etmek istiyorsunuz?</v>
      </c>
      <c r="G432" s="4" t="str">
        <f>IFERROR(__xludf.DUMMYFUNCTION("GOOGLETRANSLATE(B432,""en"",""ru"")"),"Почему вы хотите отменить заказ?")</f>
        <v>Почему вы хотите отменить заказ?</v>
      </c>
      <c r="H432" s="4" t="str">
        <f>IFERROR(__xludf.DUMMYFUNCTION("GOOGLETRANSLATE(B432,""en"",""it"")"),"Perché vuoi annullare l'ordine?")</f>
        <v>Perché vuoi annullare l'ordine?</v>
      </c>
      <c r="I432" s="4" t="str">
        <f>IFERROR(__xludf.DUMMYFUNCTION("GOOGLETRANSLATE(B432,""en"",""de"")"),"Warum möchten Sie die Bestellung stornieren?")</f>
        <v>Warum möchten Sie die Bestellung stornieren?</v>
      </c>
      <c r="J432" s="4" t="str">
        <f>IFERROR(__xludf.DUMMYFUNCTION("GOOGLETRANSLATE(B432,""en"",""ko"")"),"왜 주문을 취소하시겠습니까?")</f>
        <v>왜 주문을 취소하시겠습니까?</v>
      </c>
      <c r="K432" s="4" t="str">
        <f>IFERROR(__xludf.DUMMYFUNCTION("GOOGLETRANSLATE(B432,""en"",""zh"")"),"为什么要取消订单？")</f>
        <v>为什么要取消订单？</v>
      </c>
      <c r="L432" s="4" t="str">
        <f>IFERROR(__xludf.DUMMYFUNCTION("GOOGLETRANSLATE(B432,""en"",""es"")"),"¿Por qué quieres cancelar el pedido?")</f>
        <v>¿Por qué quieres cancelar el pedido?</v>
      </c>
      <c r="M432" s="4" t="str">
        <f>IFERROR(__xludf.DUMMYFUNCTION("GOOGLETRANSLATE(B432,""en"",""iw"")"),"למה אתה רוצה לבטל הזמנה?")</f>
        <v>למה אתה רוצה לבטל הזמנה?</v>
      </c>
      <c r="N432" s="4" t="str">
        <f>IFERROR(__xludf.DUMMYFUNCTION("GOOGLETRANSLATE(B432,""en"",""bn"")"),"কেন আপনি অর্ডার বাতিল করতে চান?")</f>
        <v>কেন আপনি অর্ডার বাতিল করতে চান?</v>
      </c>
      <c r="O432" s="4" t="str">
        <f>IFERROR(__xludf.DUMMYFUNCTION("GOOGLETRANSLATE(B432,""en"",""pt"")"),"Por que você deseja cancelar o pedido?")</f>
        <v>Por que você deseja cancelar o pedido?</v>
      </c>
      <c r="P432" s="4"/>
    </row>
    <row r="433">
      <c r="A433" s="42" t="s">
        <v>1084</v>
      </c>
      <c r="B433" s="29" t="s">
        <v>1085</v>
      </c>
      <c r="C433" s="4" t="str">
        <f>IFERROR(__xludf.DUMMYFUNCTION("GOOGLETRANSLATE(B433,""en"",""hi"")"),"आप इस यात्रा की रिपोर्ट क्यों करना चाहते हैं?")</f>
        <v>आप इस यात्रा की रिपोर्ट क्यों करना चाहते हैं?</v>
      </c>
      <c r="D433" s="4" t="str">
        <f>IFERROR(__xludf.DUMMYFUNCTION("GOOGLETRANSLATE(B433,""en"",""ar"")"),"لماذا تريد الإبلاغ عن هذه الرحلة؟")</f>
        <v>لماذا تريد الإبلاغ عن هذه الرحلة؟</v>
      </c>
      <c r="E433" s="4" t="str">
        <f>IFERROR(__xludf.DUMMYFUNCTION("GOOGLETRANSLATE(B433,""en"",""fr"")"),"Pourquoi souhaitez-vous signaler ce voyage ?")</f>
        <v>Pourquoi souhaitez-vous signaler ce voyage ?</v>
      </c>
      <c r="F433" s="4" t="str">
        <f>IFERROR(__xludf.DUMMYFUNCTION("GOOGLETRANSLATE(B433,""en"",""tr"")"),"Bu Geziyi Neden Bildirmek İstiyorsunuz?")</f>
        <v>Bu Geziyi Neden Bildirmek İstiyorsunuz?</v>
      </c>
      <c r="G433" s="4" t="str">
        <f>IFERROR(__xludf.DUMMYFUNCTION("GOOGLETRANSLATE(B433,""en"",""ru"")"),"Почему вы хотите сообщить об этой поездке?")</f>
        <v>Почему вы хотите сообщить об этой поездке?</v>
      </c>
      <c r="H433" s="4" t="str">
        <f>IFERROR(__xludf.DUMMYFUNCTION("GOOGLETRANSLATE(B433,""en"",""it"")"),"Perché vuoi segnalare questo viaggio?")</f>
        <v>Perché vuoi segnalare questo viaggio?</v>
      </c>
      <c r="I433" s="4" t="str">
        <f>IFERROR(__xludf.DUMMYFUNCTION("GOOGLETRANSLATE(B433,""en"",""de"")"),"Warum möchten Sie diese Reise melden?")</f>
        <v>Warum möchten Sie diese Reise melden?</v>
      </c>
      <c r="J433" s="4" t="str">
        <f>IFERROR(__xludf.DUMMYFUNCTION("GOOGLETRANSLATE(B433,""en"",""ko"")"),"이 여행을 신고하려는 이유는 무엇입니까?")</f>
        <v>이 여행을 신고하려는 이유는 무엇입니까?</v>
      </c>
      <c r="K433" s="4" t="str">
        <f>IFERROR(__xludf.DUMMYFUNCTION("GOOGLETRANSLATE(B433,""en"",""zh"")"),"您为什么要报告这次旅行？")</f>
        <v>您为什么要报告这次旅行？</v>
      </c>
      <c r="L433" s="4" t="str">
        <f>IFERROR(__xludf.DUMMYFUNCTION("GOOGLETRANSLATE(B433,""en"",""es"")"),"¿Por qué desea denunciar este viaje?")</f>
        <v>¿Por qué desea denunciar este viaje?</v>
      </c>
      <c r="M433" s="4" t="str">
        <f>IFERROR(__xludf.DUMMYFUNCTION("GOOGLETRANSLATE(B433,""en"",""iw"")"),"למה אתה רוצה לדווח על טיול זה?")</f>
        <v>למה אתה רוצה לדווח על טיול זה?</v>
      </c>
      <c r="N433" s="4" t="str">
        <f>IFERROR(__xludf.DUMMYFUNCTION("GOOGLETRANSLATE(B433,""en"",""bn"")"),"কেন আপনি এই ট্রিপ রিপোর্ট করতে চান?")</f>
        <v>কেন আপনি এই ট্রিপ রিপোর্ট করতে চান?</v>
      </c>
      <c r="O433" s="4" t="str">
        <f>IFERROR(__xludf.DUMMYFUNCTION("GOOGLETRANSLATE(B433,""en"",""pt"")"),"Por que você deseja relatar esta viagem?")</f>
        <v>Por que você deseja relatar esta viagem?</v>
      </c>
      <c r="P433" s="4"/>
    </row>
    <row r="434">
      <c r="A434" s="47" t="s">
        <v>1086</v>
      </c>
      <c r="B434" s="48" t="s">
        <v>1087</v>
      </c>
      <c r="C434" s="4" t="str">
        <f>IFERROR(__xludf.DUMMYFUNCTION("GOOGLETRANSLATE(B434,""en"",""hi"")"),"हम हमारे ऐप को सुरक्षित रखने में आपकी मदद के लिए आपकी सराहना करते हैं")</f>
        <v>हम हमारे ऐप को सुरक्षित रखने में आपकी मदद के लिए आपकी सराहना करते हैं</v>
      </c>
      <c r="D434" s="4" t="str">
        <f>IFERROR(__xludf.DUMMYFUNCTION("GOOGLETRANSLATE(B434,""en"",""ar"")"),"نحن نقدر مساعدتك لنا في الحفاظ على أمان تطبيقنا")</f>
        <v>نحن نقدر مساعدتك لنا في الحفاظ على أمان تطبيقنا</v>
      </c>
      <c r="E434" s="4" t="str">
        <f>IFERROR(__xludf.DUMMYFUNCTION("GOOGLETRANSLATE(B434,""en"",""fr"")"),"Nous vous remercions de nous aider à assurer la sécurité de notre application")</f>
        <v>Nous vous remercions de nous aider à assurer la sécurité de notre application</v>
      </c>
      <c r="F434" s="4" t="str">
        <f>IFERROR(__xludf.DUMMYFUNCTION("GOOGLETRANSLATE(B434,""en"",""tr"")"),"Uygulamamızı güvende tutmamıza yardımcı olmanızı takdir ediyoruz")</f>
        <v>Uygulamamızı güvende tutmamıza yardımcı olmanızı takdir ediyoruz</v>
      </c>
      <c r="G434" s="4" t="str">
        <f>IFERROR(__xludf.DUMMYFUNCTION("GOOGLETRANSLATE(B434,""en"",""ru"")"),"Мы ценим, что вы помогаете нам обеспечить безопасность нашего приложения.")</f>
        <v>Мы ценим, что вы помогаете нам обеспечить безопасность нашего приложения.</v>
      </c>
      <c r="H434" s="4" t="str">
        <f>IFERROR(__xludf.DUMMYFUNCTION("GOOGLETRANSLATE(B434,""en"",""it"")"),"Apprezziamo il tuo aiuto per mantenere la nostra app sicura")</f>
        <v>Apprezziamo il tuo aiuto per mantenere la nostra app sicura</v>
      </c>
      <c r="I434" s="4" t="str">
        <f>IFERROR(__xludf.DUMMYFUNCTION("GOOGLETRANSLATE(B434,""en"",""de"")"),"Wir freuen uns, dass Sie uns helfen, unsere App sicher zu halten")</f>
        <v>Wir freuen uns, dass Sie uns helfen, unsere App sicher zu halten</v>
      </c>
      <c r="J434" s="4" t="str">
        <f>IFERROR(__xludf.DUMMYFUNCTION("GOOGLETRANSLATE(B434,""en"",""ko"")"),"우리 앱을 안전하게 유지하는 데 도움을 주셔서 감사합니다")</f>
        <v>우리 앱을 안전하게 유지하는 데 도움을 주셔서 감사합니다</v>
      </c>
      <c r="K434" s="4" t="str">
        <f>IFERROR(__xludf.DUMMYFUNCTION("GOOGLETRANSLATE(B434,""en"",""zh"")"),"我们感谢您帮助我们保证我们的应用程序的安全")</f>
        <v>我们感谢您帮助我们保证我们的应用程序的安全</v>
      </c>
      <c r="L434" s="4" t="str">
        <f>IFERROR(__xludf.DUMMYFUNCTION("GOOGLETRANSLATE(B434,""en"",""es"")"),"Apreciamos que nos ayude a mantener segura nuestra aplicación.")</f>
        <v>Apreciamos que nos ayude a mantener segura nuestra aplicación.</v>
      </c>
      <c r="M434" s="4" t="str">
        <f>IFERROR(__xludf.DUMMYFUNCTION("GOOGLETRANSLATE(B434,""en"",""iw"")"),"אנו מעריכים אותך שעוזר לנו לשמור על האפליקציה שלנו בטוחה")</f>
        <v>אנו מעריכים אותך שעוזר לנו לשמור על האפליקציה שלנו בטוחה</v>
      </c>
      <c r="N434" s="4" t="str">
        <f>IFERROR(__xludf.DUMMYFUNCTION("GOOGLETRANSLATE(B434,""en"",""bn"")"),"আমাদের অ্যাপকে সুরক্ষিত রাখতে সাহায্য করার জন্য আমরা কৃতজ্ঞ")</f>
        <v>আমাদের অ্যাপকে সুরক্ষিত রাখতে সাহায্য করার জন্য আমরা কৃতজ্ঞ</v>
      </c>
      <c r="O434" s="4" t="str">
        <f>IFERROR(__xludf.DUMMYFUNCTION("GOOGLETRANSLATE(B434,""en"",""pt"")"),"Agradecemos que você nos ajude a manter nosso aplicativo seguro")</f>
        <v>Agradecemos que você nos ajude a manter nosso aplicativo seguro</v>
      </c>
      <c r="P434" s="4"/>
    </row>
    <row r="435">
      <c r="A435" s="47" t="s">
        <v>1088</v>
      </c>
      <c r="B435" s="48" t="s">
        <v>1089</v>
      </c>
      <c r="C435" s="4" t="str">
        <f>IFERROR(__xludf.DUMMYFUNCTION("GOOGLETRANSLATE(B435,""en"",""hi"")"),"अभी हमें बताने के लिए धन्यवाद")</f>
        <v>अभी हमें बताने के लिए धन्यवाद</v>
      </c>
      <c r="D435" s="4" t="str">
        <f>IFERROR(__xludf.DUMMYFUNCTION("GOOGLETRANSLATE(B435,""en"",""ar"")"),"شكرا للسماح لنا الآن")</f>
        <v>شكرا للسماح لنا الآن</v>
      </c>
      <c r="E435" s="4" t="str">
        <f>IFERROR(__xludf.DUMMYFUNCTION("GOOGLETRANSLATE(B435,""en"",""fr"")"),"Merci de nous laisser maintenant")</f>
        <v>Merci de nous laisser maintenant</v>
      </c>
      <c r="F435" s="4" t="str">
        <f>IFERROR(__xludf.DUMMYFUNCTION("GOOGLETRANSLATE(B435,""en"",""tr"")"),"Şimdi bize izin verdiğiniz için teşekkürler")</f>
        <v>Şimdi bize izin verdiğiniz için teşekkürler</v>
      </c>
      <c r="G435" s="4" t="str">
        <f>IFERROR(__xludf.DUMMYFUNCTION("GOOGLETRANSLATE(B435,""en"",""ru"")"),"Спасибо, что позволили нам сейчас")</f>
        <v>Спасибо, что позволили нам сейчас</v>
      </c>
      <c r="H435" s="4" t="str">
        <f>IFERROR(__xludf.DUMMYFUNCTION("GOOGLETRANSLATE(B435,""en"",""it"")"),"Grazie per avercelo permesso adesso")</f>
        <v>Grazie per avercelo permesso adesso</v>
      </c>
      <c r="I435" s="4" t="str">
        <f>IFERROR(__xludf.DUMMYFUNCTION("GOOGLETRANSLATE(B435,""en"",""de"")"),"Vielen Dank, dass Sie uns jetzt gelassen haben")</f>
        <v>Vielen Dank, dass Sie uns jetzt gelassen haben</v>
      </c>
      <c r="J435" s="4" t="str">
        <f>IFERROR(__xludf.DUMMYFUNCTION("GOOGLETRANSLATE(B435,""en"",""ko"")"),"이제 허락해 주셔서 감사합니다")</f>
        <v>이제 허락해 주셔서 감사합니다</v>
      </c>
      <c r="K435" s="4" t="str">
        <f>IFERROR(__xludf.DUMMYFUNCTION("GOOGLETRANSLATE(B435,""en"",""zh"")"),"感谢您现在让我们")</f>
        <v>感谢您现在让我们</v>
      </c>
      <c r="L435" s="4" t="str">
        <f>IFERROR(__xludf.DUMMYFUNCTION("GOOGLETRANSLATE(B435,""en"",""es"")"),"Gracias por dejarnos ahora")</f>
        <v>Gracias por dejarnos ahora</v>
      </c>
      <c r="M435" s="4" t="str">
        <f>IFERROR(__xludf.DUMMYFUNCTION("GOOGLETRANSLATE(B435,""en"",""iw"")"),"תודה שאיפשרת לנו עכשיו")</f>
        <v>תודה שאיפשרת לנו עכשיו</v>
      </c>
      <c r="N435" s="4" t="str">
        <f>IFERROR(__xludf.DUMMYFUNCTION("GOOGLETRANSLATE(B435,""en"",""bn"")"),"এখন আমাদের দেওয়া জন্য ধন্যবাদ")</f>
        <v>এখন আমাদের দেওয়া জন্য ধন্যবাদ</v>
      </c>
      <c r="O435" s="4" t="str">
        <f>IFERROR(__xludf.DUMMYFUNCTION("GOOGLETRANSLATE(B435,""en"",""pt"")"),"Obrigado por nos deixar agora")</f>
        <v>Obrigado por nos deixar agora</v>
      </c>
      <c r="P435" s="4"/>
    </row>
    <row r="436">
      <c r="A436" s="47" t="s">
        <v>1090</v>
      </c>
      <c r="B436" s="48" t="s">
        <v>1091</v>
      </c>
      <c r="C436" s="4" t="str">
        <f>IFERROR(__xludf.DUMMYFUNCTION("GOOGLETRANSLATE(B436,""en"",""hi"")"),"यह फीडबैक हमारे ऐप समुदाय को सभी के लिए सुरक्षित रखने में हमारी मदद करने में महत्वपूर्ण है")</f>
        <v>यह फीडबैक हमारे ऐप समुदाय को सभी के लिए सुरक्षित रखने में हमारी मदद करने में महत्वपूर्ण है</v>
      </c>
      <c r="D436" s="4" t="str">
        <f>IFERROR(__xludf.DUMMYFUNCTION("GOOGLETRANSLATE(B436,""en"",""ar"")"),"تعتبر هذه التعليقات مهمة لمساعدتنا في الحفاظ على مجتمع التطبيقات الخاص بنا آمنًا للجميع")</f>
        <v>تعتبر هذه التعليقات مهمة لمساعدتنا في الحفاظ على مجتمع التطبيقات الخاص بنا آمنًا للجميع</v>
      </c>
      <c r="E436" s="4" t="str">
        <f>IFERROR(__xludf.DUMMYFUNCTION("GOOGLETRANSLATE(B436,""en"",""fr"")"),"Ces commentaires sont importants pour nous aider à assurer la sécurité de notre communauté d'applications pour tout le monde.")</f>
        <v>Ces commentaires sont importants pour nous aider à assurer la sécurité de notre communauté d'applications pour tout le monde.</v>
      </c>
      <c r="F436" s="4" t="str">
        <f>IFERROR(__xludf.DUMMYFUNCTION("GOOGLETRANSLATE(B436,""en"",""tr"")"),"Bu geri bildirim, Uygulama Topluluğumuzu herkes için güvenli ve emniyette tutmamıza yardımcı olması açısından önemlidir")</f>
        <v>Bu geri bildirim, Uygulama Topluluğumuzu herkes için güvenli ve emniyette tutmamıza yardımcı olması açısından önemlidir</v>
      </c>
      <c r="G436" s="4" t="str">
        <f>IFERROR(__xludf.DUMMYFUNCTION("GOOGLETRANSLATE(B436,""en"",""ru"")"),"Этот отзыв важен для того, чтобы помочь нам обеспечить безопасность нашего сообщества приложений для всех.")</f>
        <v>Этот отзыв важен для того, чтобы помочь нам обеспечить безопасность нашего сообщества приложений для всех.</v>
      </c>
      <c r="H436" s="4" t="str">
        <f>IFERROR(__xludf.DUMMYFUNCTION("GOOGLETRANSLATE(B436,""en"",""it"")"),"Questo feedback è importante per aiutarci a mantenere la nostra community di app sicura e protetta per tutti")</f>
        <v>Questo feedback è importante per aiutarci a mantenere la nostra community di app sicura e protetta per tutti</v>
      </c>
      <c r="I436" s="4" t="str">
        <f>IFERROR(__xludf.DUMMYFUNCTION("GOOGLETRANSLATE(B436,""en"",""de"")"),"Dieses Feedback ist wichtig, damit wir unsere App-Community für alle sicher und geschützt halten können")</f>
        <v>Dieses Feedback ist wichtig, damit wir unsere App-Community für alle sicher und geschützt halten können</v>
      </c>
      <c r="J436" s="4" t="str">
        <f>IFERROR(__xludf.DUMMYFUNCTION("GOOGLETRANSLATE(B436,""en"",""ko"")"),"이 피드백은 모든 사람을 위해 앱 커뮤니티를 안전하게 유지하는 데 중요합니다.")</f>
        <v>이 피드백은 모든 사람을 위해 앱 커뮤니티를 안전하게 유지하는 데 중요합니다.</v>
      </c>
      <c r="K436" s="4" t="str">
        <f>IFERROR(__xludf.DUMMYFUNCTION("GOOGLETRANSLATE(B436,""en"",""zh"")"),"此反馈对于帮助我们确保我们的应用程序社区对每个人来说都是安全的非常重要")</f>
        <v>此反馈对于帮助我们确保我们的应用程序社区对每个人来说都是安全的非常重要</v>
      </c>
      <c r="L436" s="4" t="str">
        <f>IFERROR(__xludf.DUMMYFUNCTION("GOOGLETRANSLATE(B436,""en"",""es"")"),"Estos comentarios son importantes para ayudarnos a mantener nuestra comunidad de aplicaciones segura para todos.")</f>
        <v>Estos comentarios son importantes para ayudarnos a mantener nuestra comunidad de aplicaciones segura para todos.</v>
      </c>
      <c r="M436" s="4" t="str">
        <f>IFERROR(__xludf.DUMMYFUNCTION("GOOGLETRANSLATE(B436,""en"",""iw"")"),"המשוב הזה חשוב כדי לעזור לנו לשמור על קהילת האפליקציות שלנו בטוחה ומאובטחת לכולם")</f>
        <v>המשוב הזה חשוב כדי לעזור לנו לשמור על קהילת האפליקציות שלנו בטוחה ומאובטחת לכולם</v>
      </c>
      <c r="N436" s="4" t="str">
        <f>IFERROR(__xludf.DUMMYFUNCTION("GOOGLETRANSLATE(B436,""en"",""bn"")"),"আমাদের অ্যাপ কমিউনিটিকে সবার জন্য সুরক্ষিত রাখতে সাহায্য করার জন্য এই প্রতিক্রিয়াটি গুরুত্বপূর্ণ")</f>
        <v>আমাদের অ্যাপ কমিউনিটিকে সবার জন্য সুরক্ষিত রাখতে সাহায্য করার জন্য এই প্রতিক্রিয়াটি গুরুত্বপূর্ণ</v>
      </c>
      <c r="O436" s="4" t="str">
        <f>IFERROR(__xludf.DUMMYFUNCTION("GOOGLETRANSLATE(B436,""en"",""pt"")"),"Este feedback é importante para nos ajudar a manter nossa comunidade de aplicativos segura e protegida para todos")</f>
        <v>Este feedback é importante para nos ajudar a manter nossa comunidade de aplicativos segura e protegida para todos</v>
      </c>
      <c r="P436" s="4"/>
    </row>
    <row r="437">
      <c r="A437" s="49" t="s">
        <v>1092</v>
      </c>
      <c r="B437" s="50" t="s">
        <v>1093</v>
      </c>
      <c r="C437" s="4" t="str">
        <f>IFERROR(__xludf.DUMMYFUNCTION("GOOGLETRANSLATE(B437,""en"",""hi"")"),"आपको भेजा गया ओटीपी नंबर यहां दर्ज करें ")</f>
        <v>आपको भेजा गया ओटीपी नंबर यहां दर्ज करें </v>
      </c>
      <c r="D437" s="4" t="str">
        <f>IFERROR(__xludf.DUMMYFUNCTION("GOOGLETRANSLATE(B437,""en"",""ar"")"),"أدخل رقم OTP المرسل إليك على ")</f>
        <v>أدخل رقم OTP المرسل إليك على </v>
      </c>
      <c r="E437" s="4" t="str">
        <f>IFERROR(__xludf.DUMMYFUNCTION("GOOGLETRANSLATE(B437,""en"",""fr"")"),"Entrez le numéro OTP qui vous a été envoyé à ")</f>
        <v>Entrez le numéro OTP qui vous a été envoyé à </v>
      </c>
      <c r="F437" s="4" t="str">
        <f>IFERROR(__xludf.DUMMYFUNCTION("GOOGLETRANSLATE(B437,""en"",""tr"")"),"Size gönderilen OTP numarasını girin ")</f>
        <v>Size gönderilen OTP numarasını girin </v>
      </c>
      <c r="G437" s="4" t="str">
        <f>IFERROR(__xludf.DUMMYFUNCTION("GOOGLETRANSLATE(B437,""en"",""ru"")"),"Введите номер OTP, отправленный вам по адресу ")</f>
        <v>Введите номер OTP, отправленный вам по адресу </v>
      </c>
      <c r="H437" s="4" t="str">
        <f>IFERROR(__xludf.DUMMYFUNCTION("GOOGLETRANSLATE(B437,""en"",""it"")"),"Inserisci il numero OTP che ti è stato inviato a ")</f>
        <v>Inserisci il numero OTP che ti è stato inviato a </v>
      </c>
      <c r="I437" s="4" t="str">
        <f>IFERROR(__xludf.DUMMYFUNCTION("GOOGLETRANSLATE(B437,""en"",""de"")"),"Geben Sie die OTP-Nummer ein, die Ihnen unter gesendet wurde ")</f>
        <v>Geben Sie die OTP-Nummer ein, die Ihnen unter gesendet wurde </v>
      </c>
      <c r="J437" s="4" t="str">
        <f>IFERROR(__xludf.DUMMYFUNCTION("GOOGLETRANSLATE(B437,""en"",""ko"")"),"에서 전송된 OTP 번호를 입력하세요. ")</f>
        <v>에서 전송된 OTP 번호를 입력하세요. </v>
      </c>
      <c r="K437" s="4" t="str">
        <f>IFERROR(__xludf.DUMMYFUNCTION("GOOGLETRANSLATE(B437,""en"",""zh"")"),"输入发送给您的 OTP 号码 ")</f>
        <v>输入发送给您的 OTP 号码 </v>
      </c>
      <c r="L437" s="4" t="str">
        <f>IFERROR(__xludf.DUMMYFUNCTION("GOOGLETRANSLATE(B437,""en"",""es"")"),"Ingrese el número OTP que se le envió a ")</f>
        <v>Ingrese el número OTP que se le envió a </v>
      </c>
      <c r="M437" s="4" t="str">
        <f>IFERROR(__xludf.DUMMYFUNCTION("GOOGLETRANSLATE(B437,""en"",""iw"")"),"הזן את מספר ה-OTP שנשלח אליך בכתובת ")</f>
        <v>הזן את מספר ה-OTP שנשלח אליך בכתובת </v>
      </c>
      <c r="N437" s="4" t="str">
        <f>IFERROR(__xludf.DUMMYFUNCTION("GOOGLETRANSLATE(B437,""en"",""bn"")"),"আপনার কাছে পাঠানো ওটিপি নম্বরটি লিখুন ")</f>
        <v>আপনার কাছে পাঠানো ওটিপি নম্বরটি লিখুন </v>
      </c>
      <c r="O437" s="4" t="str">
        <f>IFERROR(__xludf.DUMMYFUNCTION("GOOGLETRANSLATE(B437,""en"",""pt"")"),"Digite o número OTP enviado para você em ")</f>
        <v>Digite o número OTP enviado para você em </v>
      </c>
      <c r="P437" s="4"/>
    </row>
    <row r="438">
      <c r="A438" s="49" t="s">
        <v>1094</v>
      </c>
      <c r="B438" s="50" t="s">
        <v>1095</v>
      </c>
      <c r="C438" s="4" t="str">
        <f>IFERROR(__xludf.DUMMYFUNCTION("GOOGLETRANSLATE(B438,""en"",""hi"")"),"ओटीपी पुनः भेजें")</f>
        <v>ओटीपी पुनः भेजें</v>
      </c>
      <c r="D438" s="4" t="str">
        <f>IFERROR(__xludf.DUMMYFUNCTION("GOOGLETRANSLATE(B438,""en"",""ar"")"),"إعادة إرسال كلمة المرور لمرة واحدة")</f>
        <v>إعادة إرسال كلمة المرور لمرة واحدة</v>
      </c>
      <c r="E438" s="4" t="str">
        <f>IFERROR(__xludf.DUMMYFUNCTION("GOOGLETRANSLATE(B438,""en"",""fr"")"),"Renvoyer OTP")</f>
        <v>Renvoyer OTP</v>
      </c>
      <c r="F438" s="4" t="str">
        <f>IFERROR(__xludf.DUMMYFUNCTION("GOOGLETRANSLATE(B438,""en"",""tr"")"),"OTP'yi yeniden gönder")</f>
        <v>OTP'yi yeniden gönder</v>
      </c>
      <c r="G438" s="4" t="str">
        <f>IFERROR(__xludf.DUMMYFUNCTION("GOOGLETRANSLATE(B438,""en"",""ru"")"),"Повторно отправить OTP")</f>
        <v>Повторно отправить OTP</v>
      </c>
      <c r="H438" s="4" t="str">
        <f>IFERROR(__xludf.DUMMYFUNCTION("GOOGLETRANSLATE(B438,""en"",""it"")"),"Invia nuovamente OTP")</f>
        <v>Invia nuovamente OTP</v>
      </c>
      <c r="I438" s="4" t="str">
        <f>IFERROR(__xludf.DUMMYFUNCTION("GOOGLETRANSLATE(B438,""en"",""de"")"),"OTP erneut senden")</f>
        <v>OTP erneut senden</v>
      </c>
      <c r="J438" s="4" t="str">
        <f>IFERROR(__xludf.DUMMYFUNCTION("GOOGLETRANSLATE(B438,""en"",""ko"")"),"OTP 재전송")</f>
        <v>OTP 재전송</v>
      </c>
      <c r="K438" s="4" t="str">
        <f>IFERROR(__xludf.DUMMYFUNCTION("GOOGLETRANSLATE(B438,""en"",""zh"")"),"重新发送一次性密码")</f>
        <v>重新发送一次性密码</v>
      </c>
      <c r="L438" s="4" t="str">
        <f>IFERROR(__xludf.DUMMYFUNCTION("GOOGLETRANSLATE(B438,""en"",""es"")"),"Reenviar OTP")</f>
        <v>Reenviar OTP</v>
      </c>
      <c r="M438" s="4" t="str">
        <f>IFERROR(__xludf.DUMMYFUNCTION("GOOGLETRANSLATE(B438,""en"",""iw"")"),"שלח שוב OTP")</f>
        <v>שלח שוב OTP</v>
      </c>
      <c r="N438" s="4" t="str">
        <f>IFERROR(__xludf.DUMMYFUNCTION("GOOGLETRANSLATE(B438,""en"",""bn"")"),"OTP আবার পাঠান")</f>
        <v>OTP আবার পাঠান</v>
      </c>
      <c r="O438" s="4" t="str">
        <f>IFERROR(__xludf.DUMMYFUNCTION("GOOGLETRANSLATE(B438,""en"",""pt"")"),"Reenviar OTP")</f>
        <v>Reenviar OTP</v>
      </c>
      <c r="P438" s="4"/>
    </row>
    <row r="439">
      <c r="A439" s="51" t="s">
        <v>1096</v>
      </c>
      <c r="B439" s="50" t="s">
        <v>1097</v>
      </c>
      <c r="C439" s="4" t="str">
        <f>IFERROR(__xludf.DUMMYFUNCTION("GOOGLETRANSLATE(B439,""en"",""hi"")"),"मुद्दा है")</f>
        <v>मुद्दा है</v>
      </c>
      <c r="D439" s="4" t="str">
        <f>IFERROR(__xludf.DUMMYFUNCTION("GOOGLETRANSLATE(B439,""en"",""ar"")"),"لديك مشكلة")</f>
        <v>لديك مشكلة</v>
      </c>
      <c r="E439" s="4" t="str">
        <f>IFERROR(__xludf.DUMMYFUNCTION("GOOGLETRANSLATE(B439,""en"",""fr"")"),"Avoir un problème")</f>
        <v>Avoir un problème</v>
      </c>
      <c r="F439" s="4" t="str">
        <f>IFERROR(__xludf.DUMMYFUNCTION("GOOGLETRANSLATE(B439,""en"",""tr"")"),"Sorun Var")</f>
        <v>Sorun Var</v>
      </c>
      <c r="G439" s="4" t="str">
        <f>IFERROR(__xludf.DUMMYFUNCTION("GOOGLETRANSLATE(B439,""en"",""ru"")"),"Есть проблема")</f>
        <v>Есть проблема</v>
      </c>
      <c r="H439" s="4" t="str">
        <f>IFERROR(__xludf.DUMMYFUNCTION("GOOGLETRANSLATE(B439,""en"",""it"")"),"Hai un problema")</f>
        <v>Hai un problema</v>
      </c>
      <c r="I439" s="4" t="str">
        <f>IFERROR(__xludf.DUMMYFUNCTION("GOOGLETRANSLATE(B439,""en"",""de"")"),"Habe ein Problem")</f>
        <v>Habe ein Problem</v>
      </c>
      <c r="J439" s="4" t="str">
        <f>IFERROR(__xludf.DUMMYFUNCTION("GOOGLETRANSLATE(B439,""en"",""ko"")"),"문제가 있음")</f>
        <v>문제가 있음</v>
      </c>
      <c r="K439" s="4" t="str">
        <f>IFERROR(__xludf.DUMMYFUNCTION("GOOGLETRANSLATE(B439,""en"",""zh"")"),"有问题")</f>
        <v>有问题</v>
      </c>
      <c r="L439" s="4" t="str">
        <f>IFERROR(__xludf.DUMMYFUNCTION("GOOGLETRANSLATE(B439,""en"",""es"")"),"Tener problema")</f>
        <v>Tener problema</v>
      </c>
      <c r="M439" s="4" t="str">
        <f>IFERROR(__xludf.DUMMYFUNCTION("GOOGLETRANSLATE(B439,""en"",""iw"")"),"יש בעיה")</f>
        <v>יש בעיה</v>
      </c>
      <c r="N439" s="4" t="str">
        <f>IFERROR(__xludf.DUMMYFUNCTION("GOOGLETRANSLATE(B439,""en"",""bn"")"),"সমস্যা আছে")</f>
        <v>সমস্যা আছে</v>
      </c>
      <c r="O439" s="4" t="str">
        <f>IFERROR(__xludf.DUMMYFUNCTION("GOOGLETRANSLATE(B439,""en"",""pt"")"),"Tem problema")</f>
        <v>Tem problema</v>
      </c>
      <c r="P439" s="4"/>
    </row>
    <row r="440">
      <c r="A440" s="51" t="s">
        <v>1098</v>
      </c>
      <c r="B440" s="52" t="s">
        <v>1099</v>
      </c>
      <c r="C440" s="4" t="str">
        <f>IFERROR(__xludf.DUMMYFUNCTION("GOOGLETRANSLATE(B440,""en"",""hi"")"),"सबसे भरोसेमंद ऐप")</f>
        <v>सबसे भरोसेमंद ऐप</v>
      </c>
      <c r="D440" s="4" t="str">
        <f>IFERROR(__xludf.DUMMYFUNCTION("GOOGLETRANSLATE(B440,""en"",""ar"")"),"التطبيق الأكثر ثقة")</f>
        <v>التطبيق الأكثر ثقة</v>
      </c>
      <c r="E440" s="4" t="str">
        <f>IFERROR(__xludf.DUMMYFUNCTION("GOOGLETRANSLATE(B440,""en"",""fr"")"),"Application la plus fiable")</f>
        <v>Application la plus fiable</v>
      </c>
      <c r="F440" s="4" t="str">
        <f>IFERROR(__xludf.DUMMYFUNCTION("GOOGLETRANSLATE(B440,""en"",""tr"")"),"En Güvenilir uygulama")</f>
        <v>En Güvenilir uygulama</v>
      </c>
      <c r="G440" s="4" t="str">
        <f>IFERROR(__xludf.DUMMYFUNCTION("GOOGLETRANSLATE(B440,""en"",""ru"")"),"Самое надежное приложение")</f>
        <v>Самое надежное приложение</v>
      </c>
      <c r="H440" s="4" t="str">
        <f>IFERROR(__xludf.DUMMYFUNCTION("GOOGLETRANSLATE(B440,""en"",""it"")"),"L'app più affidabile")</f>
        <v>L'app più affidabile</v>
      </c>
      <c r="I440" s="4" t="str">
        <f>IFERROR(__xludf.DUMMYFUNCTION("GOOGLETRANSLATE(B440,""en"",""de"")"),"Die vertrauenswürdigste App")</f>
        <v>Die vertrauenswürdigste App</v>
      </c>
      <c r="J440" s="4" t="str">
        <f>IFERROR(__xludf.DUMMYFUNCTION("GOOGLETRANSLATE(B440,""en"",""ko"")"),"가장 신뢰받는 앱")</f>
        <v>가장 신뢰받는 앱</v>
      </c>
      <c r="K440" s="4" t="str">
        <f>IFERROR(__xludf.DUMMYFUNCTION("GOOGLETRANSLATE(B440,""en"",""zh"")"),"最值得信赖的应用程序")</f>
        <v>最值得信赖的应用程序</v>
      </c>
      <c r="L440" s="4" t="str">
        <f>IFERROR(__xludf.DUMMYFUNCTION("GOOGLETRANSLATE(B440,""en"",""es"")"),"Aplicación más confiable")</f>
        <v>Aplicación más confiable</v>
      </c>
      <c r="M440" s="4" t="str">
        <f>IFERROR(__xludf.DUMMYFUNCTION("GOOGLETRANSLATE(B440,""en"",""iw"")"),"האפליקציה המהימנה ביותר")</f>
        <v>האפליקציה המהימנה ביותר</v>
      </c>
      <c r="N440" s="4" t="str">
        <f>IFERROR(__xludf.DUMMYFUNCTION("GOOGLETRANSLATE(B440,""en"",""bn"")"),"সবচেয়ে বিশ্বস্ত অ্যাপ")</f>
        <v>সবচেয়ে বিশ্বস্ত অ্যাপ</v>
      </c>
      <c r="O440" s="4" t="str">
        <f>IFERROR(__xludf.DUMMYFUNCTION("GOOGLETRANSLATE(B440,""en"",""pt"")"),"Aplicativo mais confiável")</f>
        <v>Aplicativo mais confiável</v>
      </c>
      <c r="P440" s="4"/>
    </row>
    <row r="441">
      <c r="A441" s="51" t="s">
        <v>1100</v>
      </c>
      <c r="B441" s="50" t="s">
        <v>1101</v>
      </c>
      <c r="C441" s="4" t="str">
        <f>IFERROR(__xludf.DUMMYFUNCTION("GOOGLETRANSLATE(B441,""en"",""hi"")"),"अपनी सवारी के अनुभव का आनंद लेने के लिए कृपया हमें निम्नलिखित अनुमति दें")</f>
        <v>अपनी सवारी के अनुभव का आनंद लेने के लिए कृपया हमें निम्नलिखित अनुमति दें</v>
      </c>
      <c r="D441" s="4" t="str">
        <f>IFERROR(__xludf.DUMMYFUNCTION("GOOGLETRANSLATE(B441,""en"",""ar"")"),"للاستمتاع بتجربة رحلتك من فضلك، أعطنا الإذن التالي")</f>
        <v>للاستمتاع بتجربة رحلتك من فضلك، أعطنا الإذن التالي</v>
      </c>
      <c r="E441" s="4" t="str">
        <f>IFERROR(__xludf.DUMMYFUNCTION("GOOGLETRANSLATE(B441,""en"",""fr"")"),"Pour profiter de votre expérience de conduite, veuillez nous fournir l'autorisation suivante")</f>
        <v>Pour profiter de votre expérience de conduite, veuillez nous fournir l'autorisation suivante</v>
      </c>
      <c r="F441" s="4" t="str">
        <f>IFERROR(__xludf.DUMMYFUNCTION("GOOGLETRANSLATE(B441,""en"",""tr"")"),"Sürüş deneyiminizin tadını çıkarmak için lütfen aşağıdaki izni bize verin")</f>
        <v>Sürüş deneyiminizin tadını çıkarmak için lütfen aşağıdaki izni bize verin</v>
      </c>
      <c r="G441" s="4" t="str">
        <f>IFERROR(__xludf.DUMMYFUNCTION("GOOGLETRANSLATE(B441,""en"",""ru"")"),"Чтобы насладиться поездкой, пожалуйста, дайте нам следующее разрешение")</f>
        <v>Чтобы насладиться поездкой, пожалуйста, дайте нам следующее разрешение</v>
      </c>
      <c r="H441" s="4" t="str">
        <f>IFERROR(__xludf.DUMMYFUNCTION("GOOGLETRANSLATE(B441,""en"",""it"")"),"Per goderti la tua esperienza di guida, ti preghiamo di fornirci la seguente autorizzazione")</f>
        <v>Per goderti la tua esperienza di guida, ti preghiamo di fornirci la seguente autorizzazione</v>
      </c>
      <c r="I441" s="4" t="str">
        <f>IFERROR(__xludf.DUMMYFUNCTION("GOOGLETRANSLATE(B441,""en"",""de"")"),"Um Ihr Fahrerlebnis genießen zu können, bitten wir Sie, uns die folgende Erlaubnis zu geben")</f>
        <v>Um Ihr Fahrerlebnis genießen zu können, bitten wir Sie, uns die folgende Erlaubnis zu geben</v>
      </c>
      <c r="J441" s="4" t="str">
        <f>IFERROR(__xludf.DUMMYFUNCTION("GOOGLETRANSLATE(B441,""en"",""ko"")"),"즐거운 라이딩 경험을 위해 다음 권한을 요청해 주세요.")</f>
        <v>즐거운 라이딩 경험을 위해 다음 권한을 요청해 주세요.</v>
      </c>
      <c r="K441" s="4" t="str">
        <f>IFERROR(__xludf.DUMMYFUNCTION("GOOGLETRANSLATE(B441,""en"",""zh"")"),"为了享受您的乘车体验，请获得以下许可")</f>
        <v>为了享受您的乘车体验，请获得以下许可</v>
      </c>
      <c r="L441" s="4" t="str">
        <f>IFERROR(__xludf.DUMMYFUNCTION("GOOGLETRANSLATE(B441,""en"",""es"")"),"Para disfrutar de su experiencia de viaje, por favor, envíenos el siguiente permiso.")</f>
        <v>Para disfrutar de su experiencia de viaje, por favor, envíenos el siguiente permiso.</v>
      </c>
      <c r="M441" s="4" t="str">
        <f>IFERROR(__xludf.DUMMYFUNCTION("GOOGLETRANSLATE(B441,""en"",""iw"")"),"כדי ליהנות מחוויית הנסיעה שלך בבקשה, לנו את ההרשאה הבאה")</f>
        <v>כדי ליהנות מחוויית הנסיעה שלך בבקשה, לנו את ההרשאה הבאה</v>
      </c>
      <c r="N441" s="4" t="str">
        <f>IFERROR(__xludf.DUMMYFUNCTION("GOOGLETRANSLATE(B441,""en"",""bn"")"),"আপনার রাইড অভিজ্ঞতা উপভোগ করতে, আমাদের নিম্নলিখিত অনুমতি দয়া করে")</f>
        <v>আপনার রাইড অভিজ্ঞতা উপভোগ করতে, আমাদের নিম্নলিখিত অনুমতি দয়া করে</v>
      </c>
      <c r="O441" s="4" t="str">
        <f>IFERROR(__xludf.DUMMYFUNCTION("GOOGLETRANSLATE(B441,""en"",""pt"")"),"Para aproveitar sua experiência de passeio, por favor, forneça a seguinte permissão")</f>
        <v>Para aproveitar sua experiência de passeio, por favor, forneça a seguinte permissão</v>
      </c>
      <c r="P441" s="4"/>
    </row>
    <row r="442">
      <c r="A442" s="51" t="s">
        <v>1102</v>
      </c>
      <c r="B442" s="50" t="s">
        <v>1103</v>
      </c>
      <c r="C442" s="4" t="str">
        <f>IFERROR(__xludf.DUMMYFUNCTION("GOOGLETRANSLATE(B442,""en"",""hi"")"),"सहेजे गए स्थान")</f>
        <v>सहेजे गए स्थान</v>
      </c>
      <c r="D442" s="4" t="str">
        <f>IFERROR(__xludf.DUMMYFUNCTION("GOOGLETRANSLATE(B442,""en"",""ar"")"),"الأماكن المحفوظة")</f>
        <v>الأماكن المحفوظة</v>
      </c>
      <c r="E442" s="4" t="str">
        <f>IFERROR(__xludf.DUMMYFUNCTION("GOOGLETRANSLATE(B442,""en"",""fr"")"),"Lieux enregistrés")</f>
        <v>Lieux enregistrés</v>
      </c>
      <c r="F442" s="4" t="str">
        <f>IFERROR(__xludf.DUMMYFUNCTION("GOOGLETRANSLATE(B442,""en"",""tr"")"),"Kayıtlı Yerler")</f>
        <v>Kayıtlı Yerler</v>
      </c>
      <c r="G442" s="4" t="str">
        <f>IFERROR(__xludf.DUMMYFUNCTION("GOOGLETRANSLATE(B442,""en"",""ru"")"),"Сохраненные места")</f>
        <v>Сохраненные места</v>
      </c>
      <c r="H442" s="4" t="str">
        <f>IFERROR(__xludf.DUMMYFUNCTION("GOOGLETRANSLATE(B442,""en"",""it"")"),"Luoghi salvati")</f>
        <v>Luoghi salvati</v>
      </c>
      <c r="I442" s="4" t="str">
        <f>IFERROR(__xludf.DUMMYFUNCTION("GOOGLETRANSLATE(B442,""en"",""de"")"),"Gespeicherte Orte")</f>
        <v>Gespeicherte Orte</v>
      </c>
      <c r="J442" s="4" t="str">
        <f>IFERROR(__xludf.DUMMYFUNCTION("GOOGLETRANSLATE(B442,""en"",""ko"")"),"저장된 장소")</f>
        <v>저장된 장소</v>
      </c>
      <c r="K442" s="4" t="str">
        <f>IFERROR(__xludf.DUMMYFUNCTION("GOOGLETRANSLATE(B442,""en"",""zh"")"),"已保存的地点")</f>
        <v>已保存的地点</v>
      </c>
      <c r="L442" s="4" t="str">
        <f>IFERROR(__xludf.DUMMYFUNCTION("GOOGLETRANSLATE(B442,""en"",""es"")"),"Lugares guardados")</f>
        <v>Lugares guardados</v>
      </c>
      <c r="M442" s="4" t="str">
        <f>IFERROR(__xludf.DUMMYFUNCTION("GOOGLETRANSLATE(B442,""en"",""iw"")"),"מקומות שמורים")</f>
        <v>מקומות שמורים</v>
      </c>
      <c r="N442" s="4" t="str">
        <f>IFERROR(__xludf.DUMMYFUNCTION("GOOGLETRANSLATE(B442,""en"",""bn"")"),"সংরক্ষিত স্থান")</f>
        <v>সংরক্ষিত স্থান</v>
      </c>
      <c r="O442" s="4" t="str">
        <f>IFERROR(__xludf.DUMMYFUNCTION("GOOGLETRANSLATE(B442,""en"",""pt"")"),"Locais salvos")</f>
        <v>Locais salvos</v>
      </c>
      <c r="P442" s="4"/>
    </row>
    <row r="443">
      <c r="A443" s="51" t="s">
        <v>1104</v>
      </c>
      <c r="B443" s="50" t="s">
        <v>1105</v>
      </c>
      <c r="C443" s="4" t="str">
        <f>IFERROR(__xludf.DUMMYFUNCTION("GOOGLETRANSLATE(B443,""en"",""hi"")"),"ड्राइवर की तलाश की जा रही है")</f>
        <v>ड्राइवर की तलाश की जा रही है</v>
      </c>
      <c r="D443" s="4" t="str">
        <f>IFERROR(__xludf.DUMMYFUNCTION("GOOGLETRANSLATE(B443,""en"",""ar"")"),"البحث عن سائق")</f>
        <v>البحث عن سائق</v>
      </c>
      <c r="E443" s="4" t="str">
        <f>IFERROR(__xludf.DUMMYFUNCTION("GOOGLETRANSLATE(B443,""en"",""fr"")"),"Recherche de pilote")</f>
        <v>Recherche de pilote</v>
      </c>
      <c r="F443" s="4" t="str">
        <f>IFERROR(__xludf.DUMMYFUNCTION("GOOGLETRANSLATE(B443,""en"",""tr"")"),"Sürücü Aranıyor")</f>
        <v>Sürücü Aranıyor</v>
      </c>
      <c r="G443" s="4" t="str">
        <f>IFERROR(__xludf.DUMMYFUNCTION("GOOGLETRANSLATE(B443,""en"",""ru"")"),"Поиск драйвера")</f>
        <v>Поиск драйвера</v>
      </c>
      <c r="H443" s="4" t="str">
        <f>IFERROR(__xludf.DUMMYFUNCTION("GOOGLETRANSLATE(B443,""en"",""it"")"),"Alla ricerca dell'autista")</f>
        <v>Alla ricerca dell'autista</v>
      </c>
      <c r="I443" s="4" t="str">
        <f>IFERROR(__xludf.DUMMYFUNCTION("GOOGLETRANSLATE(B443,""en"",""de"")"),"Suche nach Treiber")</f>
        <v>Suche nach Treiber</v>
      </c>
      <c r="J443" s="4" t="str">
        <f>IFERROR(__xludf.DUMMYFUNCTION("GOOGLETRANSLATE(B443,""en"",""ko"")"),"드라이버 검색 중")</f>
        <v>드라이버 검색 중</v>
      </c>
      <c r="K443" s="4" t="str">
        <f>IFERROR(__xludf.DUMMYFUNCTION("GOOGLETRANSLATE(B443,""en"",""zh"")"),"寻找司机")</f>
        <v>寻找司机</v>
      </c>
      <c r="L443" s="4" t="str">
        <f>IFERROR(__xludf.DUMMYFUNCTION("GOOGLETRANSLATE(B443,""en"",""es"")"),"Buscando conductor")</f>
        <v>Buscando conductor</v>
      </c>
      <c r="M443" s="4" t="str">
        <f>IFERROR(__xludf.DUMMYFUNCTION("GOOGLETRANSLATE(B443,""en"",""iw"")"),"מחפש נהג")</f>
        <v>מחפש נהג</v>
      </c>
      <c r="N443" s="4" t="str">
        <f>IFERROR(__xludf.DUMMYFUNCTION("GOOGLETRANSLATE(B443,""en"",""bn"")"),"ড্রাইভার জন্য অনুসন্ধান")</f>
        <v>ড্রাইভার জন্য অনুসন্ধান</v>
      </c>
      <c r="O443" s="4" t="str">
        <f>IFERROR(__xludf.DUMMYFUNCTION("GOOGLETRANSLATE(B443,""en"",""pt"")"),"Procurando por motorista")</f>
        <v>Procurando por motorista</v>
      </c>
      <c r="P443" s="4"/>
    </row>
    <row r="444">
      <c r="A444" s="51" t="s">
        <v>1106</v>
      </c>
      <c r="B444" s="50" t="s">
        <v>1107</v>
      </c>
      <c r="C444" s="4" t="str">
        <f>IFERROR(__xludf.DUMMYFUNCTION("GOOGLETRANSLATE(B444,""en"",""hi"")"),"रास्ते में")</f>
        <v>रास्ते में</v>
      </c>
      <c r="D444" s="4" t="str">
        <f>IFERROR(__xludf.DUMMYFUNCTION("GOOGLETRANSLATE(B444,""en"",""ar"")"),"علي الطريق")</f>
        <v>علي الطريق</v>
      </c>
      <c r="E444" s="4" t="str">
        <f>IFERROR(__xludf.DUMMYFUNCTION("GOOGLETRANSLATE(B444,""en"",""fr"")"),"En chemin")</f>
        <v>En chemin</v>
      </c>
      <c r="F444" s="4" t="str">
        <f>IFERROR(__xludf.DUMMYFUNCTION("GOOGLETRANSLATE(B444,""en"",""tr"")"),"Yolda")</f>
        <v>Yolda</v>
      </c>
      <c r="G444" s="4" t="str">
        <f>IFERROR(__xludf.DUMMYFUNCTION("GOOGLETRANSLATE(B444,""en"",""ru"")"),"В пути")</f>
        <v>В пути</v>
      </c>
      <c r="H444" s="4" t="str">
        <f>IFERROR(__xludf.DUMMYFUNCTION("GOOGLETRANSLATE(B444,""en"",""it"")"),"Sulla strada")</f>
        <v>Sulla strada</v>
      </c>
      <c r="I444" s="4" t="str">
        <f>IFERROR(__xludf.DUMMYFUNCTION("GOOGLETRANSLATE(B444,""en"",""de"")"),"Auf dem Weg")</f>
        <v>Auf dem Weg</v>
      </c>
      <c r="J444" s="4" t="str">
        <f>IFERROR(__xludf.DUMMYFUNCTION("GOOGLETRANSLATE(B444,""en"",""ko"")"),"도중에")</f>
        <v>도중에</v>
      </c>
      <c r="K444" s="4" t="str">
        <f>IFERROR(__xludf.DUMMYFUNCTION("GOOGLETRANSLATE(B444,""en"",""zh"")"),"在途中")</f>
        <v>在途中</v>
      </c>
      <c r="L444" s="4" t="str">
        <f>IFERROR(__xludf.DUMMYFUNCTION("GOOGLETRANSLATE(B444,""en"",""es"")"),"En camino")</f>
        <v>En camino</v>
      </c>
      <c r="M444" s="4" t="str">
        <f>IFERROR(__xludf.DUMMYFUNCTION("GOOGLETRANSLATE(B444,""en"",""iw"")"),"בדרך")</f>
        <v>בדרך</v>
      </c>
      <c r="N444" s="4" t="str">
        <f>IFERROR(__xludf.DUMMYFUNCTION("GOOGLETRANSLATE(B444,""en"",""bn"")"),"পথে")</f>
        <v>পথে</v>
      </c>
      <c r="O444" s="4" t="str">
        <f>IFERROR(__xludf.DUMMYFUNCTION("GOOGLETRANSLATE(B444,""en"",""pt"")"),"A caminho")</f>
        <v>A caminho</v>
      </c>
      <c r="P444" s="4"/>
    </row>
    <row r="445">
      <c r="A445" s="51" t="s">
        <v>1108</v>
      </c>
      <c r="B445" s="50" t="s">
        <v>1109</v>
      </c>
      <c r="C445" s="4" t="str">
        <f>IFERROR(__xludf.DUMMYFUNCTION("GOOGLETRANSLATE(B445,""en"",""hi"")"),"सवारी पर")</f>
        <v>सवारी पर</v>
      </c>
      <c r="D445" s="4" t="str">
        <f>IFERROR(__xludf.DUMMYFUNCTION("GOOGLETRANSLATE(B445,""en"",""ar"")"),"على الطريق")</f>
        <v>على الطريق</v>
      </c>
      <c r="E445" s="4" t="str">
        <f>IFERROR(__xludf.DUMMYFUNCTION("GOOGLETRANSLATE(B445,""en"",""fr"")"),"En balade")</f>
        <v>En balade</v>
      </c>
      <c r="F445" s="4" t="str">
        <f>IFERROR(__xludf.DUMMYFUNCTION("GOOGLETRANSLATE(B445,""en"",""tr"")"),"Yolculukta")</f>
        <v>Yolculukta</v>
      </c>
      <c r="G445" s="4" t="str">
        <f>IFERROR(__xludf.DUMMYFUNCTION("GOOGLETRANSLATE(B445,""en"",""ru"")"),"В поездке")</f>
        <v>В поездке</v>
      </c>
      <c r="H445" s="4" t="str">
        <f>IFERROR(__xludf.DUMMYFUNCTION("GOOGLETRANSLATE(B445,""en"",""it"")"),"In giro")</f>
        <v>In giro</v>
      </c>
      <c r="I445" s="4" t="str">
        <f>IFERROR(__xludf.DUMMYFUNCTION("GOOGLETRANSLATE(B445,""en"",""de"")"),"Auf Fahrt")</f>
        <v>Auf Fahrt</v>
      </c>
      <c r="J445" s="4" t="str">
        <f>IFERROR(__xludf.DUMMYFUNCTION("GOOGLETRANSLATE(B445,""en"",""ko"")"),"탑승 중")</f>
        <v>탑승 중</v>
      </c>
      <c r="K445" s="4" t="str">
        <f>IFERROR(__xludf.DUMMYFUNCTION("GOOGLETRANSLATE(B445,""en"",""zh"")"),"骑行中")</f>
        <v>骑行中</v>
      </c>
      <c r="L445" s="4" t="str">
        <f>IFERROR(__xludf.DUMMYFUNCTION("GOOGLETRANSLATE(B445,""en"",""es"")"),"En viaje")</f>
        <v>En viaje</v>
      </c>
      <c r="M445" s="4" t="str">
        <f>IFERROR(__xludf.DUMMYFUNCTION("GOOGLETRANSLATE(B445,""en"",""iw"")"),"בנסיעה")</f>
        <v>בנסיעה</v>
      </c>
      <c r="N445" s="4" t="str">
        <f>IFERROR(__xludf.DUMMYFUNCTION("GOOGLETRANSLATE(B445,""en"",""bn"")"),"অন ​​রাইড")</f>
        <v>অন ​​রাইড</v>
      </c>
      <c r="O445" s="4" t="str">
        <f>IFERROR(__xludf.DUMMYFUNCTION("GOOGLETRANSLATE(B445,""en"",""pt"")"),"No passeio")</f>
        <v>No passeio</v>
      </c>
      <c r="P445" s="4"/>
    </row>
    <row r="446">
      <c r="A446" s="51" t="s">
        <v>1110</v>
      </c>
      <c r="B446" s="50" t="s">
        <v>1111</v>
      </c>
      <c r="C446" s="4" t="str">
        <f>IFERROR(__xludf.DUMMYFUNCTION("GOOGLETRANSLATE(B446,""en"",""hi"")"),"ग्राहक का इंतज़ार कर रहा हूँ")</f>
        <v>ग्राहक का इंतज़ार कर रहा हूँ</v>
      </c>
      <c r="D446" s="4" t="str">
        <f>IFERROR(__xludf.DUMMYFUNCTION("GOOGLETRANSLATE(B446,""en"",""ar"")"),"انتظار العملاء")</f>
        <v>انتظار العملاء</v>
      </c>
      <c r="E446" s="4" t="str">
        <f>IFERROR(__xludf.DUMMYFUNCTION("GOOGLETRANSLATE(B446,""en"",""fr"")"),"En attente du client")</f>
        <v>En attente du client</v>
      </c>
      <c r="F446" s="4" t="str">
        <f>IFERROR(__xludf.DUMMYFUNCTION("GOOGLETRANSLATE(B446,""en"",""tr"")"),"Müşteri için bekliyor")</f>
        <v>Müşteri için bekliyor</v>
      </c>
      <c r="G446" s="4" t="str">
        <f>IFERROR(__xludf.DUMMYFUNCTION("GOOGLETRANSLATE(B446,""en"",""ru"")"),"Ожидание клиента")</f>
        <v>Ожидание клиента</v>
      </c>
      <c r="H446" s="4" t="str">
        <f>IFERROR(__xludf.DUMMYFUNCTION("GOOGLETRANSLATE(B446,""en"",""it"")"),"In attesa del cliente")</f>
        <v>In attesa del cliente</v>
      </c>
      <c r="I446" s="4" t="str">
        <f>IFERROR(__xludf.DUMMYFUNCTION("GOOGLETRANSLATE(B446,""en"",""de"")"),"Auf Kunden warten")</f>
        <v>Auf Kunden warten</v>
      </c>
      <c r="J446" s="4" t="str">
        <f>IFERROR(__xludf.DUMMYFUNCTION("GOOGLETRANSLATE(B446,""en"",""ko"")"),"고객을 기다리는 중")</f>
        <v>고객을 기다리는 중</v>
      </c>
      <c r="K446" s="4" t="str">
        <f>IFERROR(__xludf.DUMMYFUNCTION("GOOGLETRANSLATE(B446,""en"",""zh"")"),"等待顾客")</f>
        <v>等待顾客</v>
      </c>
      <c r="L446" s="4" t="str">
        <f>IFERROR(__xludf.DUMMYFUNCTION("GOOGLETRANSLATE(B446,""en"",""es"")"),"Esperando a un cliente")</f>
        <v>Esperando a un cliente</v>
      </c>
      <c r="M446" s="4" t="str">
        <f>IFERROR(__xludf.DUMMYFUNCTION("GOOGLETRANSLATE(B446,""en"",""iw"")"),"מחכה ללקוח")</f>
        <v>מחכה ללקוח</v>
      </c>
      <c r="N446" s="4" t="str">
        <f>IFERROR(__xludf.DUMMYFUNCTION("GOOGLETRANSLATE(B446,""en"",""bn"")"),"গ্রাহকের জন্য অপেক্ষা করছে")</f>
        <v>গ্রাহকের জন্য অপেক্ষা করছে</v>
      </c>
      <c r="O446" s="4" t="str">
        <f>IFERROR(__xludf.DUMMYFUNCTION("GOOGLETRANSLATE(B446,""en"",""pt"")"),"Esperando pelo cliente")</f>
        <v>Esperando pelo cliente</v>
      </c>
      <c r="P446" s="4"/>
    </row>
    <row r="447">
      <c r="A447" s="53" t="s">
        <v>1112</v>
      </c>
      <c r="B447" s="40" t="s">
        <v>1113</v>
      </c>
      <c r="C447" s="4" t="str">
        <f>IFERROR(__xludf.DUMMYFUNCTION("GOOGLETRANSLATE(B447,""en"",""hi"")"),"समर्थन से संपर्क करें")</f>
        <v>समर्थन से संपर्क करें</v>
      </c>
      <c r="D447" s="4" t="str">
        <f>IFERROR(__xludf.DUMMYFUNCTION("GOOGLETRANSLATE(B447,""en"",""ar"")"),"اتصل بالدعم")</f>
        <v>اتصل بالدعم</v>
      </c>
      <c r="E447" s="4" t="str">
        <f>IFERROR(__xludf.DUMMYFUNCTION("GOOGLETRANSLATE(B447,""en"",""fr"")"),"Contactez le support")</f>
        <v>Contactez le support</v>
      </c>
      <c r="F447" s="4" t="str">
        <f>IFERROR(__xludf.DUMMYFUNCTION("GOOGLETRANSLATE(B447,""en"",""tr"")"),"İletişim desteği")</f>
        <v>İletişim desteği</v>
      </c>
      <c r="G447" s="4" t="str">
        <f>IFERROR(__xludf.DUMMYFUNCTION("GOOGLETRANSLATE(B447,""en"",""ru"")"),"Контактная поддержка")</f>
        <v>Контактная поддержка</v>
      </c>
      <c r="H447" s="4" t="str">
        <f>IFERROR(__xludf.DUMMYFUNCTION("GOOGLETRANSLATE(B447,""en"",""it"")"),"Contatta il supporto")</f>
        <v>Contatta il supporto</v>
      </c>
      <c r="I447" s="4" t="str">
        <f>IFERROR(__xludf.DUMMYFUNCTION("GOOGLETRANSLATE(B447,""en"",""de"")"),"Kontaktieren Sie Support")</f>
        <v>Kontaktieren Sie Support</v>
      </c>
      <c r="J447" s="4" t="str">
        <f>IFERROR(__xludf.DUMMYFUNCTION("GOOGLETRANSLATE(B447,""en"",""ko"")"),"연락처 지원")</f>
        <v>연락처 지원</v>
      </c>
      <c r="K447" s="4" t="str">
        <f>IFERROR(__xludf.DUMMYFUNCTION("GOOGLETRANSLATE(B447,""en"",""zh"")"),"联系支持人员")</f>
        <v>联系支持人员</v>
      </c>
      <c r="L447" s="4" t="str">
        <f>IFERROR(__xludf.DUMMYFUNCTION("GOOGLETRANSLATE(B447,""en"",""es"")"),"Soporte de contacto")</f>
        <v>Soporte de contacto</v>
      </c>
      <c r="M447" s="4" t="str">
        <f>IFERROR(__xludf.DUMMYFUNCTION("GOOGLETRANSLATE(B447,""en"",""iw"")"),"צור קשר עם תמיכה")</f>
        <v>צור קשר עם תמיכה</v>
      </c>
      <c r="N447" s="4" t="str">
        <f>IFERROR(__xludf.DUMMYFUNCTION("GOOGLETRANSLATE(B447,""en"",""bn"")"),"যোগাযোগ সমর্থন")</f>
        <v>যোগাযোগ সমর্থন</v>
      </c>
      <c r="O447" s="4" t="str">
        <f>IFERROR(__xludf.DUMMYFUNCTION("GOOGLETRANSLATE(B447,""en"",""pt"")"),"Contate o suporte")</f>
        <v>Contate o suporte</v>
      </c>
      <c r="P447" s="4"/>
    </row>
    <row r="448">
      <c r="A448" s="53" t="s">
        <v>1114</v>
      </c>
      <c r="B448" s="40" t="s">
        <v>1115</v>
      </c>
      <c r="C448" s="4" t="str">
        <f>IFERROR(__xludf.DUMMYFUNCTION("GOOGLETRANSLATE(B448,""en"",""hi"")"),"नीचे ""मैं सहमत हूं"" का चयन करके, मैंने इसकी समीक्षा कर ली है और मैं इससे सहमत हूं")</f>
        <v>नीचे "मैं सहमत हूं" का चयन करके, मैंने इसकी समीक्षा कर ली है और मैं इससे सहमत हूं</v>
      </c>
      <c r="D448" s="4" t="str">
        <f>IFERROR(__xludf.DUMMYFUNCTION("GOOGLETRANSLATE(B448,""en"",""ar"")"),"باختيار ""أوافق"" أدناه، قمت بمراجعة وموافقة على")</f>
        <v>باختيار "أوافق" أدناه، قمت بمراجعة وموافقة على</v>
      </c>
      <c r="E448" s="4" t="str">
        <f>IFERROR(__xludf.DUMMYFUNCTION("GOOGLETRANSLATE(B448,""en"",""fr"")"),"En sélectionnant « J'accepte » ci-dessous, j'ai lu et j'accepte les")</f>
        <v>En sélectionnant « J'accepte » ci-dessous, j'ai lu et j'accepte les</v>
      </c>
      <c r="F448" s="4" t="str">
        <f>IFERROR(__xludf.DUMMYFUNCTION("GOOGLETRANSLATE(B448,""en"",""tr"")"),"Aşağıda ""Kabul Ediyorum""u seçerek şunları inceledim ve kabul ediyorum:")</f>
        <v>Aşağıda "Kabul Ediyorum"u seçerek şunları inceledim ve kabul ediyorum:</v>
      </c>
      <c r="G448" s="4" t="str">
        <f>IFERROR(__xludf.DUMMYFUNCTION("GOOGLETRANSLATE(B448,""en"",""ru"")"),"Выбрав «Я согласен» ниже, я ознакомился и согласен с")</f>
        <v>Выбрав «Я согласен» ниже, я ознакомился и согласен с</v>
      </c>
      <c r="H448" s="4" t="str">
        <f>IFERROR(__xludf.DUMMYFUNCTION("GOOGLETRANSLATE(B448,""en"",""it"")"),"Selezionando ""Accetto"" di seguito, ho letto e accetto i")</f>
        <v>Selezionando "Accetto" di seguito, ho letto e accetto i</v>
      </c>
      <c r="I448" s="4" t="str">
        <f>IFERROR(__xludf.DUMMYFUNCTION("GOOGLETRANSLATE(B448,""en"",""de"")"),"Indem ich unten „Ich stimme zu“ auswähle, habe ich die Seite überprüft und bin damit einverstanden")</f>
        <v>Indem ich unten „Ich stimme zu“ auswähle, habe ich die Seite überprüft und bin damit einverstanden</v>
      </c>
      <c r="J448" s="4" t="str">
        <f>IFERROR(__xludf.DUMMYFUNCTION("GOOGLETRANSLATE(B448,""en"",""ko"")"),"아래에서 ""동의함""을 선택하면 다음 내용을 검토하고 이에 동의합니다.")</f>
        <v>아래에서 "동의함"을 선택하면 다음 내용을 검토하고 이에 동의합니다.</v>
      </c>
      <c r="K448" s="4" t="str">
        <f>IFERROR(__xludf.DUMMYFUNCTION("GOOGLETRANSLATE(B448,""en"",""zh"")"),"通过选择下面的“我同意”，我已查看并同意")</f>
        <v>通过选择下面的“我同意”，我已查看并同意</v>
      </c>
      <c r="L448" s="4" t="str">
        <f>IFERROR(__xludf.DUMMYFUNCTION("GOOGLETRANSLATE(B448,""en"",""es"")"),"Al seleccionar ""Acepto"" a continuación, he revisado y acepto las")</f>
        <v>Al seleccionar "Acepto" a continuación, he revisado y acepto las</v>
      </c>
      <c r="M448" s="4" t="str">
        <f>IFERROR(__xludf.DUMMYFUNCTION("GOOGLETRANSLATE(B448,""en"",""iw"")"),"על ידי בחירה ב""אני מסכים"" למטה, בדקתי ומסכים ל")</f>
        <v>על ידי בחירה ב"אני מסכים" למטה, בדקתי ומסכים ל</v>
      </c>
      <c r="N448" s="4" t="str">
        <f>IFERROR(__xludf.DUMMYFUNCTION("GOOGLETRANSLATE(B448,""en"",""bn"")"),"নীচে ""আমি সম্মত"" নির্বাচন করে, আমি পর্যালোচনা করেছি এবং তাতে সম্মতি জানাচ্ছি৷")</f>
        <v>নীচে "আমি সম্মত" নির্বাচন করে, আমি পর্যালোচনা করেছি এবং তাতে সম্মতি জানাচ্ছি৷</v>
      </c>
      <c r="O448" s="4" t="str">
        <f>IFERROR(__xludf.DUMMYFUNCTION("GOOGLETRANSLATE(B448,""en"",""pt"")"),"Ao selecionar ""Concordo"" abaixo, revisei e concordo com os")</f>
        <v>Ao selecionar "Concordo" abaixo, revisei e concordo com os</v>
      </c>
      <c r="P448" s="4"/>
    </row>
    <row r="449">
      <c r="A449" s="53" t="s">
        <v>1116</v>
      </c>
      <c r="B449" s="3" t="s">
        <v>1117</v>
      </c>
      <c r="C449" s="4" t="str">
        <f>IFERROR(__xludf.DUMMYFUNCTION("GOOGLETRANSLATE(B449,""en"",""hi"")")," उपयोग की शर्तें ")</f>
        <v> उपयोग की शर्तें </v>
      </c>
      <c r="D449" s="4" t="str">
        <f>IFERROR(__xludf.DUMMYFUNCTION("GOOGLETRANSLATE(B449,""en"",""ar"")")," شروط الاستخدام ")</f>
        <v> شروط الاستخدام </v>
      </c>
      <c r="E449" s="4" t="str">
        <f>IFERROR(__xludf.DUMMYFUNCTION("GOOGLETRANSLATE(B449,""en"",""fr"")")," Conditions d'utilisation ")</f>
        <v> Conditions d'utilisation </v>
      </c>
      <c r="F449" s="4" t="str">
        <f>IFERROR(__xludf.DUMMYFUNCTION("GOOGLETRANSLATE(B449,""en"",""tr"")")," Kullanım Şartları ")</f>
        <v> Kullanım Şartları </v>
      </c>
      <c r="G449" s="4" t="str">
        <f>IFERROR(__xludf.DUMMYFUNCTION("GOOGLETRANSLATE(B449,""en"",""ru"")")," Условия эксплуатации ")</f>
        <v> Условия эксплуатации </v>
      </c>
      <c r="H449" s="4" t="str">
        <f>IFERROR(__xludf.DUMMYFUNCTION("GOOGLETRANSLATE(B449,""en"",""it"")")," Termini di utilizzo ")</f>
        <v> Termini di utilizzo </v>
      </c>
      <c r="I449" s="4" t="str">
        <f>IFERROR(__xludf.DUMMYFUNCTION("GOOGLETRANSLATE(B449,""en"",""de"")")," Nutzungsbedingungen ")</f>
        <v> Nutzungsbedingungen </v>
      </c>
      <c r="J449" s="4" t="str">
        <f>IFERROR(__xludf.DUMMYFUNCTION("GOOGLETRANSLATE(B449,""en"",""ko"")")," 이용약관 ")</f>
        <v> 이용약관 </v>
      </c>
      <c r="K449" s="4" t="str">
        <f>IFERROR(__xludf.DUMMYFUNCTION("GOOGLETRANSLATE(B449,""en"",""zh"")")," 使用条款 ")</f>
        <v> 使用条款 </v>
      </c>
      <c r="L449" s="4" t="str">
        <f>IFERROR(__xludf.DUMMYFUNCTION("GOOGLETRANSLATE(B449,""en"",""es"")")," Condiciones de uso ")</f>
        <v> Condiciones de uso </v>
      </c>
      <c r="M449" s="4" t="str">
        <f>IFERROR(__xludf.DUMMYFUNCTION("GOOGLETRANSLATE(B449,""en"",""iw"")")," תנאי שימוש ")</f>
        <v> תנאי שימוש </v>
      </c>
      <c r="N449" s="4" t="str">
        <f>IFERROR(__xludf.DUMMYFUNCTION("GOOGLETRANSLATE(B449,""en"",""bn"")")," ব্যবহারের শর্তাবলী ")</f>
        <v> ব্যবহারের শর্তাবলী </v>
      </c>
      <c r="O449" s="4" t="str">
        <f>IFERROR(__xludf.DUMMYFUNCTION("GOOGLETRANSLATE(B449,""en"",""pt"")")," Termos de uso ")</f>
        <v> Termos de uso </v>
      </c>
      <c r="P449" s="4"/>
    </row>
    <row r="450">
      <c r="A450" s="53" t="s">
        <v>1118</v>
      </c>
      <c r="B450" s="40" t="s">
        <v>1119</v>
      </c>
      <c r="C450" s="4" t="str">
        <f>IFERROR(__xludf.DUMMYFUNCTION("GOOGLETRANSLATE(B450,""en"",""hi"")")," और स्वीकार किया ")</f>
        <v> और स्वीकार किया </v>
      </c>
      <c r="D450" s="4" t="str">
        <f>IFERROR(__xludf.DUMMYFUNCTION("GOOGLETRANSLATE(B450,""en"",""ar"")")," واعترف ب ")</f>
        <v> واعترف ب </v>
      </c>
      <c r="E450" s="4" t="str">
        <f>IFERROR(__xludf.DUMMYFUNCTION("GOOGLETRANSLATE(B450,""en"",""fr"")")," et a reconnu le ")</f>
        <v> et a reconnu le </v>
      </c>
      <c r="F450" s="4" t="str">
        <f>IFERROR(__xludf.DUMMYFUNCTION("GOOGLETRANSLATE(B450,""en"",""tr"")")," ve kabul etti ")</f>
        <v> ve kabul etti </v>
      </c>
      <c r="G450" s="4" t="str">
        <f>IFERROR(__xludf.DUMMYFUNCTION("GOOGLETRANSLATE(B450,""en"",""ru"")")," и признал ")</f>
        <v> и признал </v>
      </c>
      <c r="H450" s="4" t="str">
        <f>IFERROR(__xludf.DUMMYFUNCTION("GOOGLETRANSLATE(B450,""en"",""it"")")," e ha riconosciuto il ")</f>
        <v> e ha riconosciuto il </v>
      </c>
      <c r="I450" s="4" t="str">
        <f>IFERROR(__xludf.DUMMYFUNCTION("GOOGLETRANSLATE(B450,""en"",""de"")")," und erkannte das an ")</f>
        <v> und erkannte das an </v>
      </c>
      <c r="J450" s="4" t="str">
        <f>IFERROR(__xludf.DUMMYFUNCTION("GOOGLETRANSLATE(B450,""en"",""ko"")")," 그리고 인정했다. ")</f>
        <v> 그리고 인정했다. </v>
      </c>
      <c r="K450" s="4" t="str">
        <f>IFERROR(__xludf.DUMMYFUNCTION("GOOGLETRANSLATE(B450,""en"",""zh"")")," 并承认 ")</f>
        <v> 并承认 </v>
      </c>
      <c r="L450" s="4" t="str">
        <f>IFERROR(__xludf.DUMMYFUNCTION("GOOGLETRANSLATE(B450,""en"",""es"")")," y reconoció la ")</f>
        <v> y reconoció la </v>
      </c>
      <c r="M450" s="4" t="str">
        <f>IFERROR(__xludf.DUMMYFUNCTION("GOOGLETRANSLATE(B450,""en"",""iw"")")," והכיר ב ")</f>
        <v> והכיר ב </v>
      </c>
      <c r="N450" s="4" t="str">
        <f>IFERROR(__xludf.DUMMYFUNCTION("GOOGLETRANSLATE(B450,""en"",""bn"")")," এবং স্বীকার ")</f>
        <v> এবং স্বীকার </v>
      </c>
      <c r="O450" s="4" t="str">
        <f>IFERROR(__xludf.DUMMYFUNCTION("GOOGLETRANSLATE(B450,""en"",""pt"")")," e reconheceu o ")</f>
        <v> e reconheceu o </v>
      </c>
      <c r="P450" s="4"/>
    </row>
    <row r="451">
      <c r="A451" s="53" t="s">
        <v>1120</v>
      </c>
      <c r="B451" s="40" t="s">
        <v>1121</v>
      </c>
      <c r="C451" s="4" t="str">
        <f>IFERROR(__xludf.DUMMYFUNCTION("GOOGLETRANSLATE(B451,""en"",""hi"")"),"आज आप क्या करेंगे?")</f>
        <v>आज आप क्या करेंगे?</v>
      </c>
      <c r="D451" s="4" t="str">
        <f>IFERROR(__xludf.DUMMYFUNCTION("GOOGLETRANSLATE(B451,""en"",""ar"")"),"ماذا ستفعل اليوم؟")</f>
        <v>ماذا ستفعل اليوم؟</v>
      </c>
      <c r="E451" s="4" t="str">
        <f>IFERROR(__xludf.DUMMYFUNCTION("GOOGLETRANSLATE(B451,""en"",""fr"")"),"Que feriez-vous aujourd'hui ?")</f>
        <v>Que feriez-vous aujourd'hui ?</v>
      </c>
      <c r="F451" s="4" t="str">
        <f>IFERROR(__xludf.DUMMYFUNCTION("GOOGLETRANSLATE(B451,""en"",""tr"")"),"Bugün ne yapmak isterdin?")</f>
        <v>Bugün ne yapmak isterdin?</v>
      </c>
      <c r="G451" s="4" t="str">
        <f>IFERROR(__xludf.DUMMYFUNCTION("GOOGLETRANSLATE(B451,""en"",""ru"")"),"Что бы ты сделал сегодня?")</f>
        <v>Что бы ты сделал сегодня?</v>
      </c>
      <c r="H451" s="4" t="str">
        <f>IFERROR(__xludf.DUMMYFUNCTION("GOOGLETRANSLATE(B451,""en"",""it"")"),"Cosa faresti oggi?")</f>
        <v>Cosa faresti oggi?</v>
      </c>
      <c r="I451" s="4" t="str">
        <f>IFERROR(__xludf.DUMMYFUNCTION("GOOGLETRANSLATE(B451,""en"",""de"")"),"Was würden Sie heute tun?")</f>
        <v>Was würden Sie heute tun?</v>
      </c>
      <c r="J451" s="4" t="str">
        <f>IFERROR(__xludf.DUMMYFUNCTION("GOOGLETRANSLATE(B451,""en"",""ko"")"),"오늘은 무엇을 하시겠습니까?")</f>
        <v>오늘은 무엇을 하시겠습니까?</v>
      </c>
      <c r="K451" s="4" t="str">
        <f>IFERROR(__xludf.DUMMYFUNCTION("GOOGLETRANSLATE(B451,""en"",""zh"")"),"今天你想做什么？")</f>
        <v>今天你想做什么？</v>
      </c>
      <c r="L451" s="4" t="str">
        <f>IFERROR(__xludf.DUMMYFUNCTION("GOOGLETRANSLATE(B451,""en"",""es"")"),"¿Qué harías hoy?")</f>
        <v>¿Qué harías hoy?</v>
      </c>
      <c r="M451" s="4" t="str">
        <f>IFERROR(__xludf.DUMMYFUNCTION("GOOGLETRANSLATE(B451,""en"",""iw"")"),"מה הייתם עושים היום?")</f>
        <v>מה הייתם עושים היום?</v>
      </c>
      <c r="N451" s="4" t="str">
        <f>IFERROR(__xludf.DUMMYFUNCTION("GOOGLETRANSLATE(B451,""en"",""bn"")"),"আপনি আজ কি করতে হবে?")</f>
        <v>আপনি আজ কি করতে হবে?</v>
      </c>
      <c r="O451" s="4" t="str">
        <f>IFERROR(__xludf.DUMMYFUNCTION("GOOGLETRANSLATE(B451,""en"",""pt"")"),"O que você faria hoje?")</f>
        <v>O que você faria hoje?</v>
      </c>
      <c r="P451" s="4"/>
    </row>
    <row r="452">
      <c r="A452" s="53" t="s">
        <v>1122</v>
      </c>
      <c r="B452" s="40" t="s">
        <v>1123</v>
      </c>
      <c r="C452" s="4" t="str">
        <f>IFERROR(__xludf.DUMMYFUNCTION("GOOGLETRANSLATE(B452,""en"",""hi"")"),"अभी सवारी करें")</f>
        <v>अभी सवारी करें</v>
      </c>
      <c r="D452" s="4" t="str">
        <f>IFERROR(__xludf.DUMMYFUNCTION("GOOGLETRANSLATE(B452,""en"",""ar"")"),"خذ جولة الآن")</f>
        <v>خذ جولة الآن</v>
      </c>
      <c r="E452" s="4" t="str">
        <f>IFERROR(__xludf.DUMMYFUNCTION("GOOGLETRANSLATE(B452,""en"",""fr"")"),"Faites un tour maintenant")</f>
        <v>Faites un tour maintenant</v>
      </c>
      <c r="F452" s="4" t="str">
        <f>IFERROR(__xludf.DUMMYFUNCTION("GOOGLETRANSLATE(B452,""en"",""tr"")"),"Şimdi Gezin")</f>
        <v>Şimdi Gezin</v>
      </c>
      <c r="G452" s="4" t="str">
        <f>IFERROR(__xludf.DUMMYFUNCTION("GOOGLETRANSLATE(B452,""en"",""ru"")"),"Прокатитесь сейчас")</f>
        <v>Прокатитесь сейчас</v>
      </c>
      <c r="H452" s="4" t="str">
        <f>IFERROR(__xludf.DUMMYFUNCTION("GOOGLETRANSLATE(B452,""en"",""it"")"),"Fai un giro adesso")</f>
        <v>Fai un giro adesso</v>
      </c>
      <c r="I452" s="4" t="str">
        <f>IFERROR(__xludf.DUMMYFUNCTION("GOOGLETRANSLATE(B452,""en"",""de"")"),"Machen Sie jetzt eine Fahrt")</f>
        <v>Machen Sie jetzt eine Fahrt</v>
      </c>
      <c r="J452" s="4" t="str">
        <f>IFERROR(__xludf.DUMMYFUNCTION("GOOGLETRANSLATE(B452,""en"",""ko"")"),"지금 타고")</f>
        <v>지금 타고</v>
      </c>
      <c r="K452" s="4" t="str">
        <f>IFERROR(__xludf.DUMMYFUNCTION("GOOGLETRANSLATE(B452,""en"",""zh"")"),"立即搭乘")</f>
        <v>立即搭乘</v>
      </c>
      <c r="L452" s="4" t="str">
        <f>IFERROR(__xludf.DUMMYFUNCTION("GOOGLETRANSLATE(B452,""en"",""es"")"),"Da un paseo ahora")</f>
        <v>Da un paseo ahora</v>
      </c>
      <c r="M452" s="4" t="str">
        <f>IFERROR(__xludf.DUMMYFUNCTION("GOOGLETRANSLATE(B452,""en"",""iw"")"),"קח טרמפ עכשיו")</f>
        <v>קח טרמפ עכשיו</v>
      </c>
      <c r="N452" s="4" t="str">
        <f>IFERROR(__xludf.DUMMYFUNCTION("GOOGLETRANSLATE(B452,""en"",""bn"")"),"এখন রাইড নিন")</f>
        <v>এখন রাইড নিন</v>
      </c>
      <c r="O452" s="4" t="str">
        <f>IFERROR(__xludf.DUMMYFUNCTION("GOOGLETRANSLATE(B452,""en"",""pt"")"),"Faça um passeio agora")</f>
        <v>Faça um passeio agora</v>
      </c>
      <c r="P452" s="4"/>
    </row>
    <row r="453">
      <c r="A453" s="54" t="s">
        <v>1124</v>
      </c>
      <c r="B453" s="55" t="s">
        <v>1125</v>
      </c>
      <c r="C453" s="4" t="str">
        <f>IFERROR(__xludf.DUMMYFUNCTION("GOOGLETRANSLATE(B453,""en"",""hi"")"),"बाद में सवारी के लिए तैयार हो जाएं")</f>
        <v>बाद में सवारी के लिए तैयार हो जाएं</v>
      </c>
      <c r="D453" s="4" t="str">
        <f>IFERROR(__xludf.DUMMYFUNCTION("GOOGLETRANSLATE(B453,""en"",""ar"")"),"استعد للركوب لاحقًا")</f>
        <v>استعد للركوب لاحقًا</v>
      </c>
      <c r="E453" s="4" t="str">
        <f>IFERROR(__xludf.DUMMYFUNCTION("GOOGLETRANSLATE(B453,""en"",""fr"")"),"Préparez-vous à rouler plus tard")</f>
        <v>Préparez-vous à rouler plus tard</v>
      </c>
      <c r="F453" s="4" t="str">
        <f>IFERROR(__xludf.DUMMYFUNCTION("GOOGLETRANSLATE(B453,""en"",""tr"")"),"Daha Sonra Sürüşe Hazır Olun")</f>
        <v>Daha Sonra Sürüşe Hazır Olun</v>
      </c>
      <c r="G453" s="4" t="str">
        <f>IFERROR(__xludf.DUMMYFUNCTION("GOOGLETRANSLATE(B453,""en"",""ru"")"),"Будьте готовы к поездке позже")</f>
        <v>Будьте готовы к поездке позже</v>
      </c>
      <c r="H453" s="4" t="str">
        <f>IFERROR(__xludf.DUMMYFUNCTION("GOOGLETRANSLATE(B453,""en"",""it"")"),"Preparati per il viaggio più tardi")</f>
        <v>Preparati per il viaggio più tardi</v>
      </c>
      <c r="I453" s="4" t="str">
        <f>IFERROR(__xludf.DUMMYFUNCTION("GOOGLETRANSLATE(B453,""en"",""de"")"),"Machen Sie sich später bereit für die Fahrt")</f>
        <v>Machen Sie sich später bereit für die Fahrt</v>
      </c>
      <c r="J453" s="4" t="str">
        <f>IFERROR(__xludf.DUMMYFUNCTION("GOOGLETRANSLATE(B453,""en"",""ko"")"),"나중에 탈 준비를 하세요")</f>
        <v>나중에 탈 준비를 하세요</v>
      </c>
      <c r="K453" s="4" t="str">
        <f>IFERROR(__xludf.DUMMYFUNCTION("GOOGLETRANSLATE(B453,""en"",""zh"")"),"稍后准备乘车")</f>
        <v>稍后准备乘车</v>
      </c>
      <c r="L453" s="4" t="str">
        <f>IFERROR(__xludf.DUMMYFUNCTION("GOOGLETRANSLATE(B453,""en"",""es"")"),"Prepárese para viajar más tarde")</f>
        <v>Prepárese para viajar más tarde</v>
      </c>
      <c r="M453" s="4" t="str">
        <f>IFERROR(__xludf.DUMMYFUNCTION("GOOGLETRANSLATE(B453,""en"",""iw"")"),"התכונן לנסיעה מאוחר יותר")</f>
        <v>התכונן לנסיעה מאוחר יותר</v>
      </c>
      <c r="N453" s="4" t="str">
        <f>IFERROR(__xludf.DUMMYFUNCTION("GOOGLETRANSLATE(B453,""en"",""bn"")"),"পরে রাইডের জন্য প্রস্তুত হন")</f>
        <v>পরে রাইডের জন্য প্রস্তুত হন</v>
      </c>
      <c r="O453" s="4" t="str">
        <f>IFERROR(__xludf.DUMMYFUNCTION("GOOGLETRANSLATE(B453,""en"",""pt"")"),"Prepare-se para passear mais tarde")</f>
        <v>Prepare-se para passear mais tarde</v>
      </c>
      <c r="P453" s="4"/>
    </row>
    <row r="454">
      <c r="A454" s="53" t="s">
        <v>1126</v>
      </c>
      <c r="B454" s="40" t="s">
        <v>1127</v>
      </c>
      <c r="C454" s="4" t="str">
        <f>IFERROR(__xludf.DUMMYFUNCTION("GOOGLETRANSLATE(B454,""en"",""hi"")"),"अब")</f>
        <v>अब</v>
      </c>
      <c r="D454" s="4" t="str">
        <f>IFERROR(__xludf.DUMMYFUNCTION("GOOGLETRANSLATE(B454,""en"",""ar"")"),"الآن")</f>
        <v>الآن</v>
      </c>
      <c r="E454" s="4" t="str">
        <f>IFERROR(__xludf.DUMMYFUNCTION("GOOGLETRANSLATE(B454,""en"",""fr"")"),"Maintenant")</f>
        <v>Maintenant</v>
      </c>
      <c r="F454" s="4" t="str">
        <f>IFERROR(__xludf.DUMMYFUNCTION("GOOGLETRANSLATE(B454,""en"",""tr"")"),"Şimdi")</f>
        <v>Şimdi</v>
      </c>
      <c r="G454" s="4" t="str">
        <f>IFERROR(__xludf.DUMMYFUNCTION("GOOGLETRANSLATE(B454,""en"",""ru"")"),"Сейчас")</f>
        <v>Сейчас</v>
      </c>
      <c r="H454" s="4" t="str">
        <f>IFERROR(__xludf.DUMMYFUNCTION("GOOGLETRANSLATE(B454,""en"",""it"")"),"Ora")</f>
        <v>Ora</v>
      </c>
      <c r="I454" s="4" t="str">
        <f>IFERROR(__xludf.DUMMYFUNCTION("GOOGLETRANSLATE(B454,""en"",""de"")"),"Jetzt")</f>
        <v>Jetzt</v>
      </c>
      <c r="J454" s="4" t="str">
        <f>IFERROR(__xludf.DUMMYFUNCTION("GOOGLETRANSLATE(B454,""en"",""ko"")"),"지금")</f>
        <v>지금</v>
      </c>
      <c r="K454" s="4" t="str">
        <f>IFERROR(__xludf.DUMMYFUNCTION("GOOGLETRANSLATE(B454,""en"",""zh"")"),"现在")</f>
        <v>现在</v>
      </c>
      <c r="L454" s="4" t="str">
        <f>IFERROR(__xludf.DUMMYFUNCTION("GOOGLETRANSLATE(B454,""en"",""es"")"),"Ahora")</f>
        <v>Ahora</v>
      </c>
      <c r="M454" s="4" t="str">
        <f>IFERROR(__xludf.DUMMYFUNCTION("GOOGLETRANSLATE(B454,""en"",""iw"")"),"עַכשָׁיו")</f>
        <v>עַכשָׁיו</v>
      </c>
      <c r="N454" s="4" t="str">
        <f>IFERROR(__xludf.DUMMYFUNCTION("GOOGLETRANSLATE(B454,""en"",""bn"")"),"এখন")</f>
        <v>এখন</v>
      </c>
      <c r="O454" s="4" t="str">
        <f>IFERROR(__xludf.DUMMYFUNCTION("GOOGLETRANSLATE(B454,""en"",""pt"")"),"Agora")</f>
        <v>Agora</v>
      </c>
      <c r="P454" s="4"/>
    </row>
    <row r="455">
      <c r="A455" s="53" t="s">
        <v>1128</v>
      </c>
      <c r="B455" s="40" t="s">
        <v>1129</v>
      </c>
      <c r="C455" s="4" t="str">
        <f>IFERROR(__xludf.DUMMYFUNCTION("GOOGLETRANSLATE(B455,""en"",""hi"")"),"बाद में")</f>
        <v>बाद में</v>
      </c>
      <c r="D455" s="4" t="str">
        <f>IFERROR(__xludf.DUMMYFUNCTION("GOOGLETRANSLATE(B455,""en"",""ar"")"),"لاحقاً")</f>
        <v>لاحقاً</v>
      </c>
      <c r="E455" s="4" t="str">
        <f>IFERROR(__xludf.DUMMYFUNCTION("GOOGLETRANSLATE(B455,""en"",""fr"")"),"Plus tard")</f>
        <v>Plus tard</v>
      </c>
      <c r="F455" s="4" t="str">
        <f>IFERROR(__xludf.DUMMYFUNCTION("GOOGLETRANSLATE(B455,""en"",""tr"")"),"Daha sonra")</f>
        <v>Daha sonra</v>
      </c>
      <c r="G455" s="4" t="str">
        <f>IFERROR(__xludf.DUMMYFUNCTION("GOOGLETRANSLATE(B455,""en"",""ru"")"),"Позже")</f>
        <v>Позже</v>
      </c>
      <c r="H455" s="4" t="str">
        <f>IFERROR(__xludf.DUMMYFUNCTION("GOOGLETRANSLATE(B455,""en"",""it"")"),"Dopo")</f>
        <v>Dopo</v>
      </c>
      <c r="I455" s="4" t="str">
        <f>IFERROR(__xludf.DUMMYFUNCTION("GOOGLETRANSLATE(B455,""en"",""de"")"),"Später")</f>
        <v>Später</v>
      </c>
      <c r="J455" s="4" t="str">
        <f>IFERROR(__xludf.DUMMYFUNCTION("GOOGLETRANSLATE(B455,""en"",""ko"")"),"나중에")</f>
        <v>나중에</v>
      </c>
      <c r="K455" s="4" t="str">
        <f>IFERROR(__xludf.DUMMYFUNCTION("GOOGLETRANSLATE(B455,""en"",""zh"")"),"之后")</f>
        <v>之后</v>
      </c>
      <c r="L455" s="4" t="str">
        <f>IFERROR(__xludf.DUMMYFUNCTION("GOOGLETRANSLATE(B455,""en"",""es"")"),"Más tarde")</f>
        <v>Más tarde</v>
      </c>
      <c r="M455" s="4" t="str">
        <f>IFERROR(__xludf.DUMMYFUNCTION("GOOGLETRANSLATE(B455,""en"",""iw"")"),"יותר מאוחר")</f>
        <v>יותר מאוחר</v>
      </c>
      <c r="N455" s="4" t="str">
        <f>IFERROR(__xludf.DUMMYFUNCTION("GOOGLETRANSLATE(B455,""en"",""bn"")"),"পরে")</f>
        <v>পরে</v>
      </c>
      <c r="O455" s="4" t="str">
        <f>IFERROR(__xludf.DUMMYFUNCTION("GOOGLETRANSLATE(B455,""en"",""pt"")"),"Mais tarde")</f>
        <v>Mais tarde</v>
      </c>
      <c r="P455" s="4"/>
    </row>
    <row r="456">
      <c r="A456" s="53" t="s">
        <v>1130</v>
      </c>
      <c r="B456" s="56" t="s">
        <v>1131</v>
      </c>
      <c r="C456" s="4" t="str">
        <f>IFERROR(__xludf.DUMMYFUNCTION("GOOGLETRANSLATE(B456,""en"",""hi"")"),"दरवाजे से दरवाजे तक")</f>
        <v>दरवाजे से दरवाजे तक</v>
      </c>
      <c r="D456" s="4" t="str">
        <f>IFERROR(__xludf.DUMMYFUNCTION("GOOGLETRANSLATE(B456,""en"",""ar"")"),"من الباب إلى الباب")</f>
        <v>من الباب إلى الباب</v>
      </c>
      <c r="E456" s="4" t="str">
        <f>IFERROR(__xludf.DUMMYFUNCTION("GOOGLETRANSLATE(B456,""en"",""fr"")"),"Porte à porte")</f>
        <v>Porte à porte</v>
      </c>
      <c r="F456" s="4" t="str">
        <f>IFERROR(__xludf.DUMMYFUNCTION("GOOGLETRANSLATE(B456,""en"",""tr"")"),"Kapı kapıya")</f>
        <v>Kapı kapıya</v>
      </c>
      <c r="G456" s="4" t="str">
        <f>IFERROR(__xludf.DUMMYFUNCTION("GOOGLETRANSLATE(B456,""en"",""ru"")"),"От двери до двери")</f>
        <v>От двери до двери</v>
      </c>
      <c r="H456" s="4" t="str">
        <f>IFERROR(__xludf.DUMMYFUNCTION("GOOGLETRANSLATE(B456,""en"",""it"")"),"Porta a porta")</f>
        <v>Porta a porta</v>
      </c>
      <c r="I456" s="4" t="str">
        <f>IFERROR(__xludf.DUMMYFUNCTION("GOOGLETRANSLATE(B456,""en"",""de"")"),"Tür zu Tür")</f>
        <v>Tür zu Tür</v>
      </c>
      <c r="J456" s="4" t="str">
        <f>IFERROR(__xludf.DUMMYFUNCTION("GOOGLETRANSLATE(B456,""en"",""ko"")"),"방문 방문")</f>
        <v>방문 방문</v>
      </c>
      <c r="K456" s="4" t="str">
        <f>IFERROR(__xludf.DUMMYFUNCTION("GOOGLETRANSLATE(B456,""en"",""zh"")"),"门到门")</f>
        <v>门到门</v>
      </c>
      <c r="L456" s="4" t="str">
        <f>IFERROR(__xludf.DUMMYFUNCTION("GOOGLETRANSLATE(B456,""en"",""es"")"),"Puerta a puerta")</f>
        <v>Puerta a puerta</v>
      </c>
      <c r="M456" s="4" t="str">
        <f>IFERROR(__xludf.DUMMYFUNCTION("GOOGLETRANSLATE(B456,""en"",""iw"")"),"מדלת לדלת")</f>
        <v>מדלת לדלת</v>
      </c>
      <c r="N456" s="4" t="str">
        <f>IFERROR(__xludf.DUMMYFUNCTION("GOOGLETRANSLATE(B456,""en"",""bn"")"),"দ্বারে দ্বারে")</f>
        <v>দ্বারে দ্বারে</v>
      </c>
      <c r="O456" s="4" t="str">
        <f>IFERROR(__xludf.DUMMYFUNCTION("GOOGLETRANSLATE(B456,""en"",""pt"")"),"De porta em porta")</f>
        <v>De porta em porta</v>
      </c>
      <c r="P456" s="4"/>
    </row>
    <row r="457">
      <c r="A457" s="53" t="s">
        <v>1132</v>
      </c>
      <c r="B457" s="56" t="s">
        <v>1133</v>
      </c>
      <c r="C457" s="4" t="str">
        <f>IFERROR(__xludf.DUMMYFUNCTION("GOOGLETRANSLATE(B457,""en"",""hi"")"),"सुविधा, सुरक्षा,")</f>
        <v>सुविधा, सुरक्षा,</v>
      </c>
      <c r="D457" s="4" t="str">
        <f>IFERROR(__xludf.DUMMYFUNCTION("GOOGLETRANSLATE(B457,""en"",""ar"")"),"الراحة والسلامة،")</f>
        <v>الراحة والسلامة،</v>
      </c>
      <c r="E457" s="4" t="str">
        <f>IFERROR(__xludf.DUMMYFUNCTION("GOOGLETRANSLATE(B457,""en"",""fr"")"),"Commodité, sécurité,")</f>
        <v>Commodité, sécurité,</v>
      </c>
      <c r="F457" s="4" t="str">
        <f>IFERROR(__xludf.DUMMYFUNCTION("GOOGLETRANSLATE(B457,""en"",""tr"")"),"Kolaylık, Güvenlik,")</f>
        <v>Kolaylık, Güvenlik,</v>
      </c>
      <c r="G457" s="4" t="str">
        <f>IFERROR(__xludf.DUMMYFUNCTION("GOOGLETRANSLATE(B457,""en"",""ru"")"),"Удобство, Безопасность,")</f>
        <v>Удобство, Безопасность,</v>
      </c>
      <c r="H457" s="4" t="str">
        <f>IFERROR(__xludf.DUMMYFUNCTION("GOOGLETRANSLATE(B457,""en"",""it"")"),"Convenienza, Sicurezza,")</f>
        <v>Convenienza, Sicurezza,</v>
      </c>
      <c r="I457" s="4" t="str">
        <f>IFERROR(__xludf.DUMMYFUNCTION("GOOGLETRANSLATE(B457,""en"",""de"")"),"Komfort, Sicherheit,")</f>
        <v>Komfort, Sicherheit,</v>
      </c>
      <c r="J457" s="4" t="str">
        <f>IFERROR(__xludf.DUMMYFUNCTION("GOOGLETRANSLATE(B457,""en"",""ko"")"),"편의성, 안전성,")</f>
        <v>편의성, 안전성,</v>
      </c>
      <c r="K457" s="4" t="str">
        <f>IFERROR(__xludf.DUMMYFUNCTION("GOOGLETRANSLATE(B457,""en"",""zh"")"),"方便、安全、")</f>
        <v>方便、安全、</v>
      </c>
      <c r="L457" s="4" t="str">
        <f>IFERROR(__xludf.DUMMYFUNCTION("GOOGLETRANSLATE(B457,""en"",""es"")"),"Comodidad, seguridad,")</f>
        <v>Comodidad, seguridad,</v>
      </c>
      <c r="M457" s="4" t="str">
        <f>IFERROR(__xludf.DUMMYFUNCTION("GOOGLETRANSLATE(B457,""en"",""iw"")"),"נוחות, בטיחות,")</f>
        <v>נוחות, בטיחות,</v>
      </c>
      <c r="N457" s="4" t="str">
        <f>IFERROR(__xludf.DUMMYFUNCTION("GOOGLETRANSLATE(B457,""en"",""bn"")"),"সুবিধা, নিরাপত্তা,")</f>
        <v>সুবিধা, নিরাপত্তা,</v>
      </c>
      <c r="O457" s="4" t="str">
        <f>IFERROR(__xludf.DUMMYFUNCTION("GOOGLETRANSLATE(B457,""en"",""pt"")"),"Conveniência, Segurança,")</f>
        <v>Conveniência, Segurança,</v>
      </c>
      <c r="P457" s="4"/>
    </row>
    <row r="458">
      <c r="A458" s="53" t="s">
        <v>1134</v>
      </c>
      <c r="B458" s="56" t="s">
        <v>1135</v>
      </c>
      <c r="C458" s="4" t="str">
        <f>IFERROR(__xludf.DUMMYFUNCTION("GOOGLETRANSLATE(B458,""en"",""hi"")"),"और विश्वसनीय गुणवत्ता,")</f>
        <v>और विश्वसनीय गुणवत्ता,</v>
      </c>
      <c r="D458" s="4" t="str">
        <f>IFERROR(__xludf.DUMMYFUNCTION("GOOGLETRANSLATE(B458,""en"",""ar"")"),"وجودة موثوقة،")</f>
        <v>وجودة موثوقة،</v>
      </c>
      <c r="E458" s="4" t="str">
        <f>IFERROR(__xludf.DUMMYFUNCTION("GOOGLETRANSLATE(B458,""en"",""fr"")"),"et une qualité fiable,")</f>
        <v>et une qualité fiable,</v>
      </c>
      <c r="F458" s="4" t="str">
        <f>IFERROR(__xludf.DUMMYFUNCTION("GOOGLETRANSLATE(B458,""en"",""tr"")"),"ve Güvenilir Kalite,")</f>
        <v>ve Güvenilir Kalite,</v>
      </c>
      <c r="G458" s="4" t="str">
        <f>IFERROR(__xludf.DUMMYFUNCTION("GOOGLETRANSLATE(B458,""en"",""ru"")"),"и надежное качество,")</f>
        <v>и надежное качество,</v>
      </c>
      <c r="H458" s="4" t="str">
        <f>IFERROR(__xludf.DUMMYFUNCTION("GOOGLETRANSLATE(B458,""en"",""it"")"),"e qualità affidabile,")</f>
        <v>e qualità affidabile,</v>
      </c>
      <c r="I458" s="4" t="str">
        <f>IFERROR(__xludf.DUMMYFUNCTION("GOOGLETRANSLATE(B458,""en"",""de"")"),"und zuverlässige Qualität,")</f>
        <v>und zuverlässige Qualität,</v>
      </c>
      <c r="J458" s="4" t="str">
        <f>IFERROR(__xludf.DUMMYFUNCTION("GOOGLETRANSLATE(B458,""en"",""ko"")"),"신뢰할 수 있는 품질,")</f>
        <v>신뢰할 수 있는 품질,</v>
      </c>
      <c r="K458" s="4" t="str">
        <f>IFERROR(__xludf.DUMMYFUNCTION("GOOGLETRANSLATE(B458,""en"",""zh"")"),"和可靠的质量，")</f>
        <v>和可靠的质量，</v>
      </c>
      <c r="L458" s="4" t="str">
        <f>IFERROR(__xludf.DUMMYFUNCTION("GOOGLETRANSLATE(B458,""en"",""es"")"),"y calidad confiable,")</f>
        <v>y calidad confiable,</v>
      </c>
      <c r="M458" s="4" t="str">
        <f>IFERROR(__xludf.DUMMYFUNCTION("GOOGLETRANSLATE(B458,""en"",""iw"")"),"ואיכות אמינה,")</f>
        <v>ואיכות אמינה,</v>
      </c>
      <c r="N458" s="4" t="str">
        <f>IFERROR(__xludf.DUMMYFUNCTION("GOOGLETRANSLATE(B458,""en"",""bn"")"),"এবং নির্ভরযোগ্য গুণমান,")</f>
        <v>এবং নির্ভরযোগ্য গুণমান,</v>
      </c>
      <c r="O458" s="4" t="str">
        <f>IFERROR(__xludf.DUMMYFUNCTION("GOOGLETRANSLATE(B458,""en"",""pt"")"),"e qualidade confiável,")</f>
        <v>e qualidade confiável,</v>
      </c>
      <c r="P458" s="4"/>
    </row>
    <row r="459">
      <c r="A459" s="53" t="s">
        <v>1136</v>
      </c>
      <c r="B459" s="56" t="s">
        <v>1137</v>
      </c>
      <c r="C459" s="4" t="str">
        <f>IFERROR(__xludf.DUMMYFUNCTION("GOOGLETRANSLATE(B459,""en"",""hi"")"),"या बाद में अपना गंतव्य जोड़ें ")</f>
        <v>या बाद में अपना गंतव्य जोड़ें </v>
      </c>
      <c r="D459" s="4" t="str">
        <f>IFERROR(__xludf.DUMMYFUNCTION("GOOGLETRANSLATE(B459,""en"",""ar"")"),"أو أضف وجهتك لاحقًا ")</f>
        <v>أو أضف وجهتك لاحقًا </v>
      </c>
      <c r="E459" s="4" t="str">
        <f>IFERROR(__xludf.DUMMYFUNCTION("GOOGLETRANSLATE(B459,""en"",""fr"")"),"Ou ajoutez votre destination plus tard ")</f>
        <v>Ou ajoutez votre destination plus tard </v>
      </c>
      <c r="F459" s="4" t="str">
        <f>IFERROR(__xludf.DUMMYFUNCTION("GOOGLETRANSLATE(B459,""en"",""tr"")"),"Veya varış noktanızı daha sonra ekleyin ")</f>
        <v>Veya varış noktanızı daha sonra ekleyin </v>
      </c>
      <c r="G459" s="4" t="str">
        <f>IFERROR(__xludf.DUMMYFUNCTION("GOOGLETRANSLATE(B459,""en"",""ru"")"),"Или добавьте пункт назначения позже ")</f>
        <v>Или добавьте пункт назначения позже </v>
      </c>
      <c r="H459" s="4" t="str">
        <f>IFERROR(__xludf.DUMMYFUNCTION("GOOGLETRANSLATE(B459,""en"",""it"")"),"Oppure aggiungi la tua destinazione più tardi ")</f>
        <v>Oppure aggiungi la tua destinazione più tardi </v>
      </c>
      <c r="I459" s="4" t="str">
        <f>IFERROR(__xludf.DUMMYFUNCTION("GOOGLETRANSLATE(B459,""en"",""de"")"),"Oder fügen Sie Ihr Ziel später hinzu ")</f>
        <v>Oder fügen Sie Ihr Ziel später hinzu </v>
      </c>
      <c r="J459" s="4" t="str">
        <f>IFERROR(__xludf.DUMMYFUNCTION("GOOGLETRANSLATE(B459,""en"",""ko"")"),"또는 나중에 목적지를 추가하세요. ")</f>
        <v>또는 나중에 목적지를 추가하세요. </v>
      </c>
      <c r="K459" s="4" t="str">
        <f>IFERROR(__xludf.DUMMYFUNCTION("GOOGLETRANSLATE(B459,""en"",""zh"")"),"或者稍后添加您的目的地 ")</f>
        <v>或者稍后添加您的目的地 </v>
      </c>
      <c r="L459" s="4" t="str">
        <f>IFERROR(__xludf.DUMMYFUNCTION("GOOGLETRANSLATE(B459,""en"",""es"")"),"O agrega tu destino más tarde ")</f>
        <v>O agrega tu destino más tarde </v>
      </c>
      <c r="M459" s="4" t="str">
        <f>IFERROR(__xludf.DUMMYFUNCTION("GOOGLETRANSLATE(B459,""en"",""iw"")"),"או הוסף את היעד שלך מאוחר יותר ")</f>
        <v>או הוסף את היעד שלך מאוחר יותר </v>
      </c>
      <c r="N459" s="4" t="str">
        <f>IFERROR(__xludf.DUMMYFUNCTION("GOOGLETRANSLATE(B459,""en"",""bn"")"),"অথবা পরে আপনার গন্তব্য যোগ করুন ")</f>
        <v>অথবা পরে আপনার গন্তব্য যোগ করুন </v>
      </c>
      <c r="O459" s="4" t="str">
        <f>IFERROR(__xludf.DUMMYFUNCTION("GOOGLETRANSLATE(B459,""en"",""pt"")"),"Ou adicione seu destino mais tarde ")</f>
        <v>Ou adicione seu destino mais tarde </v>
      </c>
      <c r="P459" s="4"/>
    </row>
    <row r="460">
      <c r="A460" s="53" t="s">
        <v>1138</v>
      </c>
      <c r="B460" s="56" t="s">
        <v>423</v>
      </c>
      <c r="C460" s="4" t="str">
        <f>IFERROR(__xludf.DUMMYFUNCTION("GOOGLETRANSLATE(B460,""en"",""hi"")"),"कोई ड्राइवर नहीं मिला")</f>
        <v>कोई ड्राइवर नहीं मिला</v>
      </c>
      <c r="D460" s="4" t="str">
        <f>IFERROR(__xludf.DUMMYFUNCTION("GOOGLETRANSLATE(B460,""en"",""ar"")"),"لا يوجد برنامج تشغيل وجدت")</f>
        <v>لا يوجد برنامج تشغيل وجدت</v>
      </c>
      <c r="E460" s="4" t="str">
        <f>IFERROR(__xludf.DUMMYFUNCTION("GOOGLETRANSLATE(B460,""en"",""fr"")"),"Aucun pilote trouvé")</f>
        <v>Aucun pilote trouvé</v>
      </c>
      <c r="F460" s="4" t="str">
        <f>IFERROR(__xludf.DUMMYFUNCTION("GOOGLETRANSLATE(B460,""en"",""tr"")"),"Sürücü bulunamadı")</f>
        <v>Sürücü bulunamadı</v>
      </c>
      <c r="G460" s="4" t="str">
        <f>IFERROR(__xludf.DUMMYFUNCTION("GOOGLETRANSLATE(B460,""en"",""ru"")"),"Драйвер не найден")</f>
        <v>Драйвер не найден</v>
      </c>
      <c r="H460" s="4" t="str">
        <f>IFERROR(__xludf.DUMMYFUNCTION("GOOGLETRANSLATE(B460,""en"",""it"")"),"Nessun driver trovato")</f>
        <v>Nessun driver trovato</v>
      </c>
      <c r="I460" s="4" t="str">
        <f>IFERROR(__xludf.DUMMYFUNCTION("GOOGLETRANSLATE(B460,""en"",""de"")"),"Kein Fahrer gefunden")</f>
        <v>Kein Fahrer gefunden</v>
      </c>
      <c r="J460" s="4" t="str">
        <f>IFERROR(__xludf.DUMMYFUNCTION("GOOGLETRANSLATE(B460,""en"",""ko"")"),"드라이버를 찾을 수 없습니다")</f>
        <v>드라이버를 찾을 수 없습니다</v>
      </c>
      <c r="K460" s="4" t="str">
        <f>IFERROR(__xludf.DUMMYFUNCTION("GOOGLETRANSLATE(B460,""en"",""zh"")"),"未找到驱动程序")</f>
        <v>未找到驱动程序</v>
      </c>
      <c r="L460" s="4" t="str">
        <f>IFERROR(__xludf.DUMMYFUNCTION("GOOGLETRANSLATE(B460,""en"",""es"")"),"No se encontró ningún controlador")</f>
        <v>No se encontró ningún controlador</v>
      </c>
      <c r="M460" s="4" t="str">
        <f>IFERROR(__xludf.DUMMYFUNCTION("GOOGLETRANSLATE(B460,""en"",""iw"")"),"לא נמצא דרייבר")</f>
        <v>לא נמצא דרייבר</v>
      </c>
      <c r="N460" s="4" t="str">
        <f>IFERROR(__xludf.DUMMYFUNCTION("GOOGLETRANSLATE(B460,""en"",""bn"")"),"কোন ড্রাইভার পাওয়া যায়নি")</f>
        <v>কোন ড্রাইভার পাওয়া যায়নি</v>
      </c>
      <c r="O460" s="4" t="str">
        <f>IFERROR(__xludf.DUMMYFUNCTION("GOOGLETRANSLATE(B460,""en"",""pt"")"),"Nenhum driver encontrado")</f>
        <v>Nenhum driver encontrado</v>
      </c>
      <c r="P460" s="4"/>
    </row>
    <row r="461">
      <c r="A461" s="53" t="s">
        <v>1139</v>
      </c>
      <c r="B461" s="56" t="s">
        <v>1140</v>
      </c>
      <c r="C461" s="4" t="str">
        <f>IFERROR(__xludf.DUMMYFUNCTION("GOOGLETRANSLATE(B461,""en"",""hi"")"),"ड्राइवर आपका इंतज़ार कर रहा है")</f>
        <v>ड्राइवर आपका इंतज़ार कर रहा है</v>
      </c>
      <c r="D461" s="4" t="str">
        <f>IFERROR(__xludf.DUMMYFUNCTION("GOOGLETRANSLATE(B461,""en"",""ar"")"),"السائق في انتظارك")</f>
        <v>السائق في انتظارك</v>
      </c>
      <c r="E461" s="4" t="str">
        <f>IFERROR(__xludf.DUMMYFUNCTION("GOOGLETRANSLATE(B461,""en"",""fr"")"),"Le chauffeur vous attend")</f>
        <v>Le chauffeur vous attend</v>
      </c>
      <c r="F461" s="4" t="str">
        <f>IFERROR(__xludf.DUMMYFUNCTION("GOOGLETRANSLATE(B461,""en"",""tr"")"),"Sürücü Seni Bekliyor")</f>
        <v>Sürücü Seni Bekliyor</v>
      </c>
      <c r="G461" s="4" t="str">
        <f>IFERROR(__xludf.DUMMYFUNCTION("GOOGLETRANSLATE(B461,""en"",""ru"")"),"Водитель ждет вас")</f>
        <v>Водитель ждет вас</v>
      </c>
      <c r="H461" s="4" t="str">
        <f>IFERROR(__xludf.DUMMYFUNCTION("GOOGLETRANSLATE(B461,""en"",""it"")"),"L'autista ti sta aspettando")</f>
        <v>L'autista ti sta aspettando</v>
      </c>
      <c r="I461" s="4" t="str">
        <f>IFERROR(__xludf.DUMMYFUNCTION("GOOGLETRANSLATE(B461,""en"",""de"")"),"Der Fahrer wartet auf Sie")</f>
        <v>Der Fahrer wartet auf Sie</v>
      </c>
      <c r="J461" s="4" t="str">
        <f>IFERROR(__xludf.DUMMYFUNCTION("GOOGLETRANSLATE(B461,""en"",""ko"")"),"운전기사가 당신을 기다리고 있습니다")</f>
        <v>운전기사가 당신을 기다리고 있습니다</v>
      </c>
      <c r="K461" s="4" t="str">
        <f>IFERROR(__xludf.DUMMYFUNCTION("GOOGLETRANSLATE(B461,""en"",""zh"")"),"司机正在等你")</f>
        <v>司机正在等你</v>
      </c>
      <c r="L461" s="4" t="str">
        <f>IFERROR(__xludf.DUMMYFUNCTION("GOOGLETRANSLATE(B461,""en"",""es"")"),"El conductor te está esperando")</f>
        <v>El conductor te está esperando</v>
      </c>
      <c r="M461" s="4" t="str">
        <f>IFERROR(__xludf.DUMMYFUNCTION("GOOGLETRANSLATE(B461,""en"",""iw"")"),"הנהג מחכה לך")</f>
        <v>הנהג מחכה לך</v>
      </c>
      <c r="N461" s="4" t="str">
        <f>IFERROR(__xludf.DUMMYFUNCTION("GOOGLETRANSLATE(B461,""en"",""bn"")"),"ড্রাইভার আপনার জন্য অপেক্ষা করছে")</f>
        <v>ড্রাইভার আপনার জন্য অপেক্ষা করছে</v>
      </c>
      <c r="O461" s="4" t="str">
        <f>IFERROR(__xludf.DUMMYFUNCTION("GOOGLETRANSLATE(B461,""en"",""pt"")"),"O motorista está esperando por você")</f>
        <v>O motorista está esperando por você</v>
      </c>
      <c r="P461" s="4"/>
    </row>
    <row r="462">
      <c r="A462" s="53" t="s">
        <v>1141</v>
      </c>
      <c r="B462" s="56" t="s">
        <v>1142</v>
      </c>
      <c r="C462" s="4" t="str">
        <f>IFERROR(__xludf.DUMMYFUNCTION("GOOGLETRANSLATE(B462,""en"",""hi"")"),"मुखपृष्ठ पर वापस")</f>
        <v>मुखपृष्ठ पर वापस</v>
      </c>
      <c r="D462" s="4" t="str">
        <f>IFERROR(__xludf.DUMMYFUNCTION("GOOGLETRANSLATE(B462,""en"",""ar"")"),"العودة إلى الصفحة الرئيسية")</f>
        <v>العودة إلى الصفحة الرئيسية</v>
      </c>
      <c r="E462" s="4" t="str">
        <f>IFERROR(__xludf.DUMMYFUNCTION("GOOGLETRANSLATE(B462,""en"",""fr"")"),"Retour à la page d'accueil")</f>
        <v>Retour à la page d'accueil</v>
      </c>
      <c r="F462" s="4" t="str">
        <f>IFERROR(__xludf.DUMMYFUNCTION("GOOGLETRANSLATE(B462,""en"",""tr"")"),"Ana sayfaya geri dön")</f>
        <v>Ana sayfaya geri dön</v>
      </c>
      <c r="G462" s="4" t="str">
        <f>IFERROR(__xludf.DUMMYFUNCTION("GOOGLETRANSLATE(B462,""en"",""ru"")"),"Вернуться на главную страницу")</f>
        <v>Вернуться на главную страницу</v>
      </c>
      <c r="H462" s="4" t="str">
        <f>IFERROR(__xludf.DUMMYFUNCTION("GOOGLETRANSLATE(B462,""en"",""it"")"),"Torna alla pagina iniziale")</f>
        <v>Torna alla pagina iniziale</v>
      </c>
      <c r="I462" s="4" t="str">
        <f>IFERROR(__xludf.DUMMYFUNCTION("GOOGLETRANSLATE(B462,""en"",""de"")"),"Zurück zur Startseite")</f>
        <v>Zurück zur Startseite</v>
      </c>
      <c r="J462" s="4" t="str">
        <f>IFERROR(__xludf.DUMMYFUNCTION("GOOGLETRANSLATE(B462,""en"",""ko"")"),"홈페이지로 돌아 가기")</f>
        <v>홈페이지로 돌아 가기</v>
      </c>
      <c r="K462" s="4" t="str">
        <f>IFERROR(__xludf.DUMMYFUNCTION("GOOGLETRANSLATE(B462,""en"",""zh"")"),"返回主页")</f>
        <v>返回主页</v>
      </c>
      <c r="L462" s="4" t="str">
        <f>IFERROR(__xludf.DUMMYFUNCTION("GOOGLETRANSLATE(B462,""en"",""es"")"),"Volver a la página de inicio")</f>
        <v>Volver a la página de inicio</v>
      </c>
      <c r="M462" s="4" t="str">
        <f>IFERROR(__xludf.DUMMYFUNCTION("GOOGLETRANSLATE(B462,""en"",""iw"")"),"בחזרה לעמוד הבית")</f>
        <v>בחזרה לעמוד הבית</v>
      </c>
      <c r="N462" s="4" t="str">
        <f>IFERROR(__xludf.DUMMYFUNCTION("GOOGLETRANSLATE(B462,""en"",""bn"")"),"হোমপেইজে ফিরে যাও")</f>
        <v>হোমপেইজে ফিরে যাও</v>
      </c>
      <c r="O462" s="4" t="str">
        <f>IFERROR(__xludf.DUMMYFUNCTION("GOOGLETRANSLATE(B462,""en"",""pt"")"),"Voltar à página inicial")</f>
        <v>Voltar à página inicial</v>
      </c>
      <c r="P462" s="4"/>
    </row>
    <row r="463">
      <c r="A463" s="53" t="s">
        <v>1143</v>
      </c>
      <c r="B463" s="56" t="s">
        <v>1144</v>
      </c>
      <c r="C463" s="4" t="str">
        <f>IFERROR(__xludf.DUMMYFUNCTION("GOOGLETRANSLATE(B463,""en"",""hi"")"),"एक पता जोड़ें")</f>
        <v>एक पता जोड़ें</v>
      </c>
      <c r="D463" s="4" t="str">
        <f>IFERROR(__xludf.DUMMYFUNCTION("GOOGLETRANSLATE(B463,""en"",""ar"")"),"أضف عنوانا")</f>
        <v>أضف عنوانا</v>
      </c>
      <c r="E463" s="4" t="str">
        <f>IFERROR(__xludf.DUMMYFUNCTION("GOOGLETRANSLATE(B463,""en"",""fr"")"),"Ajouter une adresse")</f>
        <v>Ajouter une adresse</v>
      </c>
      <c r="F463" s="4" t="str">
        <f>IFERROR(__xludf.DUMMYFUNCTION("GOOGLETRANSLATE(B463,""en"",""tr"")"),"Adres Ekle")</f>
        <v>Adres Ekle</v>
      </c>
      <c r="G463" s="4" t="str">
        <f>IFERROR(__xludf.DUMMYFUNCTION("GOOGLETRANSLATE(B463,""en"",""ru"")"),"Добавить адрес")</f>
        <v>Добавить адрес</v>
      </c>
      <c r="H463" s="4" t="str">
        <f>IFERROR(__xludf.DUMMYFUNCTION("GOOGLETRANSLATE(B463,""en"",""it"")"),"Aggiungi un indirizzo")</f>
        <v>Aggiungi un indirizzo</v>
      </c>
      <c r="I463" s="4" t="str">
        <f>IFERROR(__xludf.DUMMYFUNCTION("GOOGLETRANSLATE(B463,""en"",""de"")"),"Füge eine Adresse hinzu")</f>
        <v>Füge eine Adresse hinzu</v>
      </c>
      <c r="J463" s="4" t="str">
        <f>IFERROR(__xludf.DUMMYFUNCTION("GOOGLETRANSLATE(B463,""en"",""ko"")"),"주소 추가")</f>
        <v>주소 추가</v>
      </c>
      <c r="K463" s="4" t="str">
        <f>IFERROR(__xludf.DUMMYFUNCTION("GOOGLETRANSLATE(B463,""en"",""zh"")"),"添加地址")</f>
        <v>添加地址</v>
      </c>
      <c r="L463" s="4" t="str">
        <f>IFERROR(__xludf.DUMMYFUNCTION("GOOGLETRANSLATE(B463,""en"",""es"")"),"Añadir una dirección")</f>
        <v>Añadir una dirección</v>
      </c>
      <c r="M463" s="4" t="str">
        <f>IFERROR(__xludf.DUMMYFUNCTION("GOOGLETRANSLATE(B463,""en"",""iw"")"),"הוסף כתובת")</f>
        <v>הוסף כתובת</v>
      </c>
      <c r="N463" s="4" t="str">
        <f>IFERROR(__xludf.DUMMYFUNCTION("GOOGLETRANSLATE(B463,""en"",""bn"")"),"একটি ঠিকানা যোগ করুন")</f>
        <v>একটি ঠিকানা যোগ করুন</v>
      </c>
      <c r="O463" s="4" t="str">
        <f>IFERROR(__xludf.DUMMYFUNCTION("GOOGLETRANSLATE(B463,""en"",""pt"")"),"Adicionar um endereço")</f>
        <v>Adicionar um endereço</v>
      </c>
      <c r="P463" s="4"/>
    </row>
    <row r="464">
      <c r="A464" s="53" t="s">
        <v>1145</v>
      </c>
      <c r="B464" s="56" t="s">
        <v>1146</v>
      </c>
      <c r="C464" s="4" t="str">
        <f>IFERROR(__xludf.DUMMYFUNCTION("GOOGLETRANSLATE(B464,""en"",""hi"")"),"की राशि")</f>
        <v>की राशि</v>
      </c>
      <c r="D464" s="4" t="str">
        <f>IFERROR(__xludf.DUMMYFUNCTION("GOOGLETRANSLATE(B464,""en"",""ar"")"),"كمية")</f>
        <v>كمية</v>
      </c>
      <c r="E464" s="4" t="str">
        <f>IFERROR(__xludf.DUMMYFUNCTION("GOOGLETRANSLATE(B464,""en"",""fr"")"),"Quantité de")</f>
        <v>Quantité de</v>
      </c>
      <c r="F464" s="4" t="str">
        <f>IFERROR(__xludf.DUMMYFUNCTION("GOOGLETRANSLATE(B464,""en"",""tr"")"),"Miktarı")</f>
        <v>Miktarı</v>
      </c>
      <c r="G464" s="4" t="str">
        <f>IFERROR(__xludf.DUMMYFUNCTION("GOOGLETRANSLATE(B464,""en"",""ru"")"),"Количество")</f>
        <v>Количество</v>
      </c>
      <c r="H464" s="4" t="str">
        <f>IFERROR(__xludf.DUMMYFUNCTION("GOOGLETRANSLATE(B464,""en"",""it"")"),"Quantità di")</f>
        <v>Quantità di</v>
      </c>
      <c r="I464" s="4" t="str">
        <f>IFERROR(__xludf.DUMMYFUNCTION("GOOGLETRANSLATE(B464,""en"",""de"")"),"Menge von")</f>
        <v>Menge von</v>
      </c>
      <c r="J464" s="4" t="str">
        <f>IFERROR(__xludf.DUMMYFUNCTION("GOOGLETRANSLATE(B464,""en"",""ko"")"),"금액")</f>
        <v>금액</v>
      </c>
      <c r="K464" s="4" t="str">
        <f>IFERROR(__xludf.DUMMYFUNCTION("GOOGLETRANSLATE(B464,""en"",""zh"")"),"数量")</f>
        <v>数量</v>
      </c>
      <c r="L464" s="4" t="str">
        <f>IFERROR(__xludf.DUMMYFUNCTION("GOOGLETRANSLATE(B464,""en"",""es"")"),"Cantidad de")</f>
        <v>Cantidad de</v>
      </c>
      <c r="M464" s="4" t="str">
        <f>IFERROR(__xludf.DUMMYFUNCTION("GOOGLETRANSLATE(B464,""en"",""iw"")"),"כמות של")</f>
        <v>כמות של</v>
      </c>
      <c r="N464" s="4" t="str">
        <f>IFERROR(__xludf.DUMMYFUNCTION("GOOGLETRANSLATE(B464,""en"",""bn"")"),"পরিমাণ")</f>
        <v>পরিমাণ</v>
      </c>
      <c r="O464" s="4" t="str">
        <f>IFERROR(__xludf.DUMMYFUNCTION("GOOGLETRANSLATE(B464,""en"",""pt"")"),"Quantidade de")</f>
        <v>Quantidade de</v>
      </c>
      <c r="P464" s="4"/>
    </row>
    <row r="465">
      <c r="A465" s="53" t="s">
        <v>1147</v>
      </c>
      <c r="B465" s="56" t="s">
        <v>1148</v>
      </c>
      <c r="C465" s="4" t="str">
        <f>IFERROR(__xludf.DUMMYFUNCTION("GOOGLETRANSLATE(B465,""en"",""hi"")"),"को स्थानांतरित कर दिया गया है")</f>
        <v>को स्थानांतरित कर दिया गया है</v>
      </c>
      <c r="D465" s="4" t="str">
        <f>IFERROR(__xludf.DUMMYFUNCTION("GOOGLETRANSLATE(B465,""en"",""ar"")"),"تم نقله الى")</f>
        <v>تم نقله الى</v>
      </c>
      <c r="E465" s="4" t="str">
        <f>IFERROR(__xludf.DUMMYFUNCTION("GOOGLETRANSLATE(B465,""en"",""fr"")"),"a été transféré à")</f>
        <v>a été transféré à</v>
      </c>
      <c r="F465" s="4" t="str">
        <f>IFERROR(__xludf.DUMMYFUNCTION("GOOGLETRANSLATE(B465,""en"",""tr"")"),"şuraya transfer edildi:")</f>
        <v>şuraya transfer edildi:</v>
      </c>
      <c r="G465" s="4" t="str">
        <f>IFERROR(__xludf.DUMMYFUNCTION("GOOGLETRANSLATE(B465,""en"",""ru"")"),"был переведен в")</f>
        <v>был переведен в</v>
      </c>
      <c r="H465" s="4" t="str">
        <f>IFERROR(__xludf.DUMMYFUNCTION("GOOGLETRANSLATE(B465,""en"",""it"")"),"è stato trasferito a")</f>
        <v>è stato trasferito a</v>
      </c>
      <c r="I465" s="4" t="str">
        <f>IFERROR(__xludf.DUMMYFUNCTION("GOOGLETRANSLATE(B465,""en"",""de"")"),"wurde übertragen")</f>
        <v>wurde übertragen</v>
      </c>
      <c r="J465" s="4" t="str">
        <f>IFERROR(__xludf.DUMMYFUNCTION("GOOGLETRANSLATE(B465,""en"",""ko"")"),"으로 이전되었습니다.")</f>
        <v>으로 이전되었습니다.</v>
      </c>
      <c r="K465" s="4" t="str">
        <f>IFERROR(__xludf.DUMMYFUNCTION("GOOGLETRANSLATE(B465,""en"",""zh"")"),"已转移至")</f>
        <v>已转移至</v>
      </c>
      <c r="L465" s="4" t="str">
        <f>IFERROR(__xludf.DUMMYFUNCTION("GOOGLETRANSLATE(B465,""en"",""es"")"),"ha sido transferido a")</f>
        <v>ha sido transferido a</v>
      </c>
      <c r="M465" s="4" t="str">
        <f>IFERROR(__xludf.DUMMYFUNCTION("GOOGLETRANSLATE(B465,""en"",""iw"")"),"הועבר ל")</f>
        <v>הועבר ל</v>
      </c>
      <c r="N465" s="4" t="str">
        <f>IFERROR(__xludf.DUMMYFUNCTION("GOOGLETRANSLATE(B465,""en"",""bn"")"),"এ স্থানান্তর করা হয়েছে")</f>
        <v>এ স্থানান্তর করা হয়েছে</v>
      </c>
      <c r="O465" s="4" t="str">
        <f>IFERROR(__xludf.DUMMYFUNCTION("GOOGLETRANSLATE(B465,""en"",""pt"")"),"foi transferido para")</f>
        <v>foi transferido para</v>
      </c>
      <c r="P465" s="4"/>
    </row>
    <row r="466">
      <c r="A466" s="53" t="s">
        <v>1149</v>
      </c>
      <c r="B466" s="56" t="s">
        <v>1150</v>
      </c>
      <c r="C466" s="4" t="str">
        <f>IFERROR(__xludf.DUMMYFUNCTION("GOOGLETRANSLATE(B466,""en"",""hi"")"),"कारखाना की जानकारी")</f>
        <v>कारखाना की जानकारी</v>
      </c>
      <c r="D466" s="4" t="str">
        <f>IFERROR(__xludf.DUMMYFUNCTION("GOOGLETRANSLATE(B466,""en"",""ar"")"),"معلومات الشركة")</f>
        <v>معلومات الشركة</v>
      </c>
      <c r="E466" s="4" t="str">
        <f>IFERROR(__xludf.DUMMYFUNCTION("GOOGLETRANSLATE(B466,""en"",""fr"")"),"Informations sur la société")</f>
        <v>Informations sur la société</v>
      </c>
      <c r="F466" s="4" t="str">
        <f>IFERROR(__xludf.DUMMYFUNCTION("GOOGLETRANSLATE(B466,""en"",""tr"")"),"Şirket Bilgisi")</f>
        <v>Şirket Bilgisi</v>
      </c>
      <c r="G466" s="4" t="str">
        <f>IFERROR(__xludf.DUMMYFUNCTION("GOOGLETRANSLATE(B466,""en"",""ru"")"),"Информация о компании")</f>
        <v>Информация о компании</v>
      </c>
      <c r="H466" s="4" t="str">
        <f>IFERROR(__xludf.DUMMYFUNCTION("GOOGLETRANSLATE(B466,""en"",""it"")"),"Informazioni aziendali")</f>
        <v>Informazioni aziendali</v>
      </c>
      <c r="I466" s="4" t="str">
        <f>IFERROR(__xludf.DUMMYFUNCTION("GOOGLETRANSLATE(B466,""en"",""de"")"),"Firmeninformation")</f>
        <v>Firmeninformation</v>
      </c>
      <c r="J466" s="4" t="str">
        <f>IFERROR(__xludf.DUMMYFUNCTION("GOOGLETRANSLATE(B466,""en"",""ko"")"),"회사 정보")</f>
        <v>회사 정보</v>
      </c>
      <c r="K466" s="4" t="str">
        <f>IFERROR(__xludf.DUMMYFUNCTION("GOOGLETRANSLATE(B466,""en"",""zh"")"),"公司信息")</f>
        <v>公司信息</v>
      </c>
      <c r="L466" s="4" t="str">
        <f>IFERROR(__xludf.DUMMYFUNCTION("GOOGLETRANSLATE(B466,""en"",""es"")"),"Información de la empresa")</f>
        <v>Información de la empresa</v>
      </c>
      <c r="M466" s="4" t="str">
        <f>IFERROR(__xludf.DUMMYFUNCTION("GOOGLETRANSLATE(B466,""en"",""iw"")"),"מידע על החברה")</f>
        <v>מידע על החברה</v>
      </c>
      <c r="N466" s="4" t="str">
        <f>IFERROR(__xludf.DUMMYFUNCTION("GOOGLETRANSLATE(B466,""en"",""bn"")"),"কোম্পানির তথ্য")</f>
        <v>কোম্পানির তথ্য</v>
      </c>
      <c r="O466" s="4" t="str">
        <f>IFERROR(__xludf.DUMMYFUNCTION("GOOGLETRANSLATE(B466,""en"",""pt"")"),"Informações da Empresa")</f>
        <v>Informações da Empresa</v>
      </c>
      <c r="P466" s="4"/>
    </row>
    <row r="467">
      <c r="A467" s="57" t="s">
        <v>1151</v>
      </c>
      <c r="B467" s="58" t="s">
        <v>1152</v>
      </c>
      <c r="C467" s="4" t="str">
        <f>IFERROR(__xludf.DUMMYFUNCTION("GOOGLETRANSLATE(B467,""en"",""hi"")"),"तत्काल टैक्सी की सवारी")</f>
        <v>तत्काल टैक्सी की सवारी</v>
      </c>
      <c r="D467" s="4" t="str">
        <f>IFERROR(__xludf.DUMMYFUNCTION("GOOGLETRANSLATE(B467,""en"",""ar"")"),"ركوب سيارة أجرة فورية")</f>
        <v>ركوب سيارة أجرة فورية</v>
      </c>
      <c r="E467" s="4" t="str">
        <f>IFERROR(__xludf.DUMMYFUNCTION("GOOGLETRANSLATE(B467,""en"",""fr"")"),"Trajet instantané en taxi")</f>
        <v>Trajet instantané en taxi</v>
      </c>
      <c r="F467" s="4" t="str">
        <f>IFERROR(__xludf.DUMMYFUNCTION("GOOGLETRANSLATE(B467,""en"",""tr"")"),"Anında Taksi Yolculuğu")</f>
        <v>Anında Taksi Yolculuğu</v>
      </c>
      <c r="G467" s="4" t="str">
        <f>IFERROR(__xludf.DUMMYFUNCTION("GOOGLETRANSLATE(B467,""en"",""ru"")"),"Мгновенная поездка на такси")</f>
        <v>Мгновенная поездка на такси</v>
      </c>
      <c r="H467" s="4" t="str">
        <f>IFERROR(__xludf.DUMMYFUNCTION("GOOGLETRANSLATE(B467,""en"",""it"")"),"Corsa in taxi istantanea")</f>
        <v>Corsa in taxi istantanea</v>
      </c>
      <c r="I467" s="4" t="str">
        <f>IFERROR(__xludf.DUMMYFUNCTION("GOOGLETRANSLATE(B467,""en"",""de"")"),"Sofortige Taxifahrt")</f>
        <v>Sofortige Taxifahrt</v>
      </c>
      <c r="J467" s="4" t="str">
        <f>IFERROR(__xludf.DUMMYFUNCTION("GOOGLETRANSLATE(B467,""en"",""ko"")"),"즉석택시 탑승")</f>
        <v>즉석택시 탑승</v>
      </c>
      <c r="K467" s="4" t="str">
        <f>IFERROR(__xludf.DUMMYFUNCTION("GOOGLETRANSLATE(B467,""en"",""zh"")"),"即时乘坐出租车")</f>
        <v>即时乘坐出租车</v>
      </c>
      <c r="L467" s="4" t="str">
        <f>IFERROR(__xludf.DUMMYFUNCTION("GOOGLETRANSLATE(B467,""en"",""es"")"),"Viaje instantáneo en taxi")</f>
        <v>Viaje instantáneo en taxi</v>
      </c>
      <c r="M467" s="4" t="str">
        <f>IFERROR(__xludf.DUMMYFUNCTION("GOOGLETRANSLATE(B467,""en"",""iw"")"),"נסיעה מיידית במונית")</f>
        <v>נסיעה מיידית במונית</v>
      </c>
      <c r="N467" s="4" t="str">
        <f>IFERROR(__xludf.DUMMYFUNCTION("GOOGLETRANSLATE(B467,""en"",""bn"")"),"তাত্ক্ষণিক ট্যাক্সি রাইড")</f>
        <v>তাত্ক্ষণিক ট্যাক্সি রাইড</v>
      </c>
      <c r="O467" s="4" t="str">
        <f>IFERROR(__xludf.DUMMYFUNCTION("GOOGLETRANSLATE(B467,""en"",""pt"")"),"Viagem instantânea de táxi")</f>
        <v>Viagem instantânea de táxi</v>
      </c>
      <c r="P467" s="4"/>
    </row>
    <row r="468">
      <c r="A468" s="59" t="s">
        <v>1153</v>
      </c>
      <c r="B468" s="60" t="s">
        <v>1154</v>
      </c>
      <c r="C468" s="4" t="str">
        <f>IFERROR(__xludf.DUMMYFUNCTION("GOOGLETRANSLATE(B468,""en"",""hi"")"),"मेरा रूट बुकिंग")</f>
        <v>मेरा रूट बुकिंग</v>
      </c>
      <c r="D468" s="4" t="str">
        <f>IFERROR(__xludf.DUMMYFUNCTION("GOOGLETRANSLATE(B468,""en"",""ar"")"),"حجز الطريق الخاص بي")</f>
        <v>حجز الطريق الخاص بي</v>
      </c>
      <c r="E468" s="4" t="str">
        <f>IFERROR(__xludf.DUMMYFUNCTION("GOOGLETRANSLATE(B468,""en"",""fr"")"),"Ma réservation d'itinéraire")</f>
        <v>Ma réservation d'itinéraire</v>
      </c>
      <c r="F468" s="4" t="str">
        <f>IFERROR(__xludf.DUMMYFUNCTION("GOOGLETRANSLATE(B468,""en"",""tr"")"),"Rota Rezervasyonum")</f>
        <v>Rota Rezervasyonum</v>
      </c>
      <c r="G468" s="4" t="str">
        <f>IFERROR(__xludf.DUMMYFUNCTION("GOOGLETRANSLATE(B468,""en"",""ru"")"),"Мое бронирование маршрута")</f>
        <v>Мое бронирование маршрута</v>
      </c>
      <c r="H468" s="4" t="str">
        <f>IFERROR(__xludf.DUMMYFUNCTION("GOOGLETRANSLATE(B468,""en"",""it"")"),"La mia prenotazione del percorso")</f>
        <v>La mia prenotazione del percorso</v>
      </c>
      <c r="I468" s="4" t="str">
        <f>IFERROR(__xludf.DUMMYFUNCTION("GOOGLETRANSLATE(B468,""en"",""de"")"),"Meine Routenbuchung")</f>
        <v>Meine Routenbuchung</v>
      </c>
      <c r="J468" s="4" t="str">
        <f>IFERROR(__xludf.DUMMYFUNCTION("GOOGLETRANSLATE(B468,""en"",""ko"")"),"나의 경로 예약")</f>
        <v>나의 경로 예약</v>
      </c>
      <c r="K468" s="4" t="str">
        <f>IFERROR(__xludf.DUMMYFUNCTION("GOOGLETRANSLATE(B468,""en"",""zh"")"),"我的路线预订")</f>
        <v>我的路线预订</v>
      </c>
      <c r="L468" s="4" t="str">
        <f>IFERROR(__xludf.DUMMYFUNCTION("GOOGLETRANSLATE(B468,""en"",""es"")"),"Mi Reserva de Ruta")</f>
        <v>Mi Reserva de Ruta</v>
      </c>
      <c r="M468" s="4" t="str">
        <f>IFERROR(__xludf.DUMMYFUNCTION("GOOGLETRANSLATE(B468,""en"",""iw"")"),"הזמנת המסלול שלי")</f>
        <v>הזמנת המסלול שלי</v>
      </c>
      <c r="N468" s="4" t="str">
        <f>IFERROR(__xludf.DUMMYFUNCTION("GOOGLETRANSLATE(B468,""en"",""bn"")"),"আমার রুট বুকিং")</f>
        <v>আমার রুট বুকিং</v>
      </c>
      <c r="O468" s="4" t="str">
        <f>IFERROR(__xludf.DUMMYFUNCTION("GOOGLETRANSLATE(B468,""en"",""pt"")"),"Minha reserva de rota")</f>
        <v>Minha reserva de rota</v>
      </c>
      <c r="P468" s="4"/>
    </row>
    <row r="469">
      <c r="A469" s="61" t="s">
        <v>1155</v>
      </c>
      <c r="B469" s="60" t="s">
        <v>1156</v>
      </c>
      <c r="C469" s="4" t="str">
        <f>IFERROR(__xludf.DUMMYFUNCTION("GOOGLETRANSLATE(B469,""en"",""hi"")"),"घर का पता")</f>
        <v>घर का पता</v>
      </c>
      <c r="D469" s="4" t="str">
        <f>IFERROR(__xludf.DUMMYFUNCTION("GOOGLETRANSLATE(B469,""en"",""ar"")"),"عنوان المنزل")</f>
        <v>عنوان المنزل</v>
      </c>
      <c r="E469" s="4" t="str">
        <f>IFERROR(__xludf.DUMMYFUNCTION("GOOGLETRANSLATE(B469,""en"",""fr"")"),"Adresse du domicile")</f>
        <v>Adresse du domicile</v>
      </c>
      <c r="F469" s="4" t="str">
        <f>IFERROR(__xludf.DUMMYFUNCTION("GOOGLETRANSLATE(B469,""en"",""tr"")"),"Ev Adresi")</f>
        <v>Ev Adresi</v>
      </c>
      <c r="G469" s="4" t="str">
        <f>IFERROR(__xludf.DUMMYFUNCTION("GOOGLETRANSLATE(B469,""en"",""ru"")"),"Домашний адрес")</f>
        <v>Домашний адрес</v>
      </c>
      <c r="H469" s="4" t="str">
        <f>IFERROR(__xludf.DUMMYFUNCTION("GOOGLETRANSLATE(B469,""en"",""it"")"),"Indirizzo di casa")</f>
        <v>Indirizzo di casa</v>
      </c>
      <c r="I469" s="4" t="str">
        <f>IFERROR(__xludf.DUMMYFUNCTION("GOOGLETRANSLATE(B469,""en"",""de"")"),"Heimatadresse")</f>
        <v>Heimatadresse</v>
      </c>
      <c r="J469" s="4" t="str">
        <f>IFERROR(__xludf.DUMMYFUNCTION("GOOGLETRANSLATE(B469,""en"",""ko"")"),"집 주소")</f>
        <v>집 주소</v>
      </c>
      <c r="K469" s="4" t="str">
        <f>IFERROR(__xludf.DUMMYFUNCTION("GOOGLETRANSLATE(B469,""en"",""zh"")"),"家庭地址")</f>
        <v>家庭地址</v>
      </c>
      <c r="L469" s="4" t="str">
        <f>IFERROR(__xludf.DUMMYFUNCTION("GOOGLETRANSLATE(B469,""en"",""es"")"),"Direccion de casa")</f>
        <v>Direccion de casa</v>
      </c>
      <c r="M469" s="4" t="str">
        <f>IFERROR(__xludf.DUMMYFUNCTION("GOOGLETRANSLATE(B469,""en"",""iw"")"),"כתובת בית")</f>
        <v>כתובת בית</v>
      </c>
      <c r="N469" s="4" t="str">
        <f>IFERROR(__xludf.DUMMYFUNCTION("GOOGLETRANSLATE(B469,""en"",""bn"")"),"বাসার ঠিকানা")</f>
        <v>বাসার ঠিকানা</v>
      </c>
      <c r="O469" s="4" t="str">
        <f>IFERROR(__xludf.DUMMYFUNCTION("GOOGLETRANSLATE(B469,""en"",""pt"")"),"Endereço residencial")</f>
        <v>Endereço residencial</v>
      </c>
      <c r="P469" s="4"/>
    </row>
    <row r="470">
      <c r="A470" s="61" t="s">
        <v>1157</v>
      </c>
      <c r="B470" s="60" t="s">
        <v>1158</v>
      </c>
      <c r="C470" s="4" t="str">
        <f>IFERROR(__xludf.DUMMYFUNCTION("GOOGLETRANSLATE(B470,""en"",""hi"")"),"घर का पता जोड़ें")</f>
        <v>घर का पता जोड़ें</v>
      </c>
      <c r="D470" s="4" t="str">
        <f>IFERROR(__xludf.DUMMYFUNCTION("GOOGLETRANSLATE(B470,""en"",""ar"")"),"أضف عنوان المنزل")</f>
        <v>أضف عنوان المنزل</v>
      </c>
      <c r="E470" s="4" t="str">
        <f>IFERROR(__xludf.DUMMYFUNCTION("GOOGLETRANSLATE(B470,""en"",""fr"")"),"Ajouter une adresse personnelle")</f>
        <v>Ajouter une adresse personnelle</v>
      </c>
      <c r="F470" s="4" t="str">
        <f>IFERROR(__xludf.DUMMYFUNCTION("GOOGLETRANSLATE(B470,""en"",""tr"")"),"Ev Adresi Ekle")</f>
        <v>Ev Adresi Ekle</v>
      </c>
      <c r="G470" s="4" t="str">
        <f>IFERROR(__xludf.DUMMYFUNCTION("GOOGLETRANSLATE(B470,""en"",""ru"")"),"Добавить домашний адрес")</f>
        <v>Добавить домашний адрес</v>
      </c>
      <c r="H470" s="4" t="str">
        <f>IFERROR(__xludf.DUMMYFUNCTION("GOOGLETRANSLATE(B470,""en"",""it"")"),"Aggiungi indirizzo di casa")</f>
        <v>Aggiungi indirizzo di casa</v>
      </c>
      <c r="I470" s="4" t="str">
        <f>IFERROR(__xludf.DUMMYFUNCTION("GOOGLETRANSLATE(B470,""en"",""de"")"),"Privatadresse hinzufügen")</f>
        <v>Privatadresse hinzufügen</v>
      </c>
      <c r="J470" s="4" t="str">
        <f>IFERROR(__xludf.DUMMYFUNCTION("GOOGLETRANSLATE(B470,""en"",""ko"")"),"집 주소 추가")</f>
        <v>집 주소 추가</v>
      </c>
      <c r="K470" s="4" t="str">
        <f>IFERROR(__xludf.DUMMYFUNCTION("GOOGLETRANSLATE(B470,""en"",""zh"")"),"添加家庭住址")</f>
        <v>添加家庭住址</v>
      </c>
      <c r="L470" s="4" t="str">
        <f>IFERROR(__xludf.DUMMYFUNCTION("GOOGLETRANSLATE(B470,""en"",""es"")"),"Agregar dirección particular")</f>
        <v>Agregar dirección particular</v>
      </c>
      <c r="M470" s="4" t="str">
        <f>IFERROR(__xludf.DUMMYFUNCTION("GOOGLETRANSLATE(B470,""en"",""iw"")"),"הוסף כתובת בית")</f>
        <v>הוסף כתובת בית</v>
      </c>
      <c r="N470" s="4" t="str">
        <f>IFERROR(__xludf.DUMMYFUNCTION("GOOGLETRANSLATE(B470,""en"",""bn"")"),"বাড়ির ঠিকানা যোগ করুন")</f>
        <v>বাড়ির ঠিকানা যোগ করুন</v>
      </c>
      <c r="O470" s="4" t="str">
        <f>IFERROR(__xludf.DUMMYFUNCTION("GOOGLETRANSLATE(B470,""en"",""pt"")"),"Adicionar endereço residencial")</f>
        <v>Adicionar endereço residencial</v>
      </c>
      <c r="P470" s="4"/>
    </row>
    <row r="471">
      <c r="A471" s="61" t="s">
        <v>1159</v>
      </c>
      <c r="B471" s="60" t="s">
        <v>1160</v>
      </c>
      <c r="C471" s="4" t="str">
        <f>IFERROR(__xludf.DUMMYFUNCTION("GOOGLETRANSLATE(B471,""en"",""hi"")"),"मेरा रूट बुकिंग अक्षम करें")</f>
        <v>मेरा रूट बुकिंग अक्षम करें</v>
      </c>
      <c r="D471" s="4" t="str">
        <f>IFERROR(__xludf.DUMMYFUNCTION("GOOGLETRANSLATE(B471,""en"",""ar"")"),"تعطيل حجز الطريق الخاص بي")</f>
        <v>تعطيل حجز الطريق الخاص بي</v>
      </c>
      <c r="E471" s="4" t="str">
        <f>IFERROR(__xludf.DUMMYFUNCTION("GOOGLETRANSLATE(B471,""en"",""fr"")"),"Désactiver ma réservation d'itinéraire")</f>
        <v>Désactiver ma réservation d'itinéraire</v>
      </c>
      <c r="F471" s="4" t="str">
        <f>IFERROR(__xludf.DUMMYFUNCTION("GOOGLETRANSLATE(B471,""en"",""tr"")"),"Rota Rezervasyonumu Devre Dışı Bırak")</f>
        <v>Rota Rezervasyonumu Devre Dışı Bırak</v>
      </c>
      <c r="G471" s="4" t="str">
        <f>IFERROR(__xludf.DUMMYFUNCTION("GOOGLETRANSLATE(B471,""en"",""ru"")"),"Отключить бронирование маршрута")</f>
        <v>Отключить бронирование маршрута</v>
      </c>
      <c r="H471" s="4" t="str">
        <f>IFERROR(__xludf.DUMMYFUNCTION("GOOGLETRANSLATE(B471,""en"",""it"")"),"Disabilita la prenotazione del mio percorso")</f>
        <v>Disabilita la prenotazione del mio percorso</v>
      </c>
      <c r="I471" s="4" t="str">
        <f>IFERROR(__xludf.DUMMYFUNCTION("GOOGLETRANSLATE(B471,""en"",""de"")"),"Deaktivieren Sie meine Routenbuchung")</f>
        <v>Deaktivieren Sie meine Routenbuchung</v>
      </c>
      <c r="J471" s="4" t="str">
        <f>IFERROR(__xludf.DUMMYFUNCTION("GOOGLETRANSLATE(B471,""en"",""ko"")"),"내 경로 예약 비활성화")</f>
        <v>내 경로 예약 비활성화</v>
      </c>
      <c r="K471" s="4" t="str">
        <f>IFERROR(__xludf.DUMMYFUNCTION("GOOGLETRANSLATE(B471,""en"",""zh"")"),"禁用我的路线预订")</f>
        <v>禁用我的路线预订</v>
      </c>
      <c r="L471" s="4" t="str">
        <f>IFERROR(__xludf.DUMMYFUNCTION("GOOGLETRANSLATE(B471,""en"",""es"")"),"Desactivar mi reserva de ruta")</f>
        <v>Desactivar mi reserva de ruta</v>
      </c>
      <c r="M471" s="4" t="str">
        <f>IFERROR(__xludf.DUMMYFUNCTION("GOOGLETRANSLATE(B471,""en"",""iw"")"),"השבת את הזמנת המסלול שלי")</f>
        <v>השבת את הזמנת המסלול שלי</v>
      </c>
      <c r="N471" s="4" t="str">
        <f>IFERROR(__xludf.DUMMYFUNCTION("GOOGLETRANSLATE(B471,""en"",""bn"")"),"আমার রুট বুকিং অক্ষম করুন")</f>
        <v>আমার রুট বুকিং অক্ষম করুন</v>
      </c>
      <c r="O471" s="4" t="str">
        <f>IFERROR(__xludf.DUMMYFUNCTION("GOOGLETRANSLATE(B471,""en"",""pt"")"),"Desativar minha reserva de rota")</f>
        <v>Desativar minha reserva de rota</v>
      </c>
      <c r="P471" s="62"/>
    </row>
    <row r="472">
      <c r="A472" s="61" t="s">
        <v>1161</v>
      </c>
      <c r="B472" s="60" t="s">
        <v>1162</v>
      </c>
      <c r="C472" s="4" t="str">
        <f>IFERROR(__xludf.DUMMYFUNCTION("GOOGLETRANSLATE(B472,""en"",""hi"")"),"मेरा रूट बुकिंग सक्षम करें")</f>
        <v>मेरा रूट बुकिंग सक्षम करें</v>
      </c>
      <c r="D472" s="4" t="str">
        <f>IFERROR(__xludf.DUMMYFUNCTION("GOOGLETRANSLATE(B472,""en"",""ar"")"),"تمكين حجز الطريق الخاص بي")</f>
        <v>تمكين حجز الطريق الخاص بي</v>
      </c>
      <c r="E472" s="4" t="str">
        <f>IFERROR(__xludf.DUMMYFUNCTION("GOOGLETRANSLATE(B472,""en"",""fr"")"),"Activer la réservation de mon itinéraire")</f>
        <v>Activer la réservation de mon itinéraire</v>
      </c>
      <c r="F472" s="4" t="str">
        <f>IFERROR(__xludf.DUMMYFUNCTION("GOOGLETRANSLATE(B472,""en"",""tr"")"),"Rota Rezervasyonumu Etkinleştir")</f>
        <v>Rota Rezervasyonumu Etkinleştir</v>
      </c>
      <c r="G472" s="4" t="str">
        <f>IFERROR(__xludf.DUMMYFUNCTION("GOOGLETRANSLATE(B472,""en"",""ru"")"),"Включить бронирование моего маршрута")</f>
        <v>Включить бронирование моего маршрута</v>
      </c>
      <c r="H472" s="4" t="str">
        <f>IFERROR(__xludf.DUMMYFUNCTION("GOOGLETRANSLATE(B472,""en"",""it"")"),"Abilita la prenotazione del mio percorso")</f>
        <v>Abilita la prenotazione del mio percorso</v>
      </c>
      <c r="I472" s="4" t="str">
        <f>IFERROR(__xludf.DUMMYFUNCTION("GOOGLETRANSLATE(B472,""en"",""de"")"),"Aktivieren Sie „Meine Routenbuchung“.")</f>
        <v>Aktivieren Sie „Meine Routenbuchung“.</v>
      </c>
      <c r="J472" s="4" t="str">
        <f>IFERROR(__xludf.DUMMYFUNCTION("GOOGLETRANSLATE(B472,""en"",""ko"")"),"내 경로 예약 활성화")</f>
        <v>내 경로 예약 활성화</v>
      </c>
      <c r="K472" s="4" t="str">
        <f>IFERROR(__xludf.DUMMYFUNCTION("GOOGLETRANSLATE(B472,""en"",""zh"")"),"启用我的路线预订")</f>
        <v>启用我的路线预订</v>
      </c>
      <c r="L472" s="4" t="str">
        <f>IFERROR(__xludf.DUMMYFUNCTION("GOOGLETRANSLATE(B472,""en"",""es"")"),"Habilitar mi reserva de ruta")</f>
        <v>Habilitar mi reserva de ruta</v>
      </c>
      <c r="M472" s="4" t="str">
        <f>IFERROR(__xludf.DUMMYFUNCTION("GOOGLETRANSLATE(B472,""en"",""iw"")"),"אפשר את הזמנת המסלול שלי")</f>
        <v>אפשר את הזמנת המסלול שלי</v>
      </c>
      <c r="N472" s="4" t="str">
        <f>IFERROR(__xludf.DUMMYFUNCTION("GOOGLETRANSLATE(B472,""en"",""bn"")"),"আমার রুট বুকিং সক্ষম করুন")</f>
        <v>আমার রুট বুকিং সক্ষম করুন</v>
      </c>
      <c r="O472" s="4" t="str">
        <f>IFERROR(__xludf.DUMMYFUNCTION("GOOGLETRANSLATE(B472,""en"",""pt"")"),"Habilitar minha reserva de rota")</f>
        <v>Habilitar minha reserva de rota</v>
      </c>
      <c r="P472" s="62"/>
    </row>
    <row r="473">
      <c r="A473" s="61" t="s">
        <v>1163</v>
      </c>
      <c r="B473" s="60" t="s">
        <v>1164</v>
      </c>
      <c r="C473" s="4" t="str">
        <f>IFERROR(__xludf.DUMMYFUNCTION("GOOGLETRANSLATE(B473,""en"",""hi"")"),"घर का पता चुनें")</f>
        <v>घर का पता चुनें</v>
      </c>
      <c r="D473" s="4" t="str">
        <f>IFERROR(__xludf.DUMMYFUNCTION("GOOGLETRANSLATE(B473,""en"",""ar"")"),"اختر عنوان المنزل")</f>
        <v>اختر عنوان المنزل</v>
      </c>
      <c r="E473" s="4" t="str">
        <f>IFERROR(__xludf.DUMMYFUNCTION("GOOGLETRANSLATE(B473,""en"",""fr"")"),"Choisissez l'adresse du domicile")</f>
        <v>Choisissez l'adresse du domicile</v>
      </c>
      <c r="F473" s="4" t="str">
        <f>IFERROR(__xludf.DUMMYFUNCTION("GOOGLETRANSLATE(B473,""en"",""tr"")"),"Ev Adresini Seçin")</f>
        <v>Ev Adresini Seçin</v>
      </c>
      <c r="G473" s="4" t="str">
        <f>IFERROR(__xludf.DUMMYFUNCTION("GOOGLETRANSLATE(B473,""en"",""ru"")"),"Выберите домашний адрес")</f>
        <v>Выберите домашний адрес</v>
      </c>
      <c r="H473" s="4" t="str">
        <f>IFERROR(__xludf.DUMMYFUNCTION("GOOGLETRANSLATE(B473,""en"",""it"")"),"Scegli l'indirizzo di casa")</f>
        <v>Scegli l'indirizzo di casa</v>
      </c>
      <c r="I473" s="4" t="str">
        <f>IFERROR(__xludf.DUMMYFUNCTION("GOOGLETRANSLATE(B473,""en"",""de"")"),"Wählen Sie Heimatadresse")</f>
        <v>Wählen Sie Heimatadresse</v>
      </c>
      <c r="J473" s="4" t="str">
        <f>IFERROR(__xludf.DUMMYFUNCTION("GOOGLETRANSLATE(B473,""en"",""ko"")"),"집 주소 선택")</f>
        <v>집 주소 선택</v>
      </c>
      <c r="K473" s="4" t="str">
        <f>IFERROR(__xludf.DUMMYFUNCTION("GOOGLETRANSLATE(B473,""en"",""zh"")"),"选择家庭住址")</f>
        <v>选择家庭住址</v>
      </c>
      <c r="L473" s="4" t="str">
        <f>IFERROR(__xludf.DUMMYFUNCTION("GOOGLETRANSLATE(B473,""en"",""es"")"),"Elija la dirección de casa")</f>
        <v>Elija la dirección de casa</v>
      </c>
      <c r="M473" s="4" t="str">
        <f>IFERROR(__xludf.DUMMYFUNCTION("GOOGLETRANSLATE(B473,""en"",""iw"")"),"בחר כתובת בית")</f>
        <v>בחר כתובת בית</v>
      </c>
      <c r="N473" s="4" t="str">
        <f>IFERROR(__xludf.DUMMYFUNCTION("GOOGLETRANSLATE(B473,""en"",""bn"")"),"বাড়ির ঠিকানা বেছে নিন")</f>
        <v>বাড়ির ঠিকানা বেছে নিন</v>
      </c>
      <c r="O473" s="4" t="str">
        <f>IFERROR(__xludf.DUMMYFUNCTION("GOOGLETRANSLATE(B473,""en"",""pt"")"),"Escolha o endereço residencial")</f>
        <v>Escolha o endereço residencial</v>
      </c>
      <c r="P473" s="62"/>
    </row>
    <row r="474">
      <c r="A474" s="63" t="s">
        <v>1165</v>
      </c>
      <c r="B474" s="60" t="s">
        <v>1166</v>
      </c>
      <c r="C474" s="4" t="str">
        <f>IFERROR(__xludf.DUMMYFUNCTION("GOOGLETRANSLATE(B474,""en"",""hi"")"),"पता सफलतापूर्वक जोड़ा गया")</f>
        <v>पता सफलतापूर्वक जोड़ा गया</v>
      </c>
      <c r="D474" s="4" t="str">
        <f>IFERROR(__xludf.DUMMYFUNCTION("GOOGLETRANSLATE(B474,""en"",""ar"")"),"تمت إضافة العنوان بنجاح")</f>
        <v>تمت إضافة العنوان بنجاح</v>
      </c>
      <c r="E474" s="4" t="str">
        <f>IFERROR(__xludf.DUMMYFUNCTION("GOOGLETRANSLATE(B474,""en"",""fr"")"),"Adresse ajoutée avec succès")</f>
        <v>Adresse ajoutée avec succès</v>
      </c>
      <c r="F474" s="4" t="str">
        <f>IFERROR(__xludf.DUMMYFUNCTION("GOOGLETRANSLATE(B474,""en"",""tr"")"),"Adres Başarıyla Eklendi")</f>
        <v>Adres Başarıyla Eklendi</v>
      </c>
      <c r="G474" s="4" t="str">
        <f>IFERROR(__xludf.DUMMYFUNCTION("GOOGLETRANSLATE(B474,""en"",""ru"")"),"Адрес успешно добавлен")</f>
        <v>Адрес успешно добавлен</v>
      </c>
      <c r="H474" s="4" t="str">
        <f>IFERROR(__xludf.DUMMYFUNCTION("GOOGLETRANSLATE(B474,""en"",""it"")"),"Indirizzo aggiunto con successo")</f>
        <v>Indirizzo aggiunto con successo</v>
      </c>
      <c r="I474" s="4" t="str">
        <f>IFERROR(__xludf.DUMMYFUNCTION("GOOGLETRANSLATE(B474,""en"",""de"")"),"Adresse erfolgreich hinzugefügt")</f>
        <v>Adresse erfolgreich hinzugefügt</v>
      </c>
      <c r="J474" s="4" t="str">
        <f>IFERROR(__xludf.DUMMYFUNCTION("GOOGLETRANSLATE(B474,""en"",""ko"")"),"주소가 성공적으로 추가되었습니다")</f>
        <v>주소가 성공적으로 추가되었습니다</v>
      </c>
      <c r="K474" s="4" t="str">
        <f>IFERROR(__xludf.DUMMYFUNCTION("GOOGLETRANSLATE(B474,""en"",""zh"")"),"地址添加成功")</f>
        <v>地址添加成功</v>
      </c>
      <c r="L474" s="4" t="str">
        <f>IFERROR(__xludf.DUMMYFUNCTION("GOOGLETRANSLATE(B474,""en"",""es"")"),"Dirección agregada exitosamente")</f>
        <v>Dirección agregada exitosamente</v>
      </c>
      <c r="M474" s="4" t="str">
        <f>IFERROR(__xludf.DUMMYFUNCTION("GOOGLETRANSLATE(B474,""en"",""iw"")"),"כתובת נוספה בהצלחה")</f>
        <v>כתובת נוספה בהצלחה</v>
      </c>
      <c r="N474" s="4" t="str">
        <f>IFERROR(__xludf.DUMMYFUNCTION("GOOGLETRANSLATE(B474,""en"",""bn"")"),"ঠিকানা সফলভাবে যোগ করা হয়েছে")</f>
        <v>ঠিকানা সফলভাবে যোগ করা হয়েছে</v>
      </c>
      <c r="O474" s="4" t="str">
        <f>IFERROR(__xludf.DUMMYFUNCTION("GOOGLETRANSLATE(B474,""en"",""pt"")"),"Endereço adicionado com sucesso")</f>
        <v>Endereço adicionado com sucesso</v>
      </c>
      <c r="P474" s="62"/>
    </row>
    <row r="475">
      <c r="A475" s="63" t="s">
        <v>1167</v>
      </c>
      <c r="B475" s="60" t="s">
        <v>1168</v>
      </c>
      <c r="C475" s="4" t="str">
        <f>IFERROR(__xludf.DUMMYFUNCTION("GOOGLETRANSLATE(B475,""en"",""hi"")"),"आपका वर्तमान स्थान आपके घर के पते से 5 किमी से कम नहीं होना चाहिए")</f>
        <v>आपका वर्तमान स्थान आपके घर के पते से 5 किमी से कम नहीं होना चाहिए</v>
      </c>
      <c r="D475" s="4" t="str">
        <f>IFERROR(__xludf.DUMMYFUNCTION("GOOGLETRANSLATE(B475,""en"",""ar"")"),"يجب ألا يقل موقعك الحالي عن 5 كيلومترات من عنوان منزلك")</f>
        <v>يجب ألا يقل موقعك الحالي عن 5 كيلومترات من عنوان منزلك</v>
      </c>
      <c r="E475" s="4" t="str">
        <f>IFERROR(__xludf.DUMMYFUNCTION("GOOGLETRANSLATE(B475,""en"",""fr"")"),"Votre emplacement actuel ne doit pas être à moins de 5 km de votre adresse personnelle")</f>
        <v>Votre emplacement actuel ne doit pas être à moins de 5 km de votre adresse personnelle</v>
      </c>
      <c r="F475" s="4" t="str">
        <f>IFERROR(__xludf.DUMMYFUNCTION("GOOGLETRANSLATE(B475,""en"",""tr"")"),"Mevcut konumunuz ev adresinizden 5 km'den az olmamalıdır")</f>
        <v>Mevcut konumunuz ev adresinizden 5 km'den az olmamalıdır</v>
      </c>
      <c r="G475" s="4" t="str">
        <f>IFERROR(__xludf.DUMMYFUNCTION("GOOGLETRANSLATE(B475,""en"",""ru"")"),"Ваше текущее местоположение не должно находиться менее чем в 5 км от вашего домашнего адреса.")</f>
        <v>Ваше текущее местоположение не должно находиться менее чем в 5 км от вашего домашнего адреса.</v>
      </c>
      <c r="H475" s="4" t="str">
        <f>IFERROR(__xludf.DUMMYFUNCTION("GOOGLETRANSLATE(B475,""en"",""it"")"),"La tua posizione attuale non deve essere inferiore a 5 km dal tuo indirizzo di casa")</f>
        <v>La tua posizione attuale non deve essere inferiore a 5 km dal tuo indirizzo di casa</v>
      </c>
      <c r="I475" s="4" t="str">
        <f>IFERROR(__xludf.DUMMYFUNCTION("GOOGLETRANSLATE(B475,""en"",""de"")"),"Ihr aktueller Standort sollte nicht weniger als 5 km von Ihrer Wohnadresse entfernt sein")</f>
        <v>Ihr aktueller Standort sollte nicht weniger als 5 km von Ihrer Wohnadresse entfernt sein</v>
      </c>
      <c r="J475" s="4" t="str">
        <f>IFERROR(__xludf.DUMMYFUNCTION("GOOGLETRANSLATE(B475,""en"",""ko"")"),"현재 위치는 집 주소에서 5km 이상이어야 합니다.")</f>
        <v>현재 위치는 집 주소에서 5km 이상이어야 합니다.</v>
      </c>
      <c r="K475" s="4" t="str">
        <f>IFERROR(__xludf.DUMMYFUNCTION("GOOGLETRANSLATE(B475,""en"",""zh"")"),"您当前的位置距您的家庭住址不应少于5公里")</f>
        <v>您当前的位置距您的家庭住址不应少于5公里</v>
      </c>
      <c r="L475" s="4" t="str">
        <f>IFERROR(__xludf.DUMMYFUNCTION("GOOGLETRANSLATE(B475,""en"",""es"")"),"Su ubicación actual no debe estar a menos de 5 km de su domicilio")</f>
        <v>Su ubicación actual no debe estar a menos de 5 km de su domicilio</v>
      </c>
      <c r="M475" s="4" t="str">
        <f>IFERROR(__xludf.DUMMYFUNCTION("GOOGLETRANSLATE(B475,""en"",""iw"")"),"המיקום הנוכחי שלך לא צריך להיות פחות מ-5 ק""מ מכתובת הבית שלך")</f>
        <v>המיקום הנוכחי שלך לא צריך להיות פחות מ-5 ק"מ מכתובת הבית שלך</v>
      </c>
      <c r="N475" s="4" t="str">
        <f>IFERROR(__xludf.DUMMYFUNCTION("GOOGLETRANSLATE(B475,""en"",""bn"")"),"আপনার বর্তমান অবস্থান আপনার বাড়ির ঠিকানা থেকে 5 কিলোমিটারের কম হওয়া উচিত নয়৷")</f>
        <v>আপনার বর্তমান অবস্থান আপনার বাড়ির ঠিকানা থেকে 5 কিলোমিটারের কম হওয়া উচিত নয়৷</v>
      </c>
      <c r="O475" s="4" t="str">
        <f>IFERROR(__xludf.DUMMYFUNCTION("GOOGLETRANSLATE(B475,""en"",""pt"")"),"Sua localização atual não deve estar a menos de 5 km do seu endereço residencial")</f>
        <v>Sua localização atual não deve estar a menos de 5 km do seu endereço residencial</v>
      </c>
      <c r="P475" s="62"/>
    </row>
    <row r="476">
      <c r="A476" s="64" t="s">
        <v>1169</v>
      </c>
      <c r="B476" s="65" t="s">
        <v>1170</v>
      </c>
      <c r="C476" s="66" t="str">
        <f>IFERROR(__xludf.DUMMYFUNCTION("GOOGLETRANSLATE(B476,""en"",""hi"")"),"अंदर जाने का रास्ता")</f>
        <v>अंदर जाने का रास्ता</v>
      </c>
      <c r="D476" s="67" t="str">
        <f>IFERROR(__xludf.DUMMYFUNCTION("GOOGLETRANSLATE(B476,""en"",""ar"")"),"طريقة لإسقاط في")</f>
        <v>طريقة لإسقاط في</v>
      </c>
      <c r="E476" s="67" t="str">
        <f>IFERROR(__xludf.DUMMYFUNCTION("GOOGLETRANSLATE(B476,""en"",""fr"")"),"Façon de venir")</f>
        <v>Façon de venir</v>
      </c>
      <c r="F476" s="67" t="str">
        <f>IFERROR(__xludf.DUMMYFUNCTION("GOOGLETRANSLATE(B476,""en"",""tr"")"),"Girmenin Yolu")</f>
        <v>Girmenin Yolu</v>
      </c>
      <c r="G476" s="67" t="str">
        <f>IFERROR(__xludf.DUMMYFUNCTION("GOOGLETRANSLATE(B476,""en"",""ru"")"),"Способ зайти")</f>
        <v>Способ зайти</v>
      </c>
      <c r="H476" s="67" t="str">
        <f>IFERROR(__xludf.DUMMYFUNCTION("GOOGLETRANSLATE(B476,""en"",""it"")"),"Modo per entrare")</f>
        <v>Modo per entrare</v>
      </c>
      <c r="I476" s="67" t="str">
        <f>IFERROR(__xludf.DUMMYFUNCTION("GOOGLETRANSLATE(B476,""en"",""de"")"),"Möglichkeit vorbeizuschauen")</f>
        <v>Möglichkeit vorbeizuschauen</v>
      </c>
      <c r="J476" s="67" t="str">
        <f>IFERROR(__xludf.DUMMYFUNCTION("GOOGLETRANSLATE(B476,""en"",""ko"")"),"방문 방법")</f>
        <v>방문 방법</v>
      </c>
      <c r="K476" s="67" t="str">
        <f>IFERROR(__xludf.DUMMYFUNCTION("GOOGLETRANSLATE(B476,""en"",""zh"")"),"前往方式")</f>
        <v>前往方式</v>
      </c>
      <c r="L476" s="67" t="str">
        <f>IFERROR(__xludf.DUMMYFUNCTION("GOOGLETRANSLATE(B476,""en"",""es"")"),"Manera de entrar")</f>
        <v>Manera de entrar</v>
      </c>
      <c r="M476" s="66" t="str">
        <f>IFERROR(__xludf.DUMMYFUNCTION("GOOGLETRANSLATE(B476,""en"",""iw"")"),"דרך להיכנס")</f>
        <v>דרך להיכנס</v>
      </c>
      <c r="N476" s="67" t="str">
        <f>IFERROR(__xludf.DUMMYFUNCTION("GOOGLETRANSLATE(B476,""en"",""bn"")"),"ড্রপ ইন করার উপায়")</f>
        <v>ড্রপ ইন করার উপায়</v>
      </c>
      <c r="O476" s="4" t="str">
        <f>IFERROR(__xludf.DUMMYFUNCTION("GOOGLETRANSLATE(B476,""en"",""pt"")"),"Maneira de entrar")</f>
        <v>Maneira de entrar</v>
      </c>
      <c r="P476" s="62"/>
    </row>
    <row r="477">
      <c r="A477" s="68" t="s">
        <v>1171</v>
      </c>
      <c r="B477" s="60" t="s">
        <v>1172</v>
      </c>
      <c r="C477" s="66" t="str">
        <f>IFERROR(__xludf.DUMMYFUNCTION("GOOGLETRANSLATE(B477,""en"",""hi"")"),"कृपया वैध रेफरल कोड दर्ज करें")</f>
        <v>कृपया वैध रेफरल कोड दर्ज करें</v>
      </c>
      <c r="D477" s="67" t="str">
        <f>IFERROR(__xludf.DUMMYFUNCTION("GOOGLETRANSLATE(B477,""en"",""ar"")"),"الرجاء إدخال رمز الإحالة صالح")</f>
        <v>الرجاء إدخال رمز الإحالة صالح</v>
      </c>
      <c r="E477" s="67" t="str">
        <f>IFERROR(__xludf.DUMMYFUNCTION("GOOGLETRANSLATE(B477,""en"",""fr"")"),"Veuillez entrer un code de parrainage valide")</f>
        <v>Veuillez entrer un code de parrainage valide</v>
      </c>
      <c r="F477" s="67" t="str">
        <f>IFERROR(__xludf.DUMMYFUNCTION("GOOGLETRANSLATE(B477,""en"",""tr"")"),"Lütfen geçerli Referans Kodunu girin")</f>
        <v>Lütfen geçerli Referans Kodunu girin</v>
      </c>
      <c r="G477" s="67" t="str">
        <f>IFERROR(__xludf.DUMMYFUNCTION("GOOGLETRANSLATE(B477,""en"",""ru"")"),"Пожалуйста, введите действительный реферальный код")</f>
        <v>Пожалуйста, введите действительный реферальный код</v>
      </c>
      <c r="H477" s="67" t="str">
        <f>IFERROR(__xludf.DUMMYFUNCTION("GOOGLETRANSLATE(B477,""en"",""it"")"),"Inserisci un codice di riferimento valido")</f>
        <v>Inserisci un codice di riferimento valido</v>
      </c>
      <c r="I477" s="67" t="str">
        <f>IFERROR(__xludf.DUMMYFUNCTION("GOOGLETRANSLATE(B477,""en"",""de"")"),"Bitte geben Sie einen gültigen Empfehlungscode ein")</f>
        <v>Bitte geben Sie einen gültigen Empfehlungscode ein</v>
      </c>
      <c r="J477" s="67" t="str">
        <f>IFERROR(__xludf.DUMMYFUNCTION("GOOGLETRANSLATE(B477,""en"",""ko"")"),"유효한 추천 코드를 입력하세요")</f>
        <v>유효한 추천 코드를 입력하세요</v>
      </c>
      <c r="K477" s="67" t="str">
        <f>IFERROR(__xludf.DUMMYFUNCTION("GOOGLETRANSLATE(B477,""en"",""zh"")"),"请输入有效的推荐码")</f>
        <v>请输入有效的推荐码</v>
      </c>
      <c r="L477" s="67" t="str">
        <f>IFERROR(__xludf.DUMMYFUNCTION("GOOGLETRANSLATE(B477,""en"",""es"")"),"Por favor ingrese un código de referencia válido")</f>
        <v>Por favor ingrese un código de referencia válido</v>
      </c>
      <c r="M477" s="66" t="str">
        <f>IFERROR(__xludf.DUMMYFUNCTION("GOOGLETRANSLATE(B477,""en"",""iw"")"),"אנא הזן קוד הפניה חוקי")</f>
        <v>אנא הזן קוד הפניה חוקי</v>
      </c>
      <c r="N477" s="67" t="str">
        <f>IFERROR(__xludf.DUMMYFUNCTION("GOOGLETRANSLATE(B477,""en"",""bn"")"),"বৈধ রেফারেল কোড লিখুন")</f>
        <v>বৈধ রেফারেল কোড লিখুন</v>
      </c>
      <c r="O477" s="4" t="str">
        <f>IFERROR(__xludf.DUMMYFUNCTION("GOOGLETRANSLATE(B477,""en"",""pt"")"),"Insira um código de referência válido")</f>
        <v>Insira um código de referência válido</v>
      </c>
      <c r="P477" s="62"/>
    </row>
    <row r="478">
      <c r="A478" s="68" t="s">
        <v>1173</v>
      </c>
      <c r="B478" s="60" t="s">
        <v>1174</v>
      </c>
      <c r="C478" s="66" t="str">
        <f>IFERROR(__xludf.DUMMYFUNCTION("GOOGLETRANSLATE(B478,""en"",""hi"")"),"शिपमेंट लोड")</f>
        <v>शिपमेंट लोड</v>
      </c>
      <c r="D478" s="67" t="str">
        <f>IFERROR(__xludf.DUMMYFUNCTION("GOOGLETRANSLATE(B478,""en"",""ar"")"),"تحميل الشحنة")</f>
        <v>تحميل الشحنة</v>
      </c>
      <c r="E478" s="67" t="str">
        <f>IFERROR(__xludf.DUMMYFUNCTION("GOOGLETRANSLATE(B478,""en"",""fr"")"),"Charge d'expédition")</f>
        <v>Charge d'expédition</v>
      </c>
      <c r="F478" s="67" t="str">
        <f>IFERROR(__xludf.DUMMYFUNCTION("GOOGLETRANSLATE(B478,""en"",""tr"")"),"Gönderi Yükü")</f>
        <v>Gönderi Yükü</v>
      </c>
      <c r="G478" s="67" t="str">
        <f>IFERROR(__xludf.DUMMYFUNCTION("GOOGLETRANSLATE(B478,""en"",""ru"")"),"Загрузка груза")</f>
        <v>Загрузка груза</v>
      </c>
      <c r="H478" s="67" t="str">
        <f>IFERROR(__xludf.DUMMYFUNCTION("GOOGLETRANSLATE(B478,""en"",""it"")"),"Carico della spedizione")</f>
        <v>Carico della spedizione</v>
      </c>
      <c r="I478" s="67" t="str">
        <f>IFERROR(__xludf.DUMMYFUNCTION("GOOGLETRANSLATE(B478,""en"",""de"")"),"Sendungsladung")</f>
        <v>Sendungsladung</v>
      </c>
      <c r="J478" s="67" t="str">
        <f>IFERROR(__xludf.DUMMYFUNCTION("GOOGLETRANSLATE(B478,""en"",""ko"")"),"배송로드")</f>
        <v>배송로드</v>
      </c>
      <c r="K478" s="67" t="str">
        <f>IFERROR(__xludf.DUMMYFUNCTION("GOOGLETRANSLATE(B478,""en"",""zh"")"),"装运负载")</f>
        <v>装运负载</v>
      </c>
      <c r="L478" s="67" t="str">
        <f>IFERROR(__xludf.DUMMYFUNCTION("GOOGLETRANSLATE(B478,""en"",""es"")"),"Carga de envío")</f>
        <v>Carga de envío</v>
      </c>
      <c r="M478" s="66" t="str">
        <f>IFERROR(__xludf.DUMMYFUNCTION("GOOGLETRANSLATE(B478,""en"",""iw"")"),"עומס משלוח")</f>
        <v>עומס משלוח</v>
      </c>
      <c r="N478" s="67" t="str">
        <f>IFERROR(__xludf.DUMMYFUNCTION("GOOGLETRANSLATE(B478,""en"",""bn"")"),"চালান লোড")</f>
        <v>চালান লোড</v>
      </c>
      <c r="O478" s="4" t="str">
        <f>IFERROR(__xludf.DUMMYFUNCTION("GOOGLETRANSLATE(B478,""en"",""pt"")"),"Carga de Remessa")</f>
        <v>Carga de Remessa</v>
      </c>
      <c r="P478" s="62"/>
    </row>
    <row r="479">
      <c r="A479" s="68" t="s">
        <v>1175</v>
      </c>
      <c r="B479" s="60" t="s">
        <v>1176</v>
      </c>
      <c r="C479" s="66" t="str">
        <f>IFERROR(__xludf.DUMMYFUNCTION("GOOGLETRANSLATE(B479,""en"",""hi"")"),"शिपमेंट अनलोड")</f>
        <v>शिपमेंट अनलोड</v>
      </c>
      <c r="D479" s="67" t="str">
        <f>IFERROR(__xludf.DUMMYFUNCTION("GOOGLETRANSLATE(B479,""en"",""ar"")"),"تفريغ الشحنة")</f>
        <v>تفريغ الشحنة</v>
      </c>
      <c r="E479" s="67" t="str">
        <f>IFERROR(__xludf.DUMMYFUNCTION("GOOGLETRANSLATE(B479,""en"",""fr"")"),"Déchargement de l'envoi")</f>
        <v>Déchargement de l'envoi</v>
      </c>
      <c r="F479" s="67" t="str">
        <f>IFERROR(__xludf.DUMMYFUNCTION("GOOGLETRANSLATE(B479,""en"",""tr"")"),"Gönderi Boşaltma")</f>
        <v>Gönderi Boşaltma</v>
      </c>
      <c r="G479" s="67" t="str">
        <f>IFERROR(__xludf.DUMMYFUNCTION("GOOGLETRANSLATE(B479,""en"",""ru"")"),"Разгрузка груза")</f>
        <v>Разгрузка груза</v>
      </c>
      <c r="H479" s="67" t="str">
        <f>IFERROR(__xludf.DUMMYFUNCTION("GOOGLETRANSLATE(B479,""en"",""it"")"),"Scarico della spedizione")</f>
        <v>Scarico della spedizione</v>
      </c>
      <c r="I479" s="67" t="str">
        <f>IFERROR(__xludf.DUMMYFUNCTION("GOOGLETRANSLATE(B479,""en"",""de"")"),"Sendung entladen")</f>
        <v>Sendung entladen</v>
      </c>
      <c r="J479" s="67" t="str">
        <f>IFERROR(__xludf.DUMMYFUNCTION("GOOGLETRANSLATE(B479,""en"",""ko"")"),"배송 하역")</f>
        <v>배송 하역</v>
      </c>
      <c r="K479" s="67" t="str">
        <f>IFERROR(__xludf.DUMMYFUNCTION("GOOGLETRANSLATE(B479,""en"",""zh"")"),"卸货")</f>
        <v>卸货</v>
      </c>
      <c r="L479" s="67" t="str">
        <f>IFERROR(__xludf.DUMMYFUNCTION("GOOGLETRANSLATE(B479,""en"",""es"")"),"Descarga del envío")</f>
        <v>Descarga del envío</v>
      </c>
      <c r="M479" s="66" t="str">
        <f>IFERROR(__xludf.DUMMYFUNCTION("GOOGLETRANSLATE(B479,""en"",""iw"")"),"פריקת המשלוח")</f>
        <v>פריקת המשלוח</v>
      </c>
      <c r="N479" s="67" t="str">
        <f>IFERROR(__xludf.DUMMYFUNCTION("GOOGLETRANSLATE(B479,""en"",""bn"")"),"চালান আনলোড")</f>
        <v>চালান আনলোড</v>
      </c>
      <c r="O479" s="4" t="str">
        <f>IFERROR(__xludf.DUMMYFUNCTION("GOOGLETRANSLATE(B479,""en"",""pt"")"),"Descarga de Remessa")</f>
        <v>Descarga de Remessa</v>
      </c>
      <c r="P479" s="62"/>
    </row>
    <row r="480">
      <c r="A480" s="68" t="s">
        <v>1177</v>
      </c>
      <c r="B480" s="60" t="s">
        <v>1178</v>
      </c>
      <c r="C480" s="66" t="str">
        <f>IFERROR(__xludf.DUMMYFUNCTION("GOOGLETRANSLATE(B480,""en"",""hi"")"),"निर्देश")</f>
        <v>निर्देश</v>
      </c>
      <c r="D480" s="67" t="str">
        <f>IFERROR(__xludf.DUMMYFUNCTION("GOOGLETRANSLATE(B480,""en"",""ar"")"),"تعليمات")</f>
        <v>تعليمات</v>
      </c>
      <c r="E480" s="67" t="str">
        <f>IFERROR(__xludf.DUMMYFUNCTION("GOOGLETRANSLATE(B480,""en"",""fr"")"),"Instructions")</f>
        <v>Instructions</v>
      </c>
      <c r="F480" s="67" t="str">
        <f>IFERROR(__xludf.DUMMYFUNCTION("GOOGLETRANSLATE(B480,""en"",""tr"")"),"Talimatlar")</f>
        <v>Talimatlar</v>
      </c>
      <c r="G480" s="67" t="str">
        <f>IFERROR(__xludf.DUMMYFUNCTION("GOOGLETRANSLATE(B480,""en"",""ru"")"),"инструкции")</f>
        <v>инструкции</v>
      </c>
      <c r="H480" s="67" t="str">
        <f>IFERROR(__xludf.DUMMYFUNCTION("GOOGLETRANSLATE(B480,""en"",""it"")"),"Istruzioni")</f>
        <v>Istruzioni</v>
      </c>
      <c r="I480" s="67" t="str">
        <f>IFERROR(__xludf.DUMMYFUNCTION("GOOGLETRANSLATE(B480,""en"",""de"")"),"Anweisungen")</f>
        <v>Anweisungen</v>
      </c>
      <c r="J480" s="67" t="str">
        <f>IFERROR(__xludf.DUMMYFUNCTION("GOOGLETRANSLATE(B480,""en"",""ko"")"),"지침")</f>
        <v>지침</v>
      </c>
      <c r="K480" s="67" t="str">
        <f>IFERROR(__xludf.DUMMYFUNCTION("GOOGLETRANSLATE(B480,""en"",""zh"")"),"指示")</f>
        <v>指示</v>
      </c>
      <c r="L480" s="67" t="str">
        <f>IFERROR(__xludf.DUMMYFUNCTION("GOOGLETRANSLATE(B480,""en"",""es"")"),"Instrucciones")</f>
        <v>Instrucciones</v>
      </c>
      <c r="M480" s="66" t="str">
        <f>IFERROR(__xludf.DUMMYFUNCTION("GOOGLETRANSLATE(B480,""en"",""iw"")"),"הוראות")</f>
        <v>הוראות</v>
      </c>
      <c r="N480" s="67" t="str">
        <f>IFERROR(__xludf.DUMMYFUNCTION("GOOGLETRANSLATE(B480,""en"",""bn"")"),"নির্দেশনা")</f>
        <v>নির্দেশনা</v>
      </c>
      <c r="O480" s="4" t="str">
        <f>IFERROR(__xludf.DUMMYFUNCTION("GOOGLETRANSLATE(B480,""en"",""pt"")"),"Instruções")</f>
        <v>Instruções</v>
      </c>
      <c r="P480" s="62"/>
    </row>
    <row r="481">
      <c r="A481" s="68" t="s">
        <v>1179</v>
      </c>
      <c r="B481" s="60" t="s">
        <v>1180</v>
      </c>
      <c r="C481" s="66" t="str">
        <f>IFERROR(__xludf.DUMMYFUNCTION("GOOGLETRANSLATE(B481,""en"",""hi"")"),"निर्देश जोड़ें")</f>
        <v>निर्देश जोड़ें</v>
      </c>
      <c r="D481" s="67" t="str">
        <f>IFERROR(__xludf.DUMMYFUNCTION("GOOGLETRANSLATE(B481,""en"",""ar"")"),"إضافة تعليمات")</f>
        <v>إضافة تعليمات</v>
      </c>
      <c r="E481" s="67" t="str">
        <f>IFERROR(__xludf.DUMMYFUNCTION("GOOGLETRANSLATE(B481,""en"",""fr"")"),"Ajouter des instructions")</f>
        <v>Ajouter des instructions</v>
      </c>
      <c r="F481" s="67" t="str">
        <f>IFERROR(__xludf.DUMMYFUNCTION("GOOGLETRANSLATE(B481,""en"",""tr"")"),"Talimat Ekle")</f>
        <v>Talimat Ekle</v>
      </c>
      <c r="G481" s="67" t="str">
        <f>IFERROR(__xludf.DUMMYFUNCTION("GOOGLETRANSLATE(B481,""en"",""ru"")"),"Добавить инструкции")</f>
        <v>Добавить инструкции</v>
      </c>
      <c r="H481" s="67" t="str">
        <f>IFERROR(__xludf.DUMMYFUNCTION("GOOGLETRANSLATE(B481,""en"",""it"")"),"Aggiungi istruzioni")</f>
        <v>Aggiungi istruzioni</v>
      </c>
      <c r="I481" s="67" t="str">
        <f>IFERROR(__xludf.DUMMYFUNCTION("GOOGLETRANSLATE(B481,""en"",""de"")"),"Anweisungen hinzufügen")</f>
        <v>Anweisungen hinzufügen</v>
      </c>
      <c r="J481" s="67" t="str">
        <f>IFERROR(__xludf.DUMMYFUNCTION("GOOGLETRANSLATE(B481,""en"",""ko"")"),"지침 추가")</f>
        <v>지침 추가</v>
      </c>
      <c r="K481" s="67" t="str">
        <f>IFERROR(__xludf.DUMMYFUNCTION("GOOGLETRANSLATE(B481,""en"",""zh"")"),"添加说明")</f>
        <v>添加说明</v>
      </c>
      <c r="L481" s="67" t="str">
        <f>IFERROR(__xludf.DUMMYFUNCTION("GOOGLETRANSLATE(B481,""en"",""es"")"),"Agregar instrucciones")</f>
        <v>Agregar instrucciones</v>
      </c>
      <c r="M481" s="66" t="str">
        <f>IFERROR(__xludf.DUMMYFUNCTION("GOOGLETRANSLATE(B481,""en"",""iw"")"),"הוסף הוראות")</f>
        <v>הוסף הוראות</v>
      </c>
      <c r="N481" s="67" t="str">
        <f>IFERROR(__xludf.DUMMYFUNCTION("GOOGLETRANSLATE(B481,""en"",""bn"")"),"নির্দেশাবলী যোগ করুন")</f>
        <v>নির্দেশাবলী যোগ করুন</v>
      </c>
      <c r="O481" s="4" t="str">
        <f>IFERROR(__xludf.DUMMYFUNCTION("GOOGLETRANSLATE(B481,""en"",""pt"")"),"Adicionar instruções")</f>
        <v>Adicionar instruções</v>
      </c>
      <c r="P481" s="62"/>
    </row>
    <row r="482">
      <c r="A482" s="68" t="s">
        <v>1181</v>
      </c>
      <c r="B482" s="60" t="s">
        <v>1182</v>
      </c>
      <c r="C482" s="66" t="str">
        <f>IFERROR(__xludf.DUMMYFUNCTION("GOOGLETRANSLATE(B482,""en"",""hi"")"),"स्विच एड्रेस स्थिति के लिए देर तक दबाकर रखें")</f>
        <v>स्विच एड्रेस स्थिति के लिए देर तक दबाकर रखें</v>
      </c>
      <c r="D482" s="67" t="str">
        <f>IFERROR(__xludf.DUMMYFUNCTION("GOOGLETRANSLATE(B482,""en"",""ar"")"),"اضغط لفترة طويلة وانتقل إلى موضع عنوان التبديل")</f>
        <v>اضغط لفترة طويلة وانتقل إلى موضع عنوان التبديل</v>
      </c>
      <c r="E482" s="67" t="str">
        <f>IFERROR(__xludf.DUMMYFUNCTION("GOOGLETRANSLATE(B482,""en"",""fr"")"),"Appuyez longuement et déplacez pour changer la position de l'adresse")</f>
        <v>Appuyez longuement et déplacez pour changer la position de l'adresse</v>
      </c>
      <c r="F482" s="67" t="str">
        <f>IFERROR(__xludf.DUMMYFUNCTION("GOOGLETRANSLATE(B482,""en"",""tr"")"),"Anahtar adresi konumu için uzun basın ve hareket ettirin")</f>
        <v>Anahtar adresi konumu için uzun basın ve hareket ettirin</v>
      </c>
      <c r="G482" s="67" t="str">
        <f>IFERROR(__xludf.DUMMYFUNCTION("GOOGLETRANSLATE(B482,""en"",""ru"")"),"Длительное нажатие и перемещение для положения адреса переключателя")</f>
        <v>Длительное нажатие и перемещение для положения адреса переключателя</v>
      </c>
      <c r="H482" s="67" t="str">
        <f>IFERROR(__xludf.DUMMYFUNCTION("GOOGLETRANSLATE(B482,""en"",""it"")"),"Premere a lungo e spostarsi per cambiare la posizione dell'indirizzo")</f>
        <v>Premere a lungo e spostarsi per cambiare la posizione dell'indirizzo</v>
      </c>
      <c r="I482" s="67" t="str">
        <f>IFERROR(__xludf.DUMMYFUNCTION("GOOGLETRANSLATE(B482,""en"",""de"")"),"Langes Drücken und Bewegen zur Position der Schalteradresse")</f>
        <v>Langes Drücken und Bewegen zur Position der Schalteradresse</v>
      </c>
      <c r="J482" s="67" t="str">
        <f>IFERROR(__xludf.DUMMYFUNCTION("GOOGLETRANSLATE(B482,""en"",""ko"")"),"스위치 주소 위치를 길게 누르고 이동하세요.")</f>
        <v>스위치 주소 위치를 길게 누르고 이동하세요.</v>
      </c>
      <c r="K482" s="67" t="str">
        <f>IFERROR(__xludf.DUMMYFUNCTION("GOOGLETRANSLATE(B482,""en"",""zh"")"),"长按并移动切换地址位置")</f>
        <v>长按并移动切换地址位置</v>
      </c>
      <c r="L482" s="67" t="str">
        <f>IFERROR(__xludf.DUMMYFUNCTION("GOOGLETRANSLATE(B482,""en"",""es"")"),"Mantenga presionado y mueva para cambiar la posición de la dirección")</f>
        <v>Mantenga presionado y mueva para cambiar la posición de la dirección</v>
      </c>
      <c r="M482" s="66" t="str">
        <f>IFERROR(__xludf.DUMMYFUNCTION("GOOGLETRANSLATE(B482,""en"",""iw"")"),"לחץ לחיצה ארוכה והזז עבור מיקום כתובת מתג")</f>
        <v>לחץ לחיצה ארוכה והזז עבור מיקום כתובת מתג</v>
      </c>
      <c r="N482" s="67" t="str">
        <f>IFERROR(__xludf.DUMMYFUNCTION("GOOGLETRANSLATE(B482,""en"",""bn"")"),"দীর্ঘক্ষণ টিপুন এবং সুইচ ঠিকানা অবস্থানের জন্য সরান")</f>
        <v>দীর্ঘক্ষণ টিপুন এবং সুইচ ঠিকানা অবস্থানের জন্য সরান</v>
      </c>
      <c r="O482" s="4" t="str">
        <f>IFERROR(__xludf.DUMMYFUNCTION("GOOGLETRANSLATE(B482,""en"",""pt"")"),"Pressione longamente e mova para a posição do endereço do switch")</f>
        <v>Pressione longamente e mova para a posição do endereço do switch</v>
      </c>
      <c r="P482" s="62"/>
    </row>
    <row r="483">
      <c r="A483" s="68" t="s">
        <v>1183</v>
      </c>
      <c r="B483" s="69" t="s">
        <v>1184</v>
      </c>
      <c r="C483" s="66" t="str">
        <f>IFERROR(__xludf.DUMMYFUNCTION("GOOGLETRANSLATE(B483,""en"",""hi"")"),"नेविगेशन के लिए पता चुनें")</f>
        <v>नेविगेशन के लिए पता चुनें</v>
      </c>
      <c r="D483" s="67" t="str">
        <f>IFERROR(__xludf.DUMMYFUNCTION("GOOGLETRANSLATE(B483,""en"",""ar"")"),"اختر عنوانًا للملاحة")</f>
        <v>اختر عنوانًا للملاحة</v>
      </c>
      <c r="E483" s="67" t="str">
        <f>IFERROR(__xludf.DUMMYFUNCTION("GOOGLETRANSLATE(B483,""en"",""fr"")"),"Choisissez l'adresse pour la navigation")</f>
        <v>Choisissez l'adresse pour la navigation</v>
      </c>
      <c r="F483" s="67" t="str">
        <f>IFERROR(__xludf.DUMMYFUNCTION("GOOGLETRANSLATE(B483,""en"",""tr"")"),"Gezinme için Adres Seçin")</f>
        <v>Gezinme için Adres Seçin</v>
      </c>
      <c r="G483" s="67" t="str">
        <f>IFERROR(__xludf.DUMMYFUNCTION("GOOGLETRANSLATE(B483,""en"",""ru"")"),"Выберите адрес для навигации")</f>
        <v>Выберите адрес для навигации</v>
      </c>
      <c r="H483" s="67" t="str">
        <f>IFERROR(__xludf.DUMMYFUNCTION("GOOGLETRANSLATE(B483,""en"",""it"")"),"Scegli l'indirizzo per la navigazione")</f>
        <v>Scegli l'indirizzo per la navigazione</v>
      </c>
      <c r="I483" s="67" t="str">
        <f>IFERROR(__xludf.DUMMYFUNCTION("GOOGLETRANSLATE(B483,""en"",""de"")"),"Wählen Sie Adresse für die Navigation")</f>
        <v>Wählen Sie Adresse für die Navigation</v>
      </c>
      <c r="J483" s="67" t="str">
        <f>IFERROR(__xludf.DUMMYFUNCTION("GOOGLETRANSLATE(B483,""en"",""ko"")"),"내비게이션 주소 선택")</f>
        <v>내비게이션 주소 선택</v>
      </c>
      <c r="K483" s="67" t="str">
        <f>IFERROR(__xludf.DUMMYFUNCTION("GOOGLETRANSLATE(B483,""en"",""zh"")"),"选择导航地址")</f>
        <v>选择导航地址</v>
      </c>
      <c r="L483" s="67" t="str">
        <f>IFERROR(__xludf.DUMMYFUNCTION("GOOGLETRANSLATE(B483,""en"",""es"")"),"Elija la dirección para la navegación")</f>
        <v>Elija la dirección para la navegación</v>
      </c>
      <c r="M483" s="66" t="str">
        <f>IFERROR(__xludf.DUMMYFUNCTION("GOOGLETRANSLATE(B483,""en"",""iw"")"),"בחר כתובת לניווט")</f>
        <v>בחר כתובת לניווט</v>
      </c>
      <c r="N483" s="67" t="str">
        <f>IFERROR(__xludf.DUMMYFUNCTION("GOOGLETRANSLATE(B483,""en"",""bn"")"),"নেভিগেশন জন্য ঠিকানা নির্বাচন করুন")</f>
        <v>নেভিগেশন জন্য ঠিকানা নির্বাচন করুন</v>
      </c>
      <c r="O483" s="4" t="str">
        <f>IFERROR(__xludf.DUMMYFUNCTION("GOOGLETRANSLATE(B483,""en"",""pt"")"),"Escolha o endereço para navegação")</f>
        <v>Escolha o endereço para navegação</v>
      </c>
      <c r="P483" s="62"/>
    </row>
    <row r="484">
      <c r="A484" s="68" t="s">
        <v>1185</v>
      </c>
      <c r="B484" s="69" t="s">
        <v>1186</v>
      </c>
      <c r="C484" s="66" t="str">
        <f>IFERROR(__xludf.DUMMYFUNCTION("GOOGLETRANSLATE(B484,""en"",""hi"")"),"हस्ताक्षर")</f>
        <v>हस्ताक्षर</v>
      </c>
      <c r="D484" s="67" t="str">
        <f>IFERROR(__xludf.DUMMYFUNCTION("GOOGLETRANSLATE(B484,""en"",""ar"")"),"إمضاء")</f>
        <v>إمضاء</v>
      </c>
      <c r="E484" s="67" t="str">
        <f>IFERROR(__xludf.DUMMYFUNCTION("GOOGLETRANSLATE(B484,""en"",""fr"")"),"Signature")</f>
        <v>Signature</v>
      </c>
      <c r="F484" s="67" t="str">
        <f>IFERROR(__xludf.DUMMYFUNCTION("GOOGLETRANSLATE(B484,""en"",""tr"")"),"İmza")</f>
        <v>İmza</v>
      </c>
      <c r="G484" s="67" t="str">
        <f>IFERROR(__xludf.DUMMYFUNCTION("GOOGLETRANSLATE(B484,""en"",""ru"")"),"Подпись")</f>
        <v>Подпись</v>
      </c>
      <c r="H484" s="67" t="str">
        <f>IFERROR(__xludf.DUMMYFUNCTION("GOOGLETRANSLATE(B484,""en"",""it"")"),"Firma")</f>
        <v>Firma</v>
      </c>
      <c r="I484" s="67" t="str">
        <f>IFERROR(__xludf.DUMMYFUNCTION("GOOGLETRANSLATE(B484,""en"",""de"")"),"Unterschrift")</f>
        <v>Unterschrift</v>
      </c>
      <c r="J484" s="67" t="str">
        <f>IFERROR(__xludf.DUMMYFUNCTION("GOOGLETRANSLATE(B484,""en"",""ko"")"),"서명")</f>
        <v>서명</v>
      </c>
      <c r="K484" s="67" t="str">
        <f>IFERROR(__xludf.DUMMYFUNCTION("GOOGLETRANSLATE(B484,""en"",""zh"")"),"签名")</f>
        <v>签名</v>
      </c>
      <c r="L484" s="67" t="str">
        <f>IFERROR(__xludf.DUMMYFUNCTION("GOOGLETRANSLATE(B484,""en"",""es"")"),"Firma")</f>
        <v>Firma</v>
      </c>
      <c r="M484" s="66" t="str">
        <f>IFERROR(__xludf.DUMMYFUNCTION("GOOGLETRANSLATE(B484,""en"",""iw"")"),"חֲתִימָה")</f>
        <v>חֲתִימָה</v>
      </c>
      <c r="N484" s="67" t="str">
        <f>IFERROR(__xludf.DUMMYFUNCTION("GOOGLETRANSLATE(B484,""en"",""bn"")"),"স্বাক্ষর")</f>
        <v>স্বাক্ষর</v>
      </c>
      <c r="O484" s="4" t="str">
        <f>IFERROR(__xludf.DUMMYFUNCTION("GOOGLETRANSLATE(B484,""en"",""pt"")"),"Assinatura")</f>
        <v>Assinatura</v>
      </c>
      <c r="P484" s="62"/>
    </row>
    <row r="485">
      <c r="A485" s="68" t="s">
        <v>1187</v>
      </c>
      <c r="B485" s="69" t="s">
        <v>1188</v>
      </c>
      <c r="C485" s="66" t="str">
        <f>IFERROR(__xludf.DUMMYFUNCTION("GOOGLETRANSLATE(B485,""en"",""hi"")"),"पुन: प्रयास करें")</f>
        <v>पुन: प्रयास करें</v>
      </c>
      <c r="D485" s="67" t="str">
        <f>IFERROR(__xludf.DUMMYFUNCTION("GOOGLETRANSLATE(B485,""en"",""ar"")"),"أعد المحاولة")</f>
        <v>أعد المحاولة</v>
      </c>
      <c r="E485" s="67" t="str">
        <f>IFERROR(__xludf.DUMMYFUNCTION("GOOGLETRANSLATE(B485,""en"",""fr"")"),"Recommencez")</f>
        <v>Recommencez</v>
      </c>
      <c r="F485" s="67" t="str">
        <f>IFERROR(__xludf.DUMMYFUNCTION("GOOGLETRANSLATE(B485,""en"",""tr"")"),"Yeniden dene")</f>
        <v>Yeniden dene</v>
      </c>
      <c r="G485" s="67" t="str">
        <f>IFERROR(__xludf.DUMMYFUNCTION("GOOGLETRANSLATE(B485,""en"",""ru"")"),"Повторить попытку")</f>
        <v>Повторить попытку</v>
      </c>
      <c r="H485" s="67" t="str">
        <f>IFERROR(__xludf.DUMMYFUNCTION("GOOGLETRANSLATE(B485,""en"",""it"")"),"Riprova")</f>
        <v>Riprova</v>
      </c>
      <c r="I485" s="67" t="str">
        <f>IFERROR(__xludf.DUMMYFUNCTION("GOOGLETRANSLATE(B485,""en"",""de"")"),"Wiederholen")</f>
        <v>Wiederholen</v>
      </c>
      <c r="J485" s="67" t="str">
        <f>IFERROR(__xludf.DUMMYFUNCTION("GOOGLETRANSLATE(B485,""en"",""ko"")"),"다시 해 보다")</f>
        <v>다시 해 보다</v>
      </c>
      <c r="K485" s="67" t="str">
        <f>IFERROR(__xludf.DUMMYFUNCTION("GOOGLETRANSLATE(B485,""en"",""zh"")"),"重试")</f>
        <v>重试</v>
      </c>
      <c r="L485" s="67" t="str">
        <f>IFERROR(__xludf.DUMMYFUNCTION("GOOGLETRANSLATE(B485,""en"",""es"")"),"Rever")</f>
        <v>Rever</v>
      </c>
      <c r="M485" s="66" t="str">
        <f>IFERROR(__xludf.DUMMYFUNCTION("GOOGLETRANSLATE(B485,""en"",""iw"")"),"נסה שוב")</f>
        <v>נסה שוב</v>
      </c>
      <c r="N485" s="67" t="str">
        <f>IFERROR(__xludf.DUMMYFUNCTION("GOOGLETRANSLATE(B485,""en"",""bn"")"),"পুনরায় চেষ্টা করা")</f>
        <v>পুনরায় চেষ্টা করা</v>
      </c>
      <c r="O485" s="4" t="str">
        <f>IFERROR(__xludf.DUMMYFUNCTION("GOOGLETRANSLATE(B485,""en"",""pt"")"),"Tentar novamente")</f>
        <v>Tentar novamente</v>
      </c>
      <c r="P485" s="62"/>
    </row>
    <row r="486">
      <c r="A486" s="68" t="s">
        <v>1189</v>
      </c>
      <c r="B486" s="60" t="s">
        <v>1190</v>
      </c>
      <c r="C486" s="66" t="str">
        <f>IFERROR(__xludf.DUMMYFUNCTION("GOOGLETRANSLATE(B486,""en"",""hi"")"),"स्थान चुनने की पुष्टि करें")</f>
        <v>स्थान चुनने की पुष्टि करें</v>
      </c>
      <c r="D486" s="67" t="str">
        <f>IFERROR(__xludf.DUMMYFUNCTION("GOOGLETRANSLATE(B486,""en"",""ar"")"),"تأكيد اختيار الموقع")</f>
        <v>تأكيد اختيار الموقع</v>
      </c>
      <c r="E486" s="67" t="str">
        <f>IFERROR(__xludf.DUMMYFUNCTION("GOOGLETRANSLATE(B486,""en"",""fr"")"),"Confirmer le lieu de prélèvement")</f>
        <v>Confirmer le lieu de prélèvement</v>
      </c>
      <c r="F486" s="67" t="str">
        <f>IFERROR(__xludf.DUMMYFUNCTION("GOOGLETRANSLATE(B486,""en"",""tr"")"),"Konum Seçimini Onayla")</f>
        <v>Konum Seçimini Onayla</v>
      </c>
      <c r="G486" s="67" t="str">
        <f>IFERROR(__xludf.DUMMYFUNCTION("GOOGLETRANSLATE(B486,""en"",""ru"")"),"Подтвердить выбор места")</f>
        <v>Подтвердить выбор места</v>
      </c>
      <c r="H486" s="67" t="str">
        <f>IFERROR(__xludf.DUMMYFUNCTION("GOOGLETRANSLATE(B486,""en"",""it"")"),"Conferma la posizione di prelievo")</f>
        <v>Conferma la posizione di prelievo</v>
      </c>
      <c r="I486" s="67" t="str">
        <f>IFERROR(__xludf.DUMMYFUNCTION("GOOGLETRANSLATE(B486,""en"",""de"")"),"Bestätigen Sie den Auswahlort")</f>
        <v>Bestätigen Sie den Auswahlort</v>
      </c>
      <c r="J486" s="67" t="str">
        <f>IFERROR(__xludf.DUMMYFUNCTION("GOOGLETRANSLATE(B486,""en"",""ko"")"),"픽업 위치 확인")</f>
        <v>픽업 위치 확인</v>
      </c>
      <c r="K486" s="67" t="str">
        <f>IFERROR(__xludf.DUMMYFUNCTION("GOOGLETRANSLATE(B486,""en"",""zh"")"),"确认挑选地点")</f>
        <v>确认挑选地点</v>
      </c>
      <c r="L486" s="67" t="str">
        <f>IFERROR(__xludf.DUMMYFUNCTION("GOOGLETRANSLATE(B486,""en"",""es"")"),"Confirmar ubicación de elección")</f>
        <v>Confirmar ubicación de elección</v>
      </c>
      <c r="M486" s="66" t="str">
        <f>IFERROR(__xludf.DUMMYFUNCTION("GOOGLETRANSLATE(B486,""en"",""iw"")"),"אשר את בחירת מיקום")</f>
        <v>אשר את בחירת מיקום</v>
      </c>
      <c r="N486" s="67" t="str">
        <f>IFERROR(__xludf.DUMMYFUNCTION("GOOGLETRANSLATE(B486,""en"",""bn"")"),"পিক অবস্থান নিশ্চিত করুন")</f>
        <v>পিক অবস্থান নিশ্চিত করুন</v>
      </c>
      <c r="O486" s="4" t="str">
        <f>IFERROR(__xludf.DUMMYFUNCTION("GOOGLETRANSLATE(B486,""en"",""pt"")"),"Confirmar local de seleção")</f>
        <v>Confirmar local de seleção</v>
      </c>
      <c r="P486" s="62"/>
    </row>
    <row r="487">
      <c r="A487" s="68" t="s">
        <v>1191</v>
      </c>
      <c r="B487" s="60" t="s">
        <v>1192</v>
      </c>
      <c r="C487" s="66" t="str">
        <f>IFERROR(__xludf.DUMMYFUNCTION("GOOGLETRANSLATE(B487,""en"",""hi"")"),"ड्रॉप स्थान की पुष्टि करें")</f>
        <v>ड्रॉप स्थान की पुष्टि करें</v>
      </c>
      <c r="D487" s="67" t="str">
        <f>IFERROR(__xludf.DUMMYFUNCTION("GOOGLETRANSLATE(B487,""en"",""ar"")"),"تأكيد موقع الإسقاط")</f>
        <v>تأكيد موقع الإسقاط</v>
      </c>
      <c r="E487" s="67" t="str">
        <f>IFERROR(__xludf.DUMMYFUNCTION("GOOGLETRANSLATE(B487,""en"",""fr"")"),"Confirmer l'emplacement de dépôt")</f>
        <v>Confirmer l'emplacement de dépôt</v>
      </c>
      <c r="F487" s="67" t="str">
        <f>IFERROR(__xludf.DUMMYFUNCTION("GOOGLETRANSLATE(B487,""en"",""tr"")"),"Bırakma Konumunu Onaylayın")</f>
        <v>Bırakma Konumunu Onaylayın</v>
      </c>
      <c r="G487" s="67" t="str">
        <f>IFERROR(__xludf.DUMMYFUNCTION("GOOGLETRANSLATE(B487,""en"",""ru"")"),"Подтвердите место сброса")</f>
        <v>Подтвердите место сброса</v>
      </c>
      <c r="H487" s="67" t="str">
        <f>IFERROR(__xludf.DUMMYFUNCTION("GOOGLETRANSLATE(B487,""en"",""it"")"),"Conferma la posizione di rilascio")</f>
        <v>Conferma la posizione di rilascio</v>
      </c>
      <c r="I487" s="67" t="str">
        <f>IFERROR(__xludf.DUMMYFUNCTION("GOOGLETRANSLATE(B487,""en"",""de"")"),"Bestätigen Sie den Ablageort")</f>
        <v>Bestätigen Sie den Ablageort</v>
      </c>
      <c r="J487" s="67" t="str">
        <f>IFERROR(__xludf.DUMMYFUNCTION("GOOGLETRANSLATE(B487,""en"",""ko"")"),"드롭 위치 확인")</f>
        <v>드롭 위치 확인</v>
      </c>
      <c r="K487" s="67" t="str">
        <f>IFERROR(__xludf.DUMMYFUNCTION("GOOGLETRANSLATE(B487,""en"",""zh"")"),"确认投放地点")</f>
        <v>确认投放地点</v>
      </c>
      <c r="L487" s="67" t="str">
        <f>IFERROR(__xludf.DUMMYFUNCTION("GOOGLETRANSLATE(B487,""en"",""es"")"),"Confirmar ubicación de entrega")</f>
        <v>Confirmar ubicación de entrega</v>
      </c>
      <c r="M487" s="66" t="str">
        <f>IFERROR(__xludf.DUMMYFUNCTION("GOOGLETRANSLATE(B487,""en"",""iw"")"),"אשר את מיקום ההורדה")</f>
        <v>אשר את מיקום ההורדה</v>
      </c>
      <c r="N487" s="67" t="str">
        <f>IFERROR(__xludf.DUMMYFUNCTION("GOOGLETRANSLATE(B487,""en"",""bn"")"),"ড্রপ অবস্থান নিশ্চিত করুন")</f>
        <v>ড্রপ অবস্থান নিশ্চিত করুন</v>
      </c>
      <c r="O487" s="4" t="str">
        <f>IFERROR(__xludf.DUMMYFUNCTION("GOOGLETRANSLATE(B487,""en"",""pt"")"),"Confirmar local de entrega")</f>
        <v>Confirmar local de entrega</v>
      </c>
      <c r="P487" s="62"/>
    </row>
    <row r="488">
      <c r="A488" s="68" t="s">
        <v>1193</v>
      </c>
      <c r="B488" s="60" t="s">
        <v>1194</v>
      </c>
      <c r="C488" s="66" t="str">
        <f>IFERROR(__xludf.DUMMYFUNCTION("GOOGLETRANSLATE(B488,""en"",""hi"")"),"नये स्थान की पुष्टि करें")</f>
        <v>नये स्थान की पुष्टि करें</v>
      </c>
      <c r="D488" s="67" t="str">
        <f>IFERROR(__xludf.DUMMYFUNCTION("GOOGLETRANSLATE(B488,""en"",""ar"")"),"تأكيد الموقع الجديد")</f>
        <v>تأكيد الموقع الجديد</v>
      </c>
      <c r="E488" s="67" t="str">
        <f>IFERROR(__xludf.DUMMYFUNCTION("GOOGLETRANSLATE(B488,""en"",""fr"")"),"Confirmer le nouvel emplacement")</f>
        <v>Confirmer le nouvel emplacement</v>
      </c>
      <c r="F488" s="67" t="str">
        <f>IFERROR(__xludf.DUMMYFUNCTION("GOOGLETRANSLATE(B488,""en"",""tr"")"),"Yeni Konumu Onayla")</f>
        <v>Yeni Konumu Onayla</v>
      </c>
      <c r="G488" s="67" t="str">
        <f>IFERROR(__xludf.DUMMYFUNCTION("GOOGLETRANSLATE(B488,""en"",""ru"")"),"Подтвердить новое местоположение")</f>
        <v>Подтвердить новое местоположение</v>
      </c>
      <c r="H488" s="67" t="str">
        <f>IFERROR(__xludf.DUMMYFUNCTION("GOOGLETRANSLATE(B488,""en"",""it"")"),"Conferma la nuova posizione")</f>
        <v>Conferma la nuova posizione</v>
      </c>
      <c r="I488" s="67" t="str">
        <f>IFERROR(__xludf.DUMMYFUNCTION("GOOGLETRANSLATE(B488,""en"",""de"")"),"Bestätigen Sie den neuen Standort")</f>
        <v>Bestätigen Sie den neuen Standort</v>
      </c>
      <c r="J488" s="67" t="str">
        <f>IFERROR(__xludf.DUMMYFUNCTION("GOOGLETRANSLATE(B488,""en"",""ko"")"),"새 위치 확인")</f>
        <v>새 위치 확인</v>
      </c>
      <c r="K488" s="67" t="str">
        <f>IFERROR(__xludf.DUMMYFUNCTION("GOOGLETRANSLATE(B488,""en"",""zh"")"),"确认新地点")</f>
        <v>确认新地点</v>
      </c>
      <c r="L488" s="67" t="str">
        <f>IFERROR(__xludf.DUMMYFUNCTION("GOOGLETRANSLATE(B488,""en"",""es"")"),"Confirmar nueva ubicación")</f>
        <v>Confirmar nueva ubicación</v>
      </c>
      <c r="M488" s="66" t="str">
        <f>IFERROR(__xludf.DUMMYFUNCTION("GOOGLETRANSLATE(B488,""en"",""iw"")"),"אשר מיקום חדש")</f>
        <v>אשר מיקום חדש</v>
      </c>
      <c r="N488" s="67" t="str">
        <f>IFERROR(__xludf.DUMMYFUNCTION("GOOGLETRANSLATE(B488,""en"",""bn"")"),"নতুন অবস্থান নিশ্চিত করুন")</f>
        <v>নতুন অবস্থান নিশ্চিত করুন</v>
      </c>
      <c r="O488" s="4" t="str">
        <f>IFERROR(__xludf.DUMMYFUNCTION("GOOGLETRANSLATE(B488,""en"",""pt"")"),"Confirmar novo local")</f>
        <v>Confirmar novo local</v>
      </c>
      <c r="P488" s="62"/>
    </row>
    <row r="489">
      <c r="A489" s="68" t="s">
        <v>1195</v>
      </c>
      <c r="B489" s="60" t="s">
        <v>1196</v>
      </c>
      <c r="C489" s="66" t="str">
        <f>IFERROR(__xludf.DUMMYFUNCTION("GOOGLETRANSLATE(B489,""en"",""hi"")"),"रिसीवर की जानकारी")</f>
        <v>रिसीवर की जानकारी</v>
      </c>
      <c r="D489" s="67" t="str">
        <f>IFERROR(__xludf.DUMMYFUNCTION("GOOGLETRANSLATE(B489,""en"",""ar"")"),"معلومات المتلقي")</f>
        <v>معلومات المتلقي</v>
      </c>
      <c r="E489" s="67" t="str">
        <f>IFERROR(__xludf.DUMMYFUNCTION("GOOGLETRANSLATE(B489,""en"",""fr"")"),"Informations sur le récepteur")</f>
        <v>Informations sur le récepteur</v>
      </c>
      <c r="F489" s="67" t="str">
        <f>IFERROR(__xludf.DUMMYFUNCTION("GOOGLETRANSLATE(B489,""en"",""tr"")"),"Alıcı Bilgisi")</f>
        <v>Alıcı Bilgisi</v>
      </c>
      <c r="G489" s="67" t="str">
        <f>IFERROR(__xludf.DUMMYFUNCTION("GOOGLETRANSLATE(B489,""en"",""ru"")"),"Информация о получателе")</f>
        <v>Информация о получателе</v>
      </c>
      <c r="H489" s="67" t="str">
        <f>IFERROR(__xludf.DUMMYFUNCTION("GOOGLETRANSLATE(B489,""en"",""it"")"),"Informazioni sul ricevitore")</f>
        <v>Informazioni sul ricevitore</v>
      </c>
      <c r="I489" s="67" t="str">
        <f>IFERROR(__xludf.DUMMYFUNCTION("GOOGLETRANSLATE(B489,""en"",""de"")"),"Empfängerinformationen")</f>
        <v>Empfängerinformationen</v>
      </c>
      <c r="J489" s="67" t="str">
        <f>IFERROR(__xludf.DUMMYFUNCTION("GOOGLETRANSLATE(B489,""en"",""ko"")"),"수신기 정보")</f>
        <v>수신기 정보</v>
      </c>
      <c r="K489" s="67" t="str">
        <f>IFERROR(__xludf.DUMMYFUNCTION("GOOGLETRANSLATE(B489,""en"",""zh"")"),"接收者信息")</f>
        <v>接收者信息</v>
      </c>
      <c r="L489" s="67" t="str">
        <f>IFERROR(__xludf.DUMMYFUNCTION("GOOGLETRANSLATE(B489,""en"",""es"")"),"Información del receptor")</f>
        <v>Información del receptor</v>
      </c>
      <c r="M489" s="66" t="str">
        <f>IFERROR(__xludf.DUMMYFUNCTION("GOOGLETRANSLATE(B489,""en"",""iw"")"),"מידע על מקלט")</f>
        <v>מידע על מקלט</v>
      </c>
      <c r="N489" s="67" t="str">
        <f>IFERROR(__xludf.DUMMYFUNCTION("GOOGLETRANSLATE(B489,""en"",""bn"")"),"রিসিভার তথ্য")</f>
        <v>রিসিভার তথ্য</v>
      </c>
      <c r="O489" s="4" t="str">
        <f>IFERROR(__xludf.DUMMYFUNCTION("GOOGLETRANSLATE(B489,""en"",""pt"")"),"Informações do receptor")</f>
        <v>Informações do receptor</v>
      </c>
      <c r="P489" s="62"/>
    </row>
    <row r="490">
      <c r="A490" s="68" t="s">
        <v>1197</v>
      </c>
      <c r="B490" s="60" t="s">
        <v>1053</v>
      </c>
      <c r="C490" s="66" t="str">
        <f>IFERROR(__xludf.DUMMYFUNCTION("GOOGLETRANSLATE(B490,""en"",""hi"")"),"मोबाइल नंबर")</f>
        <v>मोबाइल नंबर</v>
      </c>
      <c r="D490" s="67" t="str">
        <f>IFERROR(__xludf.DUMMYFUNCTION("GOOGLETRANSLATE(B490,""en"",""ar"")"),"رقم الهاتف المحمول")</f>
        <v>رقم الهاتف المحمول</v>
      </c>
      <c r="E490" s="67" t="str">
        <f>IFERROR(__xludf.DUMMYFUNCTION("GOOGLETRANSLATE(B490,""en"",""fr"")"),"Numéro de portable")</f>
        <v>Numéro de portable</v>
      </c>
      <c r="F490" s="67" t="str">
        <f>IFERROR(__xludf.DUMMYFUNCTION("GOOGLETRANSLATE(B490,""en"",""tr"")"),"Cep numarası")</f>
        <v>Cep numarası</v>
      </c>
      <c r="G490" s="67" t="str">
        <f>IFERROR(__xludf.DUMMYFUNCTION("GOOGLETRANSLATE(B490,""en"",""ru"")"),"Номер мобильного телефона")</f>
        <v>Номер мобильного телефона</v>
      </c>
      <c r="H490" s="67" t="str">
        <f>IFERROR(__xludf.DUMMYFUNCTION("GOOGLETRANSLATE(B490,""en"",""it"")"),"Numero di cellulare")</f>
        <v>Numero di cellulare</v>
      </c>
      <c r="I490" s="67" t="str">
        <f>IFERROR(__xludf.DUMMYFUNCTION("GOOGLETRANSLATE(B490,""en"",""de"")"),"Handynummer")</f>
        <v>Handynummer</v>
      </c>
      <c r="J490" s="67" t="str">
        <f>IFERROR(__xludf.DUMMYFUNCTION("GOOGLETRANSLATE(B490,""en"",""ko"")"),"휴대폰 번호")</f>
        <v>휴대폰 번호</v>
      </c>
      <c r="K490" s="67" t="str">
        <f>IFERROR(__xludf.DUMMYFUNCTION("GOOGLETRANSLATE(B490,""en"",""zh"")"),"手机号码")</f>
        <v>手机号码</v>
      </c>
      <c r="L490" s="67" t="str">
        <f>IFERROR(__xludf.DUMMYFUNCTION("GOOGLETRANSLATE(B490,""en"",""es"")"),"Número de teléfono móvil")</f>
        <v>Número de teléfono móvil</v>
      </c>
      <c r="M490" s="66" t="str">
        <f>IFERROR(__xludf.DUMMYFUNCTION("GOOGLETRANSLATE(B490,""en"",""iw"")"),"מספר טלפון נייד")</f>
        <v>מספר טלפון נייד</v>
      </c>
      <c r="N490" s="67" t="str">
        <f>IFERROR(__xludf.DUMMYFUNCTION("GOOGLETRANSLATE(B490,""en"",""bn"")"),"মোবাইল নম্বর")</f>
        <v>মোবাইল নম্বর</v>
      </c>
      <c r="O490" s="4" t="str">
        <f>IFERROR(__xludf.DUMMYFUNCTION("GOOGLETRANSLATE(B490,""en"",""pt"")"),"Número de telemóvel")</f>
        <v>Número de telemóvel</v>
      </c>
      <c r="P490" s="62"/>
    </row>
    <row r="491">
      <c r="A491" s="68" t="s">
        <v>1198</v>
      </c>
      <c r="B491" s="60" t="s">
        <v>1199</v>
      </c>
      <c r="C491" s="66" t="str">
        <f>IFERROR(__xludf.DUMMYFUNCTION("GOOGLETRANSLATE(B491,""en"",""hi"")"),"विवरण की पुष्टि करें")</f>
        <v>विवरण की पुष्टि करें</v>
      </c>
      <c r="D491" s="67" t="str">
        <f>IFERROR(__xludf.DUMMYFUNCTION("GOOGLETRANSLATE(B491,""en"",""ar"")"),"تأكيد التفاصيل")</f>
        <v>تأكيد التفاصيل</v>
      </c>
      <c r="E491" s="67" t="str">
        <f>IFERROR(__xludf.DUMMYFUNCTION("GOOGLETRANSLATE(B491,""en"",""fr"")"),"Confirmer les détails")</f>
        <v>Confirmer les détails</v>
      </c>
      <c r="F491" s="67" t="str">
        <f>IFERROR(__xludf.DUMMYFUNCTION("GOOGLETRANSLATE(B491,""en"",""tr"")"),"Ayrıntıları Onayla")</f>
        <v>Ayrıntıları Onayla</v>
      </c>
      <c r="G491" s="67" t="str">
        <f>IFERROR(__xludf.DUMMYFUNCTION("GOOGLETRANSLATE(B491,""en"",""ru"")"),"Подтвердите детали")</f>
        <v>Подтвердите детали</v>
      </c>
      <c r="H491" s="67" t="str">
        <f>IFERROR(__xludf.DUMMYFUNCTION("GOOGLETRANSLATE(B491,""en"",""it"")"),"Conferma i dettagli")</f>
        <v>Conferma i dettagli</v>
      </c>
      <c r="I491" s="67" t="str">
        <f>IFERROR(__xludf.DUMMYFUNCTION("GOOGLETRANSLATE(B491,""en"",""de"")"),"Details bestätigen")</f>
        <v>Details bestätigen</v>
      </c>
      <c r="J491" s="67" t="str">
        <f>IFERROR(__xludf.DUMMYFUNCTION("GOOGLETRANSLATE(B491,""en"",""ko"")"),"세부정보 확인")</f>
        <v>세부정보 확인</v>
      </c>
      <c r="K491" s="67" t="str">
        <f>IFERROR(__xludf.DUMMYFUNCTION("GOOGLETRANSLATE(B491,""en"",""zh"")"),"确认详情")</f>
        <v>确认详情</v>
      </c>
      <c r="L491" s="67" t="str">
        <f>IFERROR(__xludf.DUMMYFUNCTION("GOOGLETRANSLATE(B491,""en"",""es"")"),"Confirmar detalles")</f>
        <v>Confirmar detalles</v>
      </c>
      <c r="M491" s="66" t="str">
        <f>IFERROR(__xludf.DUMMYFUNCTION("GOOGLETRANSLATE(B491,""en"",""iw"")"),"אשר פרטים")</f>
        <v>אשר פרטים</v>
      </c>
      <c r="N491" s="67" t="str">
        <f>IFERROR(__xludf.DUMMYFUNCTION("GOOGLETRANSLATE(B491,""en"",""bn"")"),"বিস্তারিত নিশ্চিত করুন")</f>
        <v>বিস্তারিত নিশ্চিত করুন</v>
      </c>
      <c r="O491" s="4" t="str">
        <f>IFERROR(__xludf.DUMMYFUNCTION("GOOGLETRANSLATE(B491,""en"",""pt"")"),"Confirmar detalhes")</f>
        <v>Confirmar detalhes</v>
      </c>
      <c r="P491" s="62"/>
    </row>
    <row r="492">
      <c r="A492" s="68" t="s">
        <v>1200</v>
      </c>
      <c r="B492" s="60" t="s">
        <v>1201</v>
      </c>
      <c r="C492" s="66" t="str">
        <f>IFERROR(__xludf.DUMMYFUNCTION("GOOGLETRANSLATE(B492,""en"",""hi"")"),"स्टॉप जोड़ें")</f>
        <v>स्टॉप जोड़ें</v>
      </c>
      <c r="D492" s="67" t="str">
        <f>IFERROR(__xludf.DUMMYFUNCTION("GOOGLETRANSLATE(B492,""en"",""ar"")"),"أضف توقف")</f>
        <v>أضف توقف</v>
      </c>
      <c r="E492" s="67" t="str">
        <f>IFERROR(__xludf.DUMMYFUNCTION("GOOGLETRANSLATE(B492,""en"",""fr"")"),"Ajouter un arrêt")</f>
        <v>Ajouter un arrêt</v>
      </c>
      <c r="F492" s="67" t="str">
        <f>IFERROR(__xludf.DUMMYFUNCTION("GOOGLETRANSLATE(B492,""en"",""tr"")"),"Durak Ekle")</f>
        <v>Durak Ekle</v>
      </c>
      <c r="G492" s="67" t="str">
        <f>IFERROR(__xludf.DUMMYFUNCTION("GOOGLETRANSLATE(B492,""en"",""ru"")"),"Добавить остановку")</f>
        <v>Добавить остановку</v>
      </c>
      <c r="H492" s="67" t="str">
        <f>IFERROR(__xludf.DUMMYFUNCTION("GOOGLETRANSLATE(B492,""en"",""it"")"),"Aggiungi fermata")</f>
        <v>Aggiungi fermata</v>
      </c>
      <c r="I492" s="67" t="str">
        <f>IFERROR(__xludf.DUMMYFUNCTION("GOOGLETRANSLATE(B492,""en"",""de"")"),"Stopp hinzufügen")</f>
        <v>Stopp hinzufügen</v>
      </c>
      <c r="J492" s="67" t="str">
        <f>IFERROR(__xludf.DUMMYFUNCTION("GOOGLETRANSLATE(B492,""en"",""ko"")"),"경유지 추가")</f>
        <v>경유지 추가</v>
      </c>
      <c r="K492" s="67" t="str">
        <f>IFERROR(__xludf.DUMMYFUNCTION("GOOGLETRANSLATE(B492,""en"",""zh"")"),"添加停靠点")</f>
        <v>添加停靠点</v>
      </c>
      <c r="L492" s="67" t="str">
        <f>IFERROR(__xludf.DUMMYFUNCTION("GOOGLETRANSLATE(B492,""en"",""es"")"),"Agregar parada")</f>
        <v>Agregar parada</v>
      </c>
      <c r="M492" s="66" t="str">
        <f>IFERROR(__xludf.DUMMYFUNCTION("GOOGLETRANSLATE(B492,""en"",""iw"")"),"הוסף עצור")</f>
        <v>הוסף עצור</v>
      </c>
      <c r="N492" s="67" t="str">
        <f>IFERROR(__xludf.DUMMYFUNCTION("GOOGLETRANSLATE(B492,""en"",""bn"")"),"স্টপ যোগ করুন")</f>
        <v>স্টপ যোগ করুন</v>
      </c>
      <c r="O492" s="4" t="str">
        <f>IFERROR(__xludf.DUMMYFUNCTION("GOOGLETRANSLATE(B492,""en"",""pt"")"),"Adicionar parada")</f>
        <v>Adicionar parada</v>
      </c>
      <c r="P492" s="62"/>
    </row>
    <row r="493">
      <c r="A493" s="68" t="s">
        <v>1202</v>
      </c>
      <c r="B493" s="60" t="s">
        <v>1203</v>
      </c>
      <c r="C493" s="66" t="str">
        <f>IFERROR(__xludf.DUMMYFUNCTION("GOOGLETRANSLATE(B493,""en"",""hi"")"),"प्रेषक की जानकारी")</f>
        <v>प्रेषक की जानकारी</v>
      </c>
      <c r="D493" s="67" t="str">
        <f>IFERROR(__xludf.DUMMYFUNCTION("GOOGLETRANSLATE(B493,""en"",""ar"")"),"معلومات المرسل")</f>
        <v>معلومات المرسل</v>
      </c>
      <c r="E493" s="67" t="str">
        <f>IFERROR(__xludf.DUMMYFUNCTION("GOOGLETRANSLATE(B493,""en"",""fr"")"),"Informations sur l'expéditeur")</f>
        <v>Informations sur l'expéditeur</v>
      </c>
      <c r="F493" s="67" t="str">
        <f>IFERROR(__xludf.DUMMYFUNCTION("GOOGLETRANSLATE(B493,""en"",""tr"")"),"Gönderen Bilgisi")</f>
        <v>Gönderen Bilgisi</v>
      </c>
      <c r="G493" s="67" t="str">
        <f>IFERROR(__xludf.DUMMYFUNCTION("GOOGLETRANSLATE(B493,""en"",""ru"")"),"Информация об отправителе")</f>
        <v>Информация об отправителе</v>
      </c>
      <c r="H493" s="67" t="str">
        <f>IFERROR(__xludf.DUMMYFUNCTION("GOOGLETRANSLATE(B493,""en"",""it"")"),"Informazioni sul mittente")</f>
        <v>Informazioni sul mittente</v>
      </c>
      <c r="I493" s="67" t="str">
        <f>IFERROR(__xludf.DUMMYFUNCTION("GOOGLETRANSLATE(B493,""en"",""de"")"),"Absenderinformationen")</f>
        <v>Absenderinformationen</v>
      </c>
      <c r="J493" s="67" t="str">
        <f>IFERROR(__xludf.DUMMYFUNCTION("GOOGLETRANSLATE(B493,""en"",""ko"")"),"발신자 정보")</f>
        <v>발신자 정보</v>
      </c>
      <c r="K493" s="67" t="str">
        <f>IFERROR(__xludf.DUMMYFUNCTION("GOOGLETRANSLATE(B493,""en"",""zh"")"),"发件人信息")</f>
        <v>发件人信息</v>
      </c>
      <c r="L493" s="67" t="str">
        <f>IFERROR(__xludf.DUMMYFUNCTION("GOOGLETRANSLATE(B493,""en"",""es"")"),"Información del remitente")</f>
        <v>Información del remitente</v>
      </c>
      <c r="M493" s="66" t="str">
        <f>IFERROR(__xludf.DUMMYFUNCTION("GOOGLETRANSLATE(B493,""en"",""iw"")"),"מידע השולח")</f>
        <v>מידע השולח</v>
      </c>
      <c r="N493" s="67" t="str">
        <f>IFERROR(__xludf.DUMMYFUNCTION("GOOGLETRANSLATE(B493,""en"",""bn"")"),"প্রেরকের তথ্য")</f>
        <v>প্রেরকের তথ্য</v>
      </c>
      <c r="O493" s="4" t="str">
        <f>IFERROR(__xludf.DUMMYFUNCTION("GOOGLETRANSLATE(B493,""en"",""pt"")"),"Informações do remetente")</f>
        <v>Informações do remetente</v>
      </c>
      <c r="P493" s="62"/>
    </row>
    <row r="494">
      <c r="A494" s="68" t="s">
        <v>1204</v>
      </c>
      <c r="B494" s="60" t="s">
        <v>1205</v>
      </c>
      <c r="C494" s="66" t="str">
        <f>IFERROR(__xludf.DUMMYFUNCTION("GOOGLETRANSLATE(B494,""en"",""hi"")"),"पिकअप संपर्क")</f>
        <v>पिकअप संपर्क</v>
      </c>
      <c r="D494" s="67" t="str">
        <f>IFERROR(__xludf.DUMMYFUNCTION("GOOGLETRANSLATE(B494,""en"",""ar"")"),"اتصال بيك اب")</f>
        <v>اتصال بيك اب</v>
      </c>
      <c r="E494" s="67" t="str">
        <f>IFERROR(__xludf.DUMMYFUNCTION("GOOGLETRANSLATE(B494,""en"",""fr"")"),"Contact de ramassage")</f>
        <v>Contact de ramassage</v>
      </c>
      <c r="F494" s="67" t="str">
        <f>IFERROR(__xludf.DUMMYFUNCTION("GOOGLETRANSLATE(B494,""en"",""tr"")"),"Teslim Alma İletişimi")</f>
        <v>Teslim Alma İletişimi</v>
      </c>
      <c r="G494" s="67" t="str">
        <f>IFERROR(__xludf.DUMMYFUNCTION("GOOGLETRANSLATE(B494,""en"",""ru"")"),"Контакты самовывоза")</f>
        <v>Контакты самовывоза</v>
      </c>
      <c r="H494" s="67" t="str">
        <f>IFERROR(__xludf.DUMMYFUNCTION("GOOGLETRANSLATE(B494,""en"",""it"")"),"Contatto per il ritiro")</f>
        <v>Contatto per il ritiro</v>
      </c>
      <c r="I494" s="67" t="str">
        <f>IFERROR(__xludf.DUMMYFUNCTION("GOOGLETRANSLATE(B494,""en"",""de"")"),"Abholkontakt")</f>
        <v>Abholkontakt</v>
      </c>
      <c r="J494" s="67" t="str">
        <f>IFERROR(__xludf.DUMMYFUNCTION("GOOGLETRANSLATE(B494,""en"",""ko"")"),"픽업 연락처")</f>
        <v>픽업 연락처</v>
      </c>
      <c r="K494" s="67" t="str">
        <f>IFERROR(__xludf.DUMMYFUNCTION("GOOGLETRANSLATE(B494,""en"",""zh"")"),"取货联系方式")</f>
        <v>取货联系方式</v>
      </c>
      <c r="L494" s="67" t="str">
        <f>IFERROR(__xludf.DUMMYFUNCTION("GOOGLETRANSLATE(B494,""en"",""es"")"),"Contacto de recogida")</f>
        <v>Contacto de recogida</v>
      </c>
      <c r="M494" s="66" t="str">
        <f>IFERROR(__xludf.DUMMYFUNCTION("GOOGLETRANSLATE(B494,""en"",""iw"")"),"איש קשר לאיסוף")</f>
        <v>איש קשר לאיסוף</v>
      </c>
      <c r="N494" s="67" t="str">
        <f>IFERROR(__xludf.DUMMYFUNCTION("GOOGLETRANSLATE(B494,""en"",""bn"")"),"পিকআপ যোগাযোগ")</f>
        <v>পিকআপ যোগাযোগ</v>
      </c>
      <c r="O494" s="4" t="str">
        <f>IFERROR(__xludf.DUMMYFUNCTION("GOOGLETRANSLATE(B494,""en"",""pt"")"),"Contato de retirada")</f>
        <v>Contato de retirada</v>
      </c>
      <c r="P494" s="62"/>
    </row>
    <row r="495">
      <c r="A495" s="68" t="s">
        <v>1206</v>
      </c>
      <c r="B495" s="60" t="s">
        <v>1207</v>
      </c>
      <c r="C495" s="66" t="str">
        <f>IFERROR(__xludf.DUMMYFUNCTION("GOOGLETRANSLATE(B495,""en"",""hi"")"),"सामान का प्रकार चुनें")</f>
        <v>सामान का प्रकार चुनें</v>
      </c>
      <c r="D495" s="67" t="str">
        <f>IFERROR(__xludf.DUMMYFUNCTION("GOOGLETRANSLATE(B495,""en"",""ar"")"),"اختر نوع البضائع")</f>
        <v>اختر نوع البضائع</v>
      </c>
      <c r="E495" s="67" t="str">
        <f>IFERROR(__xludf.DUMMYFUNCTION("GOOGLETRANSLATE(B495,""en"",""fr"")"),"Choisissez le type de marchandises")</f>
        <v>Choisissez le type de marchandises</v>
      </c>
      <c r="F495" s="67" t="str">
        <f>IFERROR(__xludf.DUMMYFUNCTION("GOOGLETRANSLATE(B495,""en"",""tr"")"),"Mal Türünü Seçin")</f>
        <v>Mal Türünü Seçin</v>
      </c>
      <c r="G495" s="67" t="str">
        <f>IFERROR(__xludf.DUMMYFUNCTION("GOOGLETRANSLATE(B495,""en"",""ru"")"),"Выберите тип товара")</f>
        <v>Выберите тип товара</v>
      </c>
      <c r="H495" s="67" t="str">
        <f>IFERROR(__xludf.DUMMYFUNCTION("GOOGLETRANSLATE(B495,""en"",""it"")"),"Scegli il tipo di merce")</f>
        <v>Scegli il tipo di merce</v>
      </c>
      <c r="I495" s="67" t="str">
        <f>IFERROR(__xludf.DUMMYFUNCTION("GOOGLETRANSLATE(B495,""en"",""de"")"),"Wählen Sie Warenart")</f>
        <v>Wählen Sie Warenart</v>
      </c>
      <c r="J495" s="67" t="str">
        <f>IFERROR(__xludf.DUMMYFUNCTION("GOOGLETRANSLATE(B495,""en"",""ko"")"),"상품 유형 선택")</f>
        <v>상품 유형 선택</v>
      </c>
      <c r="K495" s="67" t="str">
        <f>IFERROR(__xludf.DUMMYFUNCTION("GOOGLETRANSLATE(B495,""en"",""zh"")"),"选择商品类型")</f>
        <v>选择商品类型</v>
      </c>
      <c r="L495" s="67" t="str">
        <f>IFERROR(__xludf.DUMMYFUNCTION("GOOGLETRANSLATE(B495,""en"",""es"")"),"Elija el tipo de mercancía")</f>
        <v>Elija el tipo de mercancía</v>
      </c>
      <c r="M495" s="66" t="str">
        <f>IFERROR(__xludf.DUMMYFUNCTION("GOOGLETRANSLATE(B495,""en"",""iw"")"),"בחר סוג סחורה")</f>
        <v>בחר סוג סחורה</v>
      </c>
      <c r="N495" s="67" t="str">
        <f>IFERROR(__xludf.DUMMYFUNCTION("GOOGLETRANSLATE(B495,""en"",""bn"")"),"পণ্যের ধরন নির্বাচন করুন")</f>
        <v>পণ্যের ধরন নির্বাচন করুন</v>
      </c>
      <c r="O495" s="4" t="str">
        <f>IFERROR(__xludf.DUMMYFUNCTION("GOOGLETRANSLATE(B495,""en"",""pt"")"),"Escolha o tipo de mercadoria")</f>
        <v>Escolha o tipo de mercadoria</v>
      </c>
      <c r="P495" s="62"/>
    </row>
    <row r="496">
      <c r="A496" s="68" t="s">
        <v>1208</v>
      </c>
      <c r="B496" s="60" t="s">
        <v>1209</v>
      </c>
      <c r="C496" s="66" t="str">
        <f>IFERROR(__xludf.DUMMYFUNCTION("GOOGLETRANSLATE(B496,""en"",""hi"")"),"ढीला")</f>
        <v>ढीला</v>
      </c>
      <c r="D496" s="67" t="str">
        <f>IFERROR(__xludf.DUMMYFUNCTION("GOOGLETRANSLATE(B496,""en"",""ar"")"),"مرتخي")</f>
        <v>مرتخي</v>
      </c>
      <c r="E496" s="67" t="str">
        <f>IFERROR(__xludf.DUMMYFUNCTION("GOOGLETRANSLATE(B496,""en"",""fr"")"),"Lâche")</f>
        <v>Lâche</v>
      </c>
      <c r="F496" s="67" t="str">
        <f>IFERROR(__xludf.DUMMYFUNCTION("GOOGLETRANSLATE(B496,""en"",""tr"")"),"Gevşetmek")</f>
        <v>Gevşetmek</v>
      </c>
      <c r="G496" s="67" t="str">
        <f>IFERROR(__xludf.DUMMYFUNCTION("GOOGLETRANSLATE(B496,""en"",""ru"")"),"Свободный")</f>
        <v>Свободный</v>
      </c>
      <c r="H496" s="67" t="str">
        <f>IFERROR(__xludf.DUMMYFUNCTION("GOOGLETRANSLATE(B496,""en"",""it"")"),"Sciolto")</f>
        <v>Sciolto</v>
      </c>
      <c r="I496" s="67" t="str">
        <f>IFERROR(__xludf.DUMMYFUNCTION("GOOGLETRANSLATE(B496,""en"",""de"")"),"Lose")</f>
        <v>Lose</v>
      </c>
      <c r="J496" s="67" t="str">
        <f>IFERROR(__xludf.DUMMYFUNCTION("GOOGLETRANSLATE(B496,""en"",""ko"")"),"헐렁한")</f>
        <v>헐렁한</v>
      </c>
      <c r="K496" s="67" t="str">
        <f>IFERROR(__xludf.DUMMYFUNCTION("GOOGLETRANSLATE(B496,""en"",""zh"")"),"松动的")</f>
        <v>松动的</v>
      </c>
      <c r="L496" s="67" t="str">
        <f>IFERROR(__xludf.DUMMYFUNCTION("GOOGLETRANSLATE(B496,""en"",""es"")"),"Perder")</f>
        <v>Perder</v>
      </c>
      <c r="M496" s="66" t="str">
        <f>IFERROR(__xludf.DUMMYFUNCTION("GOOGLETRANSLATE(B496,""en"",""iw"")"),"מְשׁוּחרָר")</f>
        <v>מְשׁוּחרָר</v>
      </c>
      <c r="N496" s="67" t="str">
        <f>IFERROR(__xludf.DUMMYFUNCTION("GOOGLETRANSLATE(B496,""en"",""bn"")"),"আলগা")</f>
        <v>আলগা</v>
      </c>
      <c r="O496" s="4" t="str">
        <f>IFERROR(__xludf.DUMMYFUNCTION("GOOGLETRANSLATE(B496,""en"",""pt"")"),"Solto")</f>
        <v>Solto</v>
      </c>
      <c r="P496" s="70"/>
    </row>
    <row r="497">
      <c r="A497" s="68" t="s">
        <v>1210</v>
      </c>
      <c r="B497" s="60" t="s">
        <v>1211</v>
      </c>
      <c r="C497" s="66" t="str">
        <f>IFERROR(__xludf.DUMMYFUNCTION("GOOGLETRANSLATE(B497,""en"",""hi"")"),"इकाई के साथ मात्रा")</f>
        <v>इकाई के साथ मात्रा</v>
      </c>
      <c r="D497" s="67" t="str">
        <f>IFERROR(__xludf.DUMMYFUNCTION("GOOGLETRANSLATE(B497,""en"",""ar"")"),"الكمية مع الوحدة")</f>
        <v>الكمية مع الوحدة</v>
      </c>
      <c r="E497" s="67" t="str">
        <f>IFERROR(__xludf.DUMMYFUNCTION("GOOGLETRANSLATE(B497,""en"",""fr"")"),"Qté à l'unité")</f>
        <v>Qté à l'unité</v>
      </c>
      <c r="F497" s="67" t="str">
        <f>IFERROR(__xludf.DUMMYFUNCTION("GOOGLETRANSLATE(B497,""en"",""tr"")"),"Birim ile birlikte adet")</f>
        <v>Birim ile birlikte adet</v>
      </c>
      <c r="G497" s="67" t="str">
        <f>IFERROR(__xludf.DUMMYFUNCTION("GOOGLETRANSLATE(B497,""en"",""ru"")"),"Кол-во с единицей")</f>
        <v>Кол-во с единицей</v>
      </c>
      <c r="H497" s="67" t="str">
        <f>IFERROR(__xludf.DUMMYFUNCTION("GOOGLETRANSLATE(B497,""en"",""it"")"),"Quantità con unità")</f>
        <v>Quantità con unità</v>
      </c>
      <c r="I497" s="67" t="str">
        <f>IFERROR(__xludf.DUMMYFUNCTION("GOOGLETRANSLATE(B497,""en"",""de"")"),"Menge mit Einheit")</f>
        <v>Menge mit Einheit</v>
      </c>
      <c r="J497" s="67" t="str">
        <f>IFERROR(__xludf.DUMMYFUNCTION("GOOGLETRANSLATE(B497,""en"",""ko"")"),"단위 포함 수량")</f>
        <v>단위 포함 수량</v>
      </c>
      <c r="K497" s="67" t="str">
        <f>IFERROR(__xludf.DUMMYFUNCTION("GOOGLETRANSLATE(B497,""en"",""zh"")"),"数量及单位")</f>
        <v>数量及单位</v>
      </c>
      <c r="L497" s="67" t="str">
        <f>IFERROR(__xludf.DUMMYFUNCTION("GOOGLETRANSLATE(B497,""en"",""es"")"),"Cantidad con unidad")</f>
        <v>Cantidad con unidad</v>
      </c>
      <c r="M497" s="66" t="str">
        <f>IFERROR(__xludf.DUMMYFUNCTION("GOOGLETRANSLATE(B497,""en"",""iw"")"),"כמות עם יחידה")</f>
        <v>כמות עם יחידה</v>
      </c>
      <c r="N497" s="67" t="str">
        <f>IFERROR(__xludf.DUMMYFUNCTION("GOOGLETRANSLATE(B497,""en"",""bn"")"),"ইউনিট সহ পরিমাণ")</f>
        <v>ইউনিট সহ পরিমাণ</v>
      </c>
      <c r="O497" s="4" t="str">
        <f>IFERROR(__xludf.DUMMYFUNCTION("GOOGLETRANSLATE(B497,""en"",""pt"")"),"Quantidade por unidade")</f>
        <v>Quantidade por unidade</v>
      </c>
      <c r="P497" s="70"/>
    </row>
    <row r="498">
      <c r="A498" s="68" t="s">
        <v>1212</v>
      </c>
      <c r="B498" s="60" t="s">
        <v>1213</v>
      </c>
      <c r="C498" s="66" t="str">
        <f>IFERROR(__xludf.DUMMYFUNCTION("GOOGLETRANSLATE(B498,""en"",""hi"")"),"माल का प्रकार")</f>
        <v>माल का प्रकार</v>
      </c>
      <c r="D498" s="67" t="str">
        <f>IFERROR(__xludf.DUMMYFUNCTION("GOOGLETRANSLATE(B498,""en"",""ar"")"),"نوع البضائع")</f>
        <v>نوع البضائع</v>
      </c>
      <c r="E498" s="67" t="str">
        <f>IFERROR(__xludf.DUMMYFUNCTION("GOOGLETRANSLATE(B498,""en"",""fr"")"),"Type de marchandises")</f>
        <v>Type de marchandises</v>
      </c>
      <c r="F498" s="67" t="str">
        <f>IFERROR(__xludf.DUMMYFUNCTION("GOOGLETRANSLATE(B498,""en"",""tr"")"),"Mal Türü")</f>
        <v>Mal Türü</v>
      </c>
      <c r="G498" s="67" t="str">
        <f>IFERROR(__xludf.DUMMYFUNCTION("GOOGLETRANSLATE(B498,""en"",""ru"")"),"Тип товара")</f>
        <v>Тип товара</v>
      </c>
      <c r="H498" s="67" t="str">
        <f>IFERROR(__xludf.DUMMYFUNCTION("GOOGLETRANSLATE(B498,""en"",""it"")"),"Tipo di merce")</f>
        <v>Tipo di merce</v>
      </c>
      <c r="I498" s="67" t="str">
        <f>IFERROR(__xludf.DUMMYFUNCTION("GOOGLETRANSLATE(B498,""en"",""de"")"),"Warentyp")</f>
        <v>Warentyp</v>
      </c>
      <c r="J498" s="67" t="str">
        <f>IFERROR(__xludf.DUMMYFUNCTION("GOOGLETRANSLATE(B498,""en"",""ko"")"),"상품 유형")</f>
        <v>상품 유형</v>
      </c>
      <c r="K498" s="67" t="str">
        <f>IFERROR(__xludf.DUMMYFUNCTION("GOOGLETRANSLATE(B498,""en"",""zh"")"),"商品类型")</f>
        <v>商品类型</v>
      </c>
      <c r="L498" s="67" t="str">
        <f>IFERROR(__xludf.DUMMYFUNCTION("GOOGLETRANSLATE(B498,""en"",""es"")"),"Tipo de mercancías")</f>
        <v>Tipo de mercancías</v>
      </c>
      <c r="M498" s="66" t="str">
        <f>IFERROR(__xludf.DUMMYFUNCTION("GOOGLETRANSLATE(B498,""en"",""iw"")"),"סוג סחורה")</f>
        <v>סוג סחורה</v>
      </c>
      <c r="N498" s="67" t="str">
        <f>IFERROR(__xludf.DUMMYFUNCTION("GOOGLETRANSLATE(B498,""en"",""bn"")"),"পণ্যের ধরন")</f>
        <v>পণ্যের ধরন</v>
      </c>
      <c r="O498" s="4" t="str">
        <f>IFERROR(__xludf.DUMMYFUNCTION("GOOGLETRANSLATE(B498,""en"",""pt"")"),"Tipo de mercadoria")</f>
        <v>Tipo de mercadoria</v>
      </c>
      <c r="P498" s="62"/>
    </row>
    <row r="499">
      <c r="A499" s="68" t="s">
        <v>1214</v>
      </c>
      <c r="B499" s="60" t="s">
        <v>1215</v>
      </c>
      <c r="C499" s="66" t="str">
        <f>IFERROR(__xludf.DUMMYFUNCTION("GOOGLETRANSLATE(B499,""en"",""hi"")"),"अभी चलो")</f>
        <v>अभी चलो</v>
      </c>
      <c r="D499" s="67" t="str">
        <f>IFERROR(__xludf.DUMMYFUNCTION("GOOGLETRANSLATE(B499,""en"",""ar"")"),"اركب الآن")</f>
        <v>اركب الآن</v>
      </c>
      <c r="E499" s="67" t="str">
        <f>IFERROR(__xludf.DUMMYFUNCTION("GOOGLETRANSLATE(B499,""en"",""fr"")"),"Roulez maintenant")</f>
        <v>Roulez maintenant</v>
      </c>
      <c r="F499" s="67" t="str">
        <f>IFERROR(__xludf.DUMMYFUNCTION("GOOGLETRANSLATE(B499,""en"",""tr"")"),"Şimdi sür")</f>
        <v>Şimdi sür</v>
      </c>
      <c r="G499" s="67" t="str">
        <f>IFERROR(__xludf.DUMMYFUNCTION("GOOGLETRANSLATE(B499,""en"",""ru"")"),"Поездка сейчас")</f>
        <v>Поездка сейчас</v>
      </c>
      <c r="H499" s="67" t="str">
        <f>IFERROR(__xludf.DUMMYFUNCTION("GOOGLETRANSLATE(B499,""en"",""it"")"),"Cavalca ora")</f>
        <v>Cavalca ora</v>
      </c>
      <c r="I499" s="67" t="str">
        <f>IFERROR(__xludf.DUMMYFUNCTION("GOOGLETRANSLATE(B499,""en"",""de"")"),"Jetzt fahren")</f>
        <v>Jetzt fahren</v>
      </c>
      <c r="J499" s="67" t="str">
        <f>IFERROR(__xludf.DUMMYFUNCTION("GOOGLETRANSLATE(B499,""en"",""ko"")"),"지금 탑승하세요")</f>
        <v>지금 탑승하세요</v>
      </c>
      <c r="K499" s="67" t="str">
        <f>IFERROR(__xludf.DUMMYFUNCTION("GOOGLETRANSLATE(B499,""en"",""zh"")"),"立即骑行")</f>
        <v>立即骑行</v>
      </c>
      <c r="L499" s="67" t="str">
        <f>IFERROR(__xludf.DUMMYFUNCTION("GOOGLETRANSLATE(B499,""en"",""es"")"),"Montar ahora")</f>
        <v>Montar ahora</v>
      </c>
      <c r="M499" s="66" t="str">
        <f>IFERROR(__xludf.DUMMYFUNCTION("GOOGLETRANSLATE(B499,""en"",""iw"")"),"תרכב עכשיו")</f>
        <v>תרכב עכשיו</v>
      </c>
      <c r="N499" s="67" t="str">
        <f>IFERROR(__xludf.DUMMYFUNCTION("GOOGLETRANSLATE(B499,""en"",""bn"")"),"চালাও এখন")</f>
        <v>চালাও এখন</v>
      </c>
      <c r="O499" s="4" t="str">
        <f>IFERROR(__xludf.DUMMYFUNCTION("GOOGLETRANSLATE(B499,""en"",""pt"")"),"Cavalgue agora")</f>
        <v>Cavalgue agora</v>
      </c>
      <c r="P499" s="62"/>
    </row>
    <row r="500">
      <c r="A500" s="68" t="s">
        <v>1216</v>
      </c>
      <c r="B500" s="60" t="s">
        <v>1217</v>
      </c>
      <c r="C500" s="66" t="str">
        <f>IFERROR(__xludf.DUMMYFUNCTION("GOOGLETRANSLATE(B500,""en"",""hi"")"),"बाद के लिए बुक करें")</f>
        <v>बाद के लिए बुक करें</v>
      </c>
      <c r="D500" s="67" t="str">
        <f>IFERROR(__xludf.DUMMYFUNCTION("GOOGLETRANSLATE(B500,""en"",""ar"")"),"كتاب لوقت لاحق")</f>
        <v>كتاب لوقت لاحق</v>
      </c>
      <c r="E500" s="67" t="str">
        <f>IFERROR(__xludf.DUMMYFUNCTION("GOOGLETRANSLATE(B500,""en"",""fr"")"),"Réservez pour plus tard")</f>
        <v>Réservez pour plus tard</v>
      </c>
      <c r="F500" s="67" t="str">
        <f>IFERROR(__xludf.DUMMYFUNCTION("GOOGLETRANSLATE(B500,""en"",""tr"")"),"Sonrası İçin Rezervasyon Yapın")</f>
        <v>Sonrası İçin Rezervasyon Yapın</v>
      </c>
      <c r="G500" s="67" t="str">
        <f>IFERROR(__xludf.DUMMYFUNCTION("GOOGLETRANSLATE(B500,""en"",""ru"")"),"Забронировать на потом")</f>
        <v>Забронировать на потом</v>
      </c>
      <c r="H500" s="67" t="str">
        <f>IFERROR(__xludf.DUMMYFUNCTION("GOOGLETRANSLATE(B500,""en"",""it"")"),"Prenota per dopo")</f>
        <v>Prenota per dopo</v>
      </c>
      <c r="I500" s="67" t="str">
        <f>IFERROR(__xludf.DUMMYFUNCTION("GOOGLETRANSLATE(B500,""en"",""de"")"),"Buchen Sie für später")</f>
        <v>Buchen Sie für später</v>
      </c>
      <c r="J500" s="67" t="str">
        <f>IFERROR(__xludf.DUMMYFUNCTION("GOOGLETRANSLATE(B500,""en"",""ko"")"),"나중에 예약하세요")</f>
        <v>나중에 예약하세요</v>
      </c>
      <c r="K500" s="67" t="str">
        <f>IFERROR(__xludf.DUMMYFUNCTION("GOOGLETRANSLATE(B500,""en"",""zh"")"),"稍后预订")</f>
        <v>稍后预订</v>
      </c>
      <c r="L500" s="67" t="str">
        <f>IFERROR(__xludf.DUMMYFUNCTION("GOOGLETRANSLATE(B500,""en"",""es"")"),"Reservar para más tarde")</f>
        <v>Reservar para más tarde</v>
      </c>
      <c r="M500" s="66" t="str">
        <f>IFERROR(__xludf.DUMMYFUNCTION("GOOGLETRANSLATE(B500,""en"",""iw"")"),"ספר למועד מאוחר יותר")</f>
        <v>ספר למועד מאוחר יותר</v>
      </c>
      <c r="N500" s="67" t="str">
        <f>IFERROR(__xludf.DUMMYFUNCTION("GOOGLETRANSLATE(B500,""en"",""bn"")"),"পরে জন্য বুক")</f>
        <v>পরে জন্য বুক</v>
      </c>
      <c r="O500" s="4" t="str">
        <f>IFERROR(__xludf.DUMMYFUNCTION("GOOGLETRANSLATE(B500,""en"",""pt"")"),"Reserve para mais tarde")</f>
        <v>Reserve para mais tarde</v>
      </c>
      <c r="P500" s="62"/>
    </row>
    <row r="501">
      <c r="A501" s="68" t="s">
        <v>1218</v>
      </c>
      <c r="B501" s="69" t="s">
        <v>1219</v>
      </c>
      <c r="C501" s="66" t="str">
        <f>IFERROR(__xludf.DUMMYFUNCTION("GOOGLETRANSLATE(B501,""en"",""hi"")"),"शिपमेंट छवि जोड़ने के लिए टैप करें")</f>
        <v>शिपमेंट छवि जोड़ने के लिए टैप करें</v>
      </c>
      <c r="D501" s="67" t="str">
        <f>IFERROR(__xludf.DUMMYFUNCTION("GOOGLETRANSLATE(B501,""en"",""ar"")"),"انقر لإضافة صورة الشحنة")</f>
        <v>انقر لإضافة صورة الشحنة</v>
      </c>
      <c r="E501" s="67" t="str">
        <f>IFERROR(__xludf.DUMMYFUNCTION("GOOGLETRANSLATE(B501,""en"",""fr"")"),"Appuyez pour ajouter une image d'expédition")</f>
        <v>Appuyez pour ajouter une image d'expédition</v>
      </c>
      <c r="F501" s="67" t="str">
        <f>IFERROR(__xludf.DUMMYFUNCTION("GOOGLETRANSLATE(B501,""en"",""tr"")"),"Gönderi Resmi eklemek için dokunun")</f>
        <v>Gönderi Resmi eklemek için dokunun</v>
      </c>
      <c r="G501" s="67" t="str">
        <f>IFERROR(__xludf.DUMMYFUNCTION("GOOGLETRANSLATE(B501,""en"",""ru"")"),"Нажмите, чтобы добавить изображение отправления")</f>
        <v>Нажмите, чтобы добавить изображение отправления</v>
      </c>
      <c r="H501" s="67" t="str">
        <f>IFERROR(__xludf.DUMMYFUNCTION("GOOGLETRANSLATE(B501,""en"",""it"")"),"Tocca per aggiungere l'immagine della spedizione")</f>
        <v>Tocca per aggiungere l'immagine della spedizione</v>
      </c>
      <c r="I501" s="67" t="str">
        <f>IFERROR(__xludf.DUMMYFUNCTION("GOOGLETRANSLATE(B501,""en"",""de"")"),"Tippen Sie hier, um ein Sendungsbild hinzuzufügen")</f>
        <v>Tippen Sie hier, um ein Sendungsbild hinzuzufügen</v>
      </c>
      <c r="J501" s="67" t="str">
        <f>IFERROR(__xludf.DUMMYFUNCTION("GOOGLETRANSLATE(B501,""en"",""ko"")"),"배송 이미지를 추가하려면 탭하세요.")</f>
        <v>배송 이미지를 추가하려면 탭하세요.</v>
      </c>
      <c r="K501" s="67" t="str">
        <f>IFERROR(__xludf.DUMMYFUNCTION("GOOGLETRANSLATE(B501,""en"",""zh"")"),"点击添加货运图片")</f>
        <v>点击添加货运图片</v>
      </c>
      <c r="L501" s="67" t="str">
        <f>IFERROR(__xludf.DUMMYFUNCTION("GOOGLETRANSLATE(B501,""en"",""es"")"),"Toque para agregar una imagen de envío")</f>
        <v>Toque para agregar una imagen de envío</v>
      </c>
      <c r="M501" s="66" t="str">
        <f>IFERROR(__xludf.DUMMYFUNCTION("GOOGLETRANSLATE(B501,""en"",""iw"")"),"הקש כדי להוסיף תמונת משלוח")</f>
        <v>הקש כדי להוסיף תמונת משלוח</v>
      </c>
      <c r="N501" s="67" t="str">
        <f>IFERROR(__xludf.DUMMYFUNCTION("GOOGLETRANSLATE(B501,""en"",""bn"")"),"চালানের ছবি যোগ করতে আলতো চাপুন")</f>
        <v>চালানের ছবি যোগ করতে আলতো চাপুন</v>
      </c>
      <c r="O501" s="4" t="str">
        <f>IFERROR(__xludf.DUMMYFUNCTION("GOOGLETRANSLATE(B501,""en"",""pt"")"),"Toque para adicionar imagem de remessa")</f>
        <v>Toque para adicionar imagem de remessa</v>
      </c>
      <c r="P501" s="62"/>
    </row>
    <row r="502">
      <c r="A502" s="68" t="s">
        <v>1220</v>
      </c>
      <c r="B502" s="69" t="s">
        <v>1221</v>
      </c>
      <c r="C502" s="66" t="str">
        <f>IFERROR(__xludf.DUMMYFUNCTION("GOOGLETRANSLATE(B502,""en"",""hi"")"),"शिपमेंट छवि को संपादित करने के लिए टैप करें")</f>
        <v>शिपमेंट छवि को संपादित करने के लिए टैप करें</v>
      </c>
      <c r="D502" s="67" t="str">
        <f>IFERROR(__xludf.DUMMYFUNCTION("GOOGLETRANSLATE(B502,""en"",""ar"")"),"انقر لتحرير صورة الشحنة")</f>
        <v>انقر لتحرير صورة الشحنة</v>
      </c>
      <c r="E502" s="67" t="str">
        <f>IFERROR(__xludf.DUMMYFUNCTION("GOOGLETRANSLATE(B502,""en"",""fr"")"),"Appuyez pour modifier l'image de l'envoi")</f>
        <v>Appuyez pour modifier l'image de l'envoi</v>
      </c>
      <c r="F502" s="67" t="str">
        <f>IFERROR(__xludf.DUMMYFUNCTION("GOOGLETRANSLATE(B502,""en"",""tr"")"),"Gönderi Resmini düzenlemek için dokunun")</f>
        <v>Gönderi Resmini düzenlemek için dokunun</v>
      </c>
      <c r="G502" s="67" t="str">
        <f>IFERROR(__xludf.DUMMYFUNCTION("GOOGLETRANSLATE(B502,""en"",""ru"")"),"Нажмите, чтобы изменить изображение отправления")</f>
        <v>Нажмите, чтобы изменить изображение отправления</v>
      </c>
      <c r="H502" s="67" t="str">
        <f>IFERROR(__xludf.DUMMYFUNCTION("GOOGLETRANSLATE(B502,""en"",""it"")"),"Tocca per modificare l'immagine della spedizione")</f>
        <v>Tocca per modificare l'immagine della spedizione</v>
      </c>
      <c r="I502" s="67" t="str">
        <f>IFERROR(__xludf.DUMMYFUNCTION("GOOGLETRANSLATE(B502,""en"",""de"")"),"Tippen Sie hier, um das Sendungsbild zu bearbeiten")</f>
        <v>Tippen Sie hier, um das Sendungsbild zu bearbeiten</v>
      </c>
      <c r="J502" s="67" t="str">
        <f>IFERROR(__xludf.DUMMYFUNCTION("GOOGLETRANSLATE(B502,""en"",""ko"")"),"배송 이미지를 수정하려면 누르세요.")</f>
        <v>배송 이미지를 수정하려면 누르세요.</v>
      </c>
      <c r="K502" s="67" t="str">
        <f>IFERROR(__xludf.DUMMYFUNCTION("GOOGLETRANSLATE(B502,""en"",""zh"")"),"点击编辑货运图片")</f>
        <v>点击编辑货运图片</v>
      </c>
      <c r="L502" s="67" t="str">
        <f>IFERROR(__xludf.DUMMYFUNCTION("GOOGLETRANSLATE(B502,""en"",""es"")"),"Toque para editar la imagen del envío")</f>
        <v>Toque para editar la imagen del envío</v>
      </c>
      <c r="M502" s="66" t="str">
        <f>IFERROR(__xludf.DUMMYFUNCTION("GOOGLETRANSLATE(B502,""en"",""iw"")"),"הקש כדי לערוך את תמונת המשלוח")</f>
        <v>הקש כדי לערוך את תמונת המשלוח</v>
      </c>
      <c r="N502" s="67" t="str">
        <f>IFERROR(__xludf.DUMMYFUNCTION("GOOGLETRANSLATE(B502,""en"",""bn"")"),"চালান চিত্র সম্পাদনা করতে আলতো চাপুন")</f>
        <v>চালান চিত্র সম্পাদনা করতে আলতো চাপুন</v>
      </c>
      <c r="O502" s="4" t="str">
        <f>IFERROR(__xludf.DUMMYFUNCTION("GOOGLETRANSLATE(B502,""en"",""pt"")"),"Toque para editar a imagem da remessa")</f>
        <v>Toque para editar a imagem da remessa</v>
      </c>
      <c r="P502" s="62"/>
    </row>
    <row r="503">
      <c r="A503" s="68" t="s">
        <v>1222</v>
      </c>
      <c r="B503" s="60" t="s">
        <v>1223</v>
      </c>
      <c r="C503" s="66" t="str">
        <f>IFERROR(__xludf.DUMMYFUNCTION("GOOGLETRANSLATE(B503,""en"",""hi"")"),"अनलोड छवि जोड़ने के लिए टैप करें")</f>
        <v>अनलोड छवि जोड़ने के लिए टैप करें</v>
      </c>
      <c r="D503" s="67" t="str">
        <f>IFERROR(__xludf.DUMMYFUNCTION("GOOGLETRANSLATE(B503,""en"",""ar"")"),"انقر لإضافة إلغاء تحميل الصورة")</f>
        <v>انقر لإضافة إلغاء تحميل الصورة</v>
      </c>
      <c r="E503" s="67" t="str">
        <f>IFERROR(__xludf.DUMMYFUNCTION("GOOGLETRANSLATE(B503,""en"",""fr"")"),"Appuyez pour ajouter une image de déchargement")</f>
        <v>Appuyez pour ajouter une image de déchargement</v>
      </c>
      <c r="F503" s="67" t="str">
        <f>IFERROR(__xludf.DUMMYFUNCTION("GOOGLETRANSLATE(B503,""en"",""tr"")"),"Boşaltma Resmini eklemek için dokunun")</f>
        <v>Boşaltma Resmini eklemek için dokunun</v>
      </c>
      <c r="G503" s="67" t="str">
        <f>IFERROR(__xludf.DUMMYFUNCTION("GOOGLETRANSLATE(B503,""en"",""ru"")"),"Нажмите, чтобы добавить изображение выгрузки")</f>
        <v>Нажмите, чтобы добавить изображение выгрузки</v>
      </c>
      <c r="H503" s="67" t="str">
        <f>IFERROR(__xludf.DUMMYFUNCTION("GOOGLETRANSLATE(B503,""en"",""it"")"),"Tocca per aggiungere Scarica immagine")</f>
        <v>Tocca per aggiungere Scarica immagine</v>
      </c>
      <c r="I503" s="67" t="str">
        <f>IFERROR(__xludf.DUMMYFUNCTION("GOOGLETRANSLATE(B503,""en"",""de"")"),"Tippen Sie hier, um „Bild entladen“ hinzuzufügen")</f>
        <v>Tippen Sie hier, um „Bild entladen“ hinzuzufügen</v>
      </c>
      <c r="J503" s="67" t="str">
        <f>IFERROR(__xludf.DUMMYFUNCTION("GOOGLETRANSLATE(B503,""en"",""ko"")"),"탭하여 이미지 언로드를 추가하세요.")</f>
        <v>탭하여 이미지 언로드를 추가하세요.</v>
      </c>
      <c r="K503" s="67" t="str">
        <f>IFERROR(__xludf.DUMMYFUNCTION("GOOGLETRANSLATE(B503,""en"",""zh"")"),"点击添加卸载图像")</f>
        <v>点击添加卸载图像</v>
      </c>
      <c r="L503" s="67" t="str">
        <f>IFERROR(__xludf.DUMMYFUNCTION("GOOGLETRANSLATE(B503,""en"",""es"")"),"Toca para agregar Descargar imagen")</f>
        <v>Toca para agregar Descargar imagen</v>
      </c>
      <c r="M503" s="66" t="str">
        <f>IFERROR(__xludf.DUMMYFUNCTION("GOOGLETRANSLATE(B503,""en"",""iw"")"),"הקש כדי להוסיף פריקת תמונה")</f>
        <v>הקש כדי להוסיף פריקת תמונה</v>
      </c>
      <c r="N503" s="67" t="str">
        <f>IFERROR(__xludf.DUMMYFUNCTION("GOOGLETRANSLATE(B503,""en"",""bn"")"),"আনলোড ছবি যোগ করতে আলতো চাপুন")</f>
        <v>আনলোড ছবি যোগ করতে আলতো চাপুন</v>
      </c>
      <c r="O503" s="4" t="str">
        <f>IFERROR(__xludf.DUMMYFUNCTION("GOOGLETRANSLATE(B503,""en"",""pt"")"),"Toque para adicionar Descarregar imagem")</f>
        <v>Toque para adicionar Descarregar imagem</v>
      </c>
      <c r="P503" s="62"/>
    </row>
    <row r="504">
      <c r="A504" s="68" t="s">
        <v>1224</v>
      </c>
      <c r="B504" s="60" t="s">
        <v>1225</v>
      </c>
      <c r="C504" s="66" t="str">
        <f>IFERROR(__xludf.DUMMYFUNCTION("GOOGLETRANSLATE(B504,""en"",""hi"")"),"छवि को अनलोड करने के लिए संपादित करने के लिए टैप करें")</f>
        <v>छवि को अनलोड करने के लिए संपादित करने के लिए टैप करें</v>
      </c>
      <c r="D504" s="67" t="str">
        <f>IFERROR(__xludf.DUMMYFUNCTION("GOOGLETRANSLATE(B504,""en"",""ar"")"),"انقر لتحرير إلغاء تحميل الصورة")</f>
        <v>انقر لتحرير إلغاء تحميل الصورة</v>
      </c>
      <c r="E504" s="67" t="str">
        <f>IFERROR(__xludf.DUMMYFUNCTION("GOOGLETRANSLATE(B504,""en"",""fr"")"),"Appuyez pour modifier l'image de déchargement")</f>
        <v>Appuyez pour modifier l'image de déchargement</v>
      </c>
      <c r="F504" s="67" t="str">
        <f>IFERROR(__xludf.DUMMYFUNCTION("GOOGLETRANSLATE(B504,""en"",""tr"")"),"Boşaltma Resmini düzenlemek için dokunun")</f>
        <v>Boşaltma Resmini düzenlemek için dokunun</v>
      </c>
      <c r="G504" s="67" t="str">
        <f>IFERROR(__xludf.DUMMYFUNCTION("GOOGLETRANSLATE(B504,""en"",""ru"")"),"Нажмите, чтобы отредактировать изображение выгрузки")</f>
        <v>Нажмите, чтобы отредактировать изображение выгрузки</v>
      </c>
      <c r="H504" s="67" t="str">
        <f>IFERROR(__xludf.DUMMYFUNCTION("GOOGLETRANSLATE(B504,""en"",""it"")"),"Tocca per modificare Scarica immagine")</f>
        <v>Tocca per modificare Scarica immagine</v>
      </c>
      <c r="I504" s="67" t="str">
        <f>IFERROR(__xludf.DUMMYFUNCTION("GOOGLETRANSLATE(B504,""en"",""de"")"),"Tippen Sie hier, um das Bild entladen zu bearbeiten")</f>
        <v>Tippen Sie hier, um das Bild entladen zu bearbeiten</v>
      </c>
      <c r="J504" s="67" t="str">
        <f>IFERROR(__xludf.DUMMYFUNCTION("GOOGLETRANSLATE(B504,""en"",""ko"")"),"언로드 이미지를 편집하려면 탭하세요.")</f>
        <v>언로드 이미지를 편집하려면 탭하세요.</v>
      </c>
      <c r="K504" s="67" t="str">
        <f>IFERROR(__xludf.DUMMYFUNCTION("GOOGLETRANSLATE(B504,""en"",""zh"")"),"点击以编辑卸载图像")</f>
        <v>点击以编辑卸载图像</v>
      </c>
      <c r="L504" s="67" t="str">
        <f>IFERROR(__xludf.DUMMYFUNCTION("GOOGLETRANSLATE(B504,""en"",""es"")"),"Toca para editar Descargar imagen")</f>
        <v>Toca para editar Descargar imagen</v>
      </c>
      <c r="M504" s="66" t="str">
        <f>IFERROR(__xludf.DUMMYFUNCTION("GOOGLETRANSLATE(B504,""en"",""iw"")"),"הקש כדי לערוך פריק תמונה")</f>
        <v>הקש כדי לערוך פריק תמונה</v>
      </c>
      <c r="N504" s="67" t="str">
        <f>IFERROR(__xludf.DUMMYFUNCTION("GOOGLETRANSLATE(B504,""en"",""bn"")"),"আনলোড চিত্র সম্পাদনা করতে আলতো চাপুন")</f>
        <v>আনলোড চিত্র সম্পাদনা করতে আলতো চাপুন</v>
      </c>
      <c r="O504" s="4" t="str">
        <f>IFERROR(__xludf.DUMMYFUNCTION("GOOGLETRANSLATE(B504,""en"",""pt"")"),"Toque para editar Descarregar imagem")</f>
        <v>Toque para editar Descarregar imagem</v>
      </c>
      <c r="P504" s="62"/>
    </row>
    <row r="505">
      <c r="A505" s="68" t="s">
        <v>1226</v>
      </c>
      <c r="B505" s="60" t="s">
        <v>1227</v>
      </c>
      <c r="C505" s="66" t="str">
        <f>IFERROR(__xludf.DUMMYFUNCTION("GOOGLETRANSLATE(B505,""en"",""hi"")"),"अपलोड अनलोड प्रूफ")</f>
        <v>अपलोड अनलोड प्रूफ</v>
      </c>
      <c r="D505" s="67" t="str">
        <f>IFERROR(__xludf.DUMMYFUNCTION("GOOGLETRANSLATE(B505,""en"",""ar"")"),"تحميل إثبات التفريغ")</f>
        <v>تحميل إثبات التفريغ</v>
      </c>
      <c r="E505" s="67" t="str">
        <f>IFERROR(__xludf.DUMMYFUNCTION("GOOGLETRANSLATE(B505,""en"",""fr"")"),"Télécharger Décharger la Preuve")</f>
        <v>Télécharger Décharger la Preuve</v>
      </c>
      <c r="F505" s="67" t="str">
        <f>IFERROR(__xludf.DUMMYFUNCTION("GOOGLETRANSLATE(B505,""en"",""tr"")"),"Kaldırma Kanıtı Yükle")</f>
        <v>Kaldırma Kanıtı Yükle</v>
      </c>
      <c r="G505" s="67" t="str">
        <f>IFERROR(__xludf.DUMMYFUNCTION("GOOGLETRANSLATE(B505,""en"",""ru"")"),"Загрузить Выгрузить доказательство")</f>
        <v>Загрузить Выгрузить доказательство</v>
      </c>
      <c r="H505" s="67" t="str">
        <f>IFERROR(__xludf.DUMMYFUNCTION("GOOGLETRANSLATE(B505,""en"",""it"")"),"Carica Scarica prova")</f>
        <v>Carica Scarica prova</v>
      </c>
      <c r="I505" s="67" t="str">
        <f>IFERROR(__xludf.DUMMYFUNCTION("GOOGLETRANSLATE(B505,""en"",""de"")"),"Laden Sie den Entladenachweis hoch")</f>
        <v>Laden Sie den Entladenachweis hoch</v>
      </c>
      <c r="J505" s="67" t="str">
        <f>IFERROR(__xludf.DUMMYFUNCTION("GOOGLETRANSLATE(B505,""en"",""ko"")"),"언로드 증명 업로드")</f>
        <v>언로드 증명 업로드</v>
      </c>
      <c r="K505" s="67" t="str">
        <f>IFERROR(__xludf.DUMMYFUNCTION("GOOGLETRANSLATE(B505,""en"",""zh"")"),"上传卸载证明")</f>
        <v>上传卸载证明</v>
      </c>
      <c r="L505" s="67" t="str">
        <f>IFERROR(__xludf.DUMMYFUNCTION("GOOGLETRANSLATE(B505,""en"",""es"")"),"Cargar Descargar Prueba")</f>
        <v>Cargar Descargar Prueba</v>
      </c>
      <c r="M505" s="66" t="str">
        <f>IFERROR(__xludf.DUMMYFUNCTION("GOOGLETRANSLATE(B505,""en"",""iw"")"),"העלה הוכחה לפרוק")</f>
        <v>העלה הוכחה לפרוק</v>
      </c>
      <c r="N505" s="67" t="str">
        <f>IFERROR(__xludf.DUMMYFUNCTION("GOOGLETRANSLATE(B505,""en"",""bn"")"),"আনলোড প্রুফ আপলোড করুন")</f>
        <v>আনলোড প্রুফ আপলোড করুন</v>
      </c>
      <c r="O505" s="4" t="str">
        <f>IFERROR(__xludf.DUMMYFUNCTION("GOOGLETRANSLATE(B505,""en"",""pt"")"),"Carregar prova de descarregamento")</f>
        <v>Carregar prova de descarregamento</v>
      </c>
      <c r="P505" s="62"/>
    </row>
    <row r="506">
      <c r="A506" s="68" t="s">
        <v>1228</v>
      </c>
      <c r="B506" s="60" t="s">
        <v>1229</v>
      </c>
      <c r="C506" s="66" t="str">
        <f>IFERROR(__xludf.DUMMYFUNCTION("GOOGLETRANSLATE(B506,""en"",""hi"")"),"शिपमेंट प्रमाण अपलोड करें")</f>
        <v>शिपमेंट प्रमाण अपलोड करें</v>
      </c>
      <c r="D506" s="67" t="str">
        <f>IFERROR(__xludf.DUMMYFUNCTION("GOOGLETRANSLATE(B506,""en"",""ar"")"),"تحميل إثبات الشحن")</f>
        <v>تحميل إثبات الشحن</v>
      </c>
      <c r="E506" s="67" t="str">
        <f>IFERROR(__xludf.DUMMYFUNCTION("GOOGLETRANSLATE(B506,""en"",""fr"")"),"Télécharger la preuve d'expédition")</f>
        <v>Télécharger la preuve d'expédition</v>
      </c>
      <c r="F506" s="67" t="str">
        <f>IFERROR(__xludf.DUMMYFUNCTION("GOOGLETRANSLATE(B506,""en"",""tr"")"),"Gönderi Kanıtını Yükle")</f>
        <v>Gönderi Kanıtını Yükle</v>
      </c>
      <c r="G506" s="67" t="str">
        <f>IFERROR(__xludf.DUMMYFUNCTION("GOOGLETRANSLATE(B506,""en"",""ru"")"),"Загрузить подтверждение отгрузки")</f>
        <v>Загрузить подтверждение отгрузки</v>
      </c>
      <c r="H506" s="67" t="str">
        <f>IFERROR(__xludf.DUMMYFUNCTION("GOOGLETRANSLATE(B506,""en"",""it"")"),"Carica la prova di spedizione")</f>
        <v>Carica la prova di spedizione</v>
      </c>
      <c r="I506" s="67" t="str">
        <f>IFERROR(__xludf.DUMMYFUNCTION("GOOGLETRANSLATE(B506,""en"",""de"")"),"Versandnachweis hochladen")</f>
        <v>Versandnachweis hochladen</v>
      </c>
      <c r="J506" s="67" t="str">
        <f>IFERROR(__xludf.DUMMYFUNCTION("GOOGLETRANSLATE(B506,""en"",""ko"")"),"배송 증명 업로드")</f>
        <v>배송 증명 업로드</v>
      </c>
      <c r="K506" s="67" t="str">
        <f>IFERROR(__xludf.DUMMYFUNCTION("GOOGLETRANSLATE(B506,""en"",""zh"")"),"上传发货证明")</f>
        <v>上传发货证明</v>
      </c>
      <c r="L506" s="67" t="str">
        <f>IFERROR(__xludf.DUMMYFUNCTION("GOOGLETRANSLATE(B506,""en"",""es"")"),"Cargar prueba de envío")</f>
        <v>Cargar prueba de envío</v>
      </c>
      <c r="M506" s="66" t="str">
        <f>IFERROR(__xludf.DUMMYFUNCTION("GOOGLETRANSLATE(B506,""en"",""iw"")"),"העלה הוכחת משלוח")</f>
        <v>העלה הוכחת משלוח</v>
      </c>
      <c r="N506" s="67" t="str">
        <f>IFERROR(__xludf.DUMMYFUNCTION("GOOGLETRANSLATE(B506,""en"",""bn"")"),"চালান প্রমাণ আপলোড করুন")</f>
        <v>চালান প্রমাণ আপলোড করুন</v>
      </c>
      <c r="O506" s="4" t="str">
        <f>IFERROR(__xludf.DUMMYFUNCTION("GOOGLETRANSLATE(B506,""en"",""pt"")"),"Carregar comprovante de remessa")</f>
        <v>Carregar comprovante de remessa</v>
      </c>
      <c r="P506" s="62"/>
    </row>
    <row r="507">
      <c r="A507" s="71" t="s">
        <v>1230</v>
      </c>
      <c r="B507" s="58" t="s">
        <v>1231</v>
      </c>
      <c r="C507" s="66" t="str">
        <f>IFERROR(__xludf.DUMMYFUNCTION("GOOGLETRANSLATE(B507,""en"",""hi"")"),"मालिक")</f>
        <v>मालिक</v>
      </c>
      <c r="D507" s="67" t="str">
        <f>IFERROR(__xludf.DUMMYFUNCTION("GOOGLETRANSLATE(B507,""en"",""ar"")"),"مالك")</f>
        <v>مالك</v>
      </c>
      <c r="E507" s="67" t="str">
        <f>IFERROR(__xludf.DUMMYFUNCTION("GOOGLETRANSLATE(B507,""en"",""fr"")"),"Propriétaire")</f>
        <v>Propriétaire</v>
      </c>
      <c r="F507" s="67" t="str">
        <f>IFERROR(__xludf.DUMMYFUNCTION("GOOGLETRANSLATE(B507,""en"",""tr"")"),"Mal sahibi")</f>
        <v>Mal sahibi</v>
      </c>
      <c r="G507" s="67" t="str">
        <f>IFERROR(__xludf.DUMMYFUNCTION("GOOGLETRANSLATE(B507,""en"",""ru"")"),"Владелец")</f>
        <v>Владелец</v>
      </c>
      <c r="H507" s="67" t="str">
        <f>IFERROR(__xludf.DUMMYFUNCTION("GOOGLETRANSLATE(B507,""en"",""it"")"),"Proprietario")</f>
        <v>Proprietario</v>
      </c>
      <c r="I507" s="67" t="str">
        <f>IFERROR(__xludf.DUMMYFUNCTION("GOOGLETRANSLATE(B507,""en"",""de"")"),"Eigentümer")</f>
        <v>Eigentümer</v>
      </c>
      <c r="J507" s="67" t="str">
        <f>IFERROR(__xludf.DUMMYFUNCTION("GOOGLETRANSLATE(B507,""en"",""ko"")"),"소유자")</f>
        <v>소유자</v>
      </c>
      <c r="K507" s="67" t="str">
        <f>IFERROR(__xludf.DUMMYFUNCTION("GOOGLETRANSLATE(B507,""en"",""zh"")"),"所有者")</f>
        <v>所有者</v>
      </c>
      <c r="L507" s="67" t="str">
        <f>IFERROR(__xludf.DUMMYFUNCTION("GOOGLETRANSLATE(B507,""en"",""es"")"),"Dueño")</f>
        <v>Dueño</v>
      </c>
      <c r="M507" s="66" t="str">
        <f>IFERROR(__xludf.DUMMYFUNCTION("GOOGLETRANSLATE(B507,""en"",""iw"")"),"בעלים")</f>
        <v>בעלים</v>
      </c>
      <c r="N507" s="67" t="str">
        <f>IFERROR(__xludf.DUMMYFUNCTION("GOOGLETRANSLATE(B507,""en"",""bn"")"),"মালিক")</f>
        <v>মালিক</v>
      </c>
      <c r="O507" s="4" t="str">
        <f>IFERROR(__xludf.DUMMYFUNCTION("GOOGLETRANSLATE(B507,""en"",""pt"")"),"Proprietário")</f>
        <v>Proprietário</v>
      </c>
      <c r="P507" s="62"/>
    </row>
    <row r="508">
      <c r="A508" s="64" t="s">
        <v>1232</v>
      </c>
      <c r="B508" s="58" t="s">
        <v>1233</v>
      </c>
      <c r="C508" s="66" t="str">
        <f>IFERROR(__xludf.DUMMYFUNCTION("GOOGLETRANSLATE(B508,""en"",""hi"")"),"परिवहन")</f>
        <v>परिवहन</v>
      </c>
      <c r="D508" s="67" t="str">
        <f>IFERROR(__xludf.DUMMYFUNCTION("GOOGLETRANSLATE(B508,""en"",""ar"")"),"ينقل")</f>
        <v>ينقل</v>
      </c>
      <c r="E508" s="67" t="str">
        <f>IFERROR(__xludf.DUMMYFUNCTION("GOOGLETRANSLATE(B508,""en"",""fr"")"),"Transport")</f>
        <v>Transport</v>
      </c>
      <c r="F508" s="67" t="str">
        <f>IFERROR(__xludf.DUMMYFUNCTION("GOOGLETRANSLATE(B508,""en"",""tr"")"),"Ulaşım")</f>
        <v>Ulaşım</v>
      </c>
      <c r="G508" s="67" t="str">
        <f>IFERROR(__xludf.DUMMYFUNCTION("GOOGLETRANSLATE(B508,""en"",""ru"")"),"Транспорт")</f>
        <v>Транспорт</v>
      </c>
      <c r="H508" s="67" t="str">
        <f>IFERROR(__xludf.DUMMYFUNCTION("GOOGLETRANSLATE(B508,""en"",""it"")"),"Trasporto")</f>
        <v>Trasporto</v>
      </c>
      <c r="I508" s="67" t="str">
        <f>IFERROR(__xludf.DUMMYFUNCTION("GOOGLETRANSLATE(B508,""en"",""de"")"),"Transport")</f>
        <v>Transport</v>
      </c>
      <c r="J508" s="67" t="str">
        <f>IFERROR(__xludf.DUMMYFUNCTION("GOOGLETRANSLATE(B508,""en"",""ko"")"),"수송")</f>
        <v>수송</v>
      </c>
      <c r="K508" s="67" t="str">
        <f>IFERROR(__xludf.DUMMYFUNCTION("GOOGLETRANSLATE(B508,""en"",""zh"")"),"运输")</f>
        <v>运输</v>
      </c>
      <c r="L508" s="67" t="str">
        <f>IFERROR(__xludf.DUMMYFUNCTION("GOOGLETRANSLATE(B508,""en"",""es"")"),"Transporte")</f>
        <v>Transporte</v>
      </c>
      <c r="M508" s="66" t="str">
        <f>IFERROR(__xludf.DUMMYFUNCTION("GOOGLETRANSLATE(B508,""en"",""iw"")"),"תַחְבּוּרָה")</f>
        <v>תַחְבּוּרָה</v>
      </c>
      <c r="N508" s="67" t="str">
        <f>IFERROR(__xludf.DUMMYFUNCTION("GOOGLETRANSLATE(B508,""en"",""bn"")"),"পরিবহন")</f>
        <v>পরিবহন</v>
      </c>
      <c r="O508" s="4" t="str">
        <f>IFERROR(__xludf.DUMMYFUNCTION("GOOGLETRANSLATE(B508,""en"",""pt"")"),"Transporte")</f>
        <v>Transporte</v>
      </c>
      <c r="P508" s="62"/>
    </row>
    <row r="509">
      <c r="A509" s="72" t="s">
        <v>1234</v>
      </c>
      <c r="B509" s="58" t="s">
        <v>1235</v>
      </c>
      <c r="C509" s="66" t="str">
        <f>IFERROR(__xludf.DUMMYFUNCTION("GOOGLETRANSLATE(B509,""en"",""hi"")"),"वितरण")</f>
        <v>वितरण</v>
      </c>
      <c r="D509" s="67" t="str">
        <f>IFERROR(__xludf.DUMMYFUNCTION("GOOGLETRANSLATE(B509,""en"",""ar"")"),"توصيل")</f>
        <v>توصيل</v>
      </c>
      <c r="E509" s="67" t="str">
        <f>IFERROR(__xludf.DUMMYFUNCTION("GOOGLETRANSLATE(B509,""en"",""fr"")"),"Livraison")</f>
        <v>Livraison</v>
      </c>
      <c r="F509" s="67" t="str">
        <f>IFERROR(__xludf.DUMMYFUNCTION("GOOGLETRANSLATE(B509,""en"",""tr"")"),"Teslimat")</f>
        <v>Teslimat</v>
      </c>
      <c r="G509" s="67" t="str">
        <f>IFERROR(__xludf.DUMMYFUNCTION("GOOGLETRANSLATE(B509,""en"",""ru"")"),"Доставка")</f>
        <v>Доставка</v>
      </c>
      <c r="H509" s="67" t="str">
        <f>IFERROR(__xludf.DUMMYFUNCTION("GOOGLETRANSLATE(B509,""en"",""it"")"),"Consegna")</f>
        <v>Consegna</v>
      </c>
      <c r="I509" s="67" t="str">
        <f>IFERROR(__xludf.DUMMYFUNCTION("GOOGLETRANSLATE(B509,""en"",""de"")"),"Lieferung")</f>
        <v>Lieferung</v>
      </c>
      <c r="J509" s="67" t="str">
        <f>IFERROR(__xludf.DUMMYFUNCTION("GOOGLETRANSLATE(B509,""en"",""ko"")"),"배달")</f>
        <v>배달</v>
      </c>
      <c r="K509" s="67" t="str">
        <f>IFERROR(__xludf.DUMMYFUNCTION("GOOGLETRANSLATE(B509,""en"",""zh"")"),"送货")</f>
        <v>送货</v>
      </c>
      <c r="L509" s="67" t="str">
        <f>IFERROR(__xludf.DUMMYFUNCTION("GOOGLETRANSLATE(B509,""en"",""es"")"),"Entrega")</f>
        <v>Entrega</v>
      </c>
      <c r="M509" s="66" t="str">
        <f>IFERROR(__xludf.DUMMYFUNCTION("GOOGLETRANSLATE(B509,""en"",""iw"")"),"מְסִירָה")</f>
        <v>מְסִירָה</v>
      </c>
      <c r="N509" s="67" t="str">
        <f>IFERROR(__xludf.DUMMYFUNCTION("GOOGLETRANSLATE(B509,""en"",""bn"")"),"ডেলিভারি")</f>
        <v>ডেলিভারি</v>
      </c>
      <c r="O509" s="4" t="str">
        <f>IFERROR(__xludf.DUMMYFUNCTION("GOOGLETRANSLATE(B509,""en"",""pt"")"),"Entrega")</f>
        <v>Entrega</v>
      </c>
      <c r="P509" s="62"/>
    </row>
    <row r="510">
      <c r="A510" s="57" t="s">
        <v>1236</v>
      </c>
      <c r="B510" s="58" t="s">
        <v>1237</v>
      </c>
      <c r="C510" s="66" t="str">
        <f>IFERROR(__xludf.DUMMYFUNCTION("GOOGLETRANSLATE(B510,""en"",""hi"")"),"भुगतान की प्रतीक्षा करना")</f>
        <v>भुगतान की प्रतीक्षा करना</v>
      </c>
      <c r="D510" s="67" t="str">
        <f>IFERROR(__xludf.DUMMYFUNCTION("GOOGLETRANSLATE(B510,""en"",""ar"")"),"في انتظار الدفع")</f>
        <v>في انتظار الدفع</v>
      </c>
      <c r="E510" s="67" t="str">
        <f>IFERROR(__xludf.DUMMYFUNCTION("GOOGLETRANSLATE(B510,""en"",""fr"")"),"En attente de paiement")</f>
        <v>En attente de paiement</v>
      </c>
      <c r="F510" s="67" t="str">
        <f>IFERROR(__xludf.DUMMYFUNCTION("GOOGLETRANSLATE(B510,""en"",""tr"")"),"Ödeme için bekleniyor")</f>
        <v>Ödeme için bekleniyor</v>
      </c>
      <c r="G510" s="67" t="str">
        <f>IFERROR(__xludf.DUMMYFUNCTION("GOOGLETRANSLATE(B510,""en"",""ru"")"),"Ожидается платеж")</f>
        <v>Ожидается платеж</v>
      </c>
      <c r="H510" s="67" t="str">
        <f>IFERROR(__xludf.DUMMYFUNCTION("GOOGLETRANSLATE(B510,""en"",""it"")"),"Aspettando il pagamento")</f>
        <v>Aspettando il pagamento</v>
      </c>
      <c r="I510" s="67" t="str">
        <f>IFERROR(__xludf.DUMMYFUNCTION("GOOGLETRANSLATE(B510,""en"",""de"")"),"Warten auf Zahlung")</f>
        <v>Warten auf Zahlung</v>
      </c>
      <c r="J510" s="67" t="str">
        <f>IFERROR(__xludf.DUMMYFUNCTION("GOOGLETRANSLATE(B510,""en"",""ko"")"),"결제 대기 중")</f>
        <v>결제 대기 중</v>
      </c>
      <c r="K510" s="67" t="str">
        <f>IFERROR(__xludf.DUMMYFUNCTION("GOOGLETRANSLATE(B510,""en"",""zh"")"),"等待付款")</f>
        <v>等待付款</v>
      </c>
      <c r="L510" s="67" t="str">
        <f>IFERROR(__xludf.DUMMYFUNCTION("GOOGLETRANSLATE(B510,""en"",""es"")"),"A la espera del pago")</f>
        <v>A la espera del pago</v>
      </c>
      <c r="M510" s="66" t="str">
        <f>IFERROR(__xludf.DUMMYFUNCTION("GOOGLETRANSLATE(B510,""en"",""iw"")"),"מחכה לתשלום")</f>
        <v>מחכה לתשלום</v>
      </c>
      <c r="N510" s="67" t="str">
        <f>IFERROR(__xludf.DUMMYFUNCTION("GOOGLETRANSLATE(B510,""en"",""bn"")"),"টাকা প্রদানের জন্য অপেক্ষা করছি")</f>
        <v>টাকা প্রদানের জন্য অপেক্ষা করছি</v>
      </c>
      <c r="O510" s="4" t="str">
        <f>IFERROR(__xludf.DUMMYFUNCTION("GOOGLETRANSLATE(B510,""en"",""pt"")"),"À espera de pagamento")</f>
        <v>À espera de pagamento</v>
      </c>
      <c r="P510" s="62"/>
    </row>
    <row r="511">
      <c r="A511" s="73" t="s">
        <v>1238</v>
      </c>
      <c r="B511" s="74" t="s">
        <v>1239</v>
      </c>
      <c r="C511" s="66" t="str">
        <f>IFERROR(__xludf.DUMMYFUNCTION("GOOGLETRANSLATE(B511,""en"",""hi"")"),"जारी रखें")</f>
        <v>जारी रखें</v>
      </c>
      <c r="D511" s="67" t="str">
        <f>IFERROR(__xludf.DUMMYFUNCTION("GOOGLETRANSLATE(B511,""en"",""ar"")"),"تواصل مع")</f>
        <v>تواصل مع</v>
      </c>
      <c r="E511" s="67" t="str">
        <f>IFERROR(__xludf.DUMMYFUNCTION("GOOGLETRANSLATE(B511,""en"",""fr"")"),"Continue avec")</f>
        <v>Continue avec</v>
      </c>
      <c r="F511" s="67" t="str">
        <f>IFERROR(__xludf.DUMMYFUNCTION("GOOGLETRANSLATE(B511,""en"",""tr"")"),"İle devam et")</f>
        <v>İle devam et</v>
      </c>
      <c r="G511" s="67" t="str">
        <f>IFERROR(__xludf.DUMMYFUNCTION("GOOGLETRANSLATE(B511,""en"",""ru"")"),"Продолжить с")</f>
        <v>Продолжить с</v>
      </c>
      <c r="H511" s="67" t="str">
        <f>IFERROR(__xludf.DUMMYFUNCTION("GOOGLETRANSLATE(B511,""en"",""it"")"),"Continua con")</f>
        <v>Continua con</v>
      </c>
      <c r="I511" s="67" t="str">
        <f>IFERROR(__xludf.DUMMYFUNCTION("GOOGLETRANSLATE(B511,""en"",""de"")"),"Weitermachen mit")</f>
        <v>Weitermachen mit</v>
      </c>
      <c r="J511" s="67" t="str">
        <f>IFERROR(__xludf.DUMMYFUNCTION("GOOGLETRANSLATE(B511,""en"",""ko"")"),"계속")</f>
        <v>계속</v>
      </c>
      <c r="K511" s="67" t="str">
        <f>IFERROR(__xludf.DUMMYFUNCTION("GOOGLETRANSLATE(B511,""en"",""zh"")"),"继续")</f>
        <v>继续</v>
      </c>
      <c r="L511" s="67" t="str">
        <f>IFERROR(__xludf.DUMMYFUNCTION("GOOGLETRANSLATE(B511,""en"",""es"")"),"Continua con")</f>
        <v>Continua con</v>
      </c>
      <c r="M511" s="66" t="str">
        <f>IFERROR(__xludf.DUMMYFUNCTION("GOOGLETRANSLATE(B511,""en"",""iw"")"),"להמשיך עם")</f>
        <v>להמשיך עם</v>
      </c>
      <c r="N511" s="67" t="str">
        <f>IFERROR(__xludf.DUMMYFUNCTION("GOOGLETRANSLATE(B511,""en"",""bn"")"),"সাথে চালিয়ে যান")</f>
        <v>সাথে চালিয়ে যান</v>
      </c>
      <c r="O511" s="4" t="str">
        <f>IFERROR(__xludf.DUMMYFUNCTION("GOOGLETRANSLATE(B511,""en"",""pt"")"),"Continue com")</f>
        <v>Continue com</v>
      </c>
    </row>
    <row r="512">
      <c r="A512" s="75" t="s">
        <v>1240</v>
      </c>
      <c r="B512" s="74" t="s">
        <v>1241</v>
      </c>
      <c r="C512" s="66" t="str">
        <f>IFERROR(__xludf.DUMMYFUNCTION("GOOGLETRANSLATE(B512,""en"",""hi"")"),"यूआरएल पर जाएं")</f>
        <v>यूआरएल पर जाएं</v>
      </c>
      <c r="D512" s="67" t="str">
        <f>IFERROR(__xludf.DUMMYFUNCTION("GOOGLETRANSLATE(B512,""en"",""ar"")"),"انتقل إلى عنوان URL")</f>
        <v>انتقل إلى عنوان URL</v>
      </c>
      <c r="E512" s="67" t="str">
        <f>IFERROR(__xludf.DUMMYFUNCTION("GOOGLETRANSLATE(B512,""en"",""fr"")"),"Accéder à l'URL")</f>
        <v>Accéder à l'URL</v>
      </c>
      <c r="F512" s="67" t="str">
        <f>IFERROR(__xludf.DUMMYFUNCTION("GOOGLETRANSLATE(B512,""en"",""tr"")"),"URL'ye git")</f>
        <v>URL'ye git</v>
      </c>
      <c r="G512" s="67" t="str">
        <f>IFERROR(__xludf.DUMMYFUNCTION("GOOGLETRANSLATE(B512,""en"",""ru"")"),"Перейти к URL")</f>
        <v>Перейти к URL</v>
      </c>
      <c r="H512" s="67" t="str">
        <f>IFERROR(__xludf.DUMMYFUNCTION("GOOGLETRANSLATE(B512,""en"",""it"")"),"Vai all'URL")</f>
        <v>Vai all'URL</v>
      </c>
      <c r="I512" s="67" t="str">
        <f>IFERROR(__xludf.DUMMYFUNCTION("GOOGLETRANSLATE(B512,""en"",""de"")"),"Gehe zur URL")</f>
        <v>Gehe zur URL</v>
      </c>
      <c r="J512" s="67" t="str">
        <f>IFERROR(__xludf.DUMMYFUNCTION("GOOGLETRANSLATE(B512,""en"",""ko"")"),"URL로 이동")</f>
        <v>URL로 이동</v>
      </c>
      <c r="K512" s="67" t="str">
        <f>IFERROR(__xludf.DUMMYFUNCTION("GOOGLETRANSLATE(B512,""en"",""zh"")"),"转到网址")</f>
        <v>转到网址</v>
      </c>
      <c r="L512" s="67" t="str">
        <f>IFERROR(__xludf.DUMMYFUNCTION("GOOGLETRANSLATE(B512,""en"",""es"")"),"Ir a URL")</f>
        <v>Ir a URL</v>
      </c>
      <c r="M512" s="66" t="str">
        <f>IFERROR(__xludf.DUMMYFUNCTION("GOOGLETRANSLATE(B512,""en"",""iw"")"),"עבור אל כתובת האתר")</f>
        <v>עבור אל כתובת האתר</v>
      </c>
      <c r="N512" s="67" t="str">
        <f>IFERROR(__xludf.DUMMYFUNCTION("GOOGLETRANSLATE(B512,""en"",""bn"")"),"ইউআরএলে যান")</f>
        <v>ইউআরএলে যান</v>
      </c>
      <c r="O512" s="4" t="str">
        <f>IFERROR(__xludf.DUMMYFUNCTION("GOOGLETRANSLATE(B512,""en"",""pt"")"),"Ir para URL")</f>
        <v>Ir para URL</v>
      </c>
    </row>
    <row r="513">
      <c r="A513" s="75" t="s">
        <v>861</v>
      </c>
      <c r="B513" s="76" t="s">
        <v>862</v>
      </c>
      <c r="C513" s="66" t="str">
        <f>IFERROR(__xludf.DUMMYFUNCTION("GOOGLETRANSLATE(B513,""en"",""hi"")"),"तारीख़ चुनें")</f>
        <v>तारीख़ चुनें</v>
      </c>
      <c r="D513" s="67" t="str">
        <f>IFERROR(__xludf.DUMMYFUNCTION("GOOGLETRANSLATE(B513,""en"",""ar"")"),"حدد تاريخ")</f>
        <v>حدد تاريخ</v>
      </c>
      <c r="E513" s="67" t="str">
        <f>IFERROR(__xludf.DUMMYFUNCTION("GOOGLETRANSLATE(B513,""en"",""fr"")"),"Sélectionner une date")</f>
        <v>Sélectionner une date</v>
      </c>
      <c r="F513" s="67" t="str">
        <f>IFERROR(__xludf.DUMMYFUNCTION("GOOGLETRANSLATE(B513,""en"",""tr"")"),"Tarih seç")</f>
        <v>Tarih seç</v>
      </c>
      <c r="G513" s="67" t="str">
        <f>IFERROR(__xludf.DUMMYFUNCTION("GOOGLETRANSLATE(B513,""en"",""ru"")"),"Выберите дату")</f>
        <v>Выберите дату</v>
      </c>
      <c r="H513" s="67" t="str">
        <f>IFERROR(__xludf.DUMMYFUNCTION("GOOGLETRANSLATE(B513,""en"",""it"")"),"Seleziona Data")</f>
        <v>Seleziona Data</v>
      </c>
      <c r="I513" s="67" t="str">
        <f>IFERROR(__xludf.DUMMYFUNCTION("GOOGLETRANSLATE(B513,""en"",""de"")"),"Datum auswählen")</f>
        <v>Datum auswählen</v>
      </c>
      <c r="J513" s="67" t="str">
        <f>IFERROR(__xludf.DUMMYFUNCTION("GOOGLETRANSLATE(B513,""en"",""ko"")"),"날짜 선택")</f>
        <v>날짜 선택</v>
      </c>
      <c r="K513" s="67" t="str">
        <f>IFERROR(__xludf.DUMMYFUNCTION("GOOGLETRANSLATE(B513,""en"",""zh"")"),"选择日期")</f>
        <v>选择日期</v>
      </c>
      <c r="L513" s="67" t="str">
        <f>IFERROR(__xludf.DUMMYFUNCTION("GOOGLETRANSLATE(B513,""en"",""es"")"),"Seleccione fecha")</f>
        <v>Seleccione fecha</v>
      </c>
      <c r="M513" s="66" t="str">
        <f>IFERROR(__xludf.DUMMYFUNCTION("GOOGLETRANSLATE(B513,""en"",""iw"")"),"בחר תאריך")</f>
        <v>בחר תאריך</v>
      </c>
      <c r="N513" s="67" t="str">
        <f>IFERROR(__xludf.DUMMYFUNCTION("GOOGLETRANSLATE(B513,""en"",""bn"")"),"তারিখ নির্বাচন করুন")</f>
        <v>তারিখ নির্বাচন করুন</v>
      </c>
      <c r="O513" s="4" t="str">
        <f>IFERROR(__xludf.DUMMYFUNCTION("GOOGLETRANSLATE(B513,""en"",""pt"")"),"Selecione a data")</f>
        <v>Selecione a data</v>
      </c>
    </row>
    <row r="514">
      <c r="A514" s="73" t="s">
        <v>1242</v>
      </c>
      <c r="B514" s="77" t="s">
        <v>1243</v>
      </c>
      <c r="C514" s="66" t="str">
        <f>IFERROR(__xludf.DUMMYFUNCTION("GOOGLETRANSLATE(B514,""en"",""hi"")"),"के लिए पंजीकृत करें")</f>
        <v>के लिए पंजीकृत करें</v>
      </c>
      <c r="D514" s="67" t="str">
        <f>IFERROR(__xludf.DUMMYFUNCTION("GOOGLETRANSLATE(B514,""en"",""ar"")"),"سجل ل")</f>
        <v>سجل ل</v>
      </c>
      <c r="E514" s="67" t="str">
        <f>IFERROR(__xludf.DUMMYFUNCTION("GOOGLETRANSLATE(B514,""en"",""fr"")"),"S'inscrire à")</f>
        <v>S'inscrire à</v>
      </c>
      <c r="F514" s="67" t="str">
        <f>IFERROR(__xludf.DUMMYFUNCTION("GOOGLETRANSLATE(B514,""en"",""tr"")"),"Kayıt ol")</f>
        <v>Kayıt ol</v>
      </c>
      <c r="G514" s="67" t="str">
        <f>IFERROR(__xludf.DUMMYFUNCTION("GOOGLETRANSLATE(B514,""en"",""ru"")"),"Зарегистрируйтесь для")</f>
        <v>Зарегистрируйтесь для</v>
      </c>
      <c r="H514" s="67" t="str">
        <f>IFERROR(__xludf.DUMMYFUNCTION("GOOGLETRANSLATE(B514,""en"",""it"")"),"Registrati per")</f>
        <v>Registrati per</v>
      </c>
      <c r="I514" s="67" t="str">
        <f>IFERROR(__xludf.DUMMYFUNCTION("GOOGLETRANSLATE(B514,""en"",""de"")"),"Registrieren für")</f>
        <v>Registrieren für</v>
      </c>
      <c r="J514" s="67" t="str">
        <f>IFERROR(__xludf.DUMMYFUNCTION("GOOGLETRANSLATE(B514,""en"",""ko"")"),"등록하다")</f>
        <v>등록하다</v>
      </c>
      <c r="K514" s="67" t="str">
        <f>IFERROR(__xludf.DUMMYFUNCTION("GOOGLETRANSLATE(B514,""en"",""zh"")"),"为.....注册")</f>
        <v>为.....注册</v>
      </c>
      <c r="L514" s="67" t="str">
        <f>IFERROR(__xludf.DUMMYFUNCTION("GOOGLETRANSLATE(B514,""en"",""es"")"),"Regístrese para")</f>
        <v>Regístrese para</v>
      </c>
      <c r="M514" s="66" t="str">
        <f>IFERROR(__xludf.DUMMYFUNCTION("GOOGLETRANSLATE(B514,""en"",""iw"")"),"להירשם ל")</f>
        <v>להירשם ל</v>
      </c>
      <c r="N514" s="67" t="str">
        <f>IFERROR(__xludf.DUMMYFUNCTION("GOOGLETRANSLATE(B514,""en"",""bn"")"),"নিবন্ধনের জন্য")</f>
        <v>নিবন্ধনের জন্য</v>
      </c>
      <c r="O514" s="4" t="str">
        <f>IFERROR(__xludf.DUMMYFUNCTION("GOOGLETRANSLATE(B514,""en"",""pt"")"),"Registrar para")</f>
        <v>Registrar para</v>
      </c>
    </row>
    <row r="515">
      <c r="A515" s="75" t="s">
        <v>1244</v>
      </c>
      <c r="B515" s="78" t="s">
        <v>1245</v>
      </c>
      <c r="C515" s="66" t="str">
        <f>IFERROR(__xludf.DUMMYFUNCTION("GOOGLETRANSLATE(B515,""en"",""hi"")"),"अनुशंसित किराया")</f>
        <v>अनुशंसित किराया</v>
      </c>
      <c r="D515" s="67" t="str">
        <f>IFERROR(__xludf.DUMMYFUNCTION("GOOGLETRANSLATE(B515,""en"",""ar"")"),"الأجرة الموصى بها")</f>
        <v>الأجرة الموصى بها</v>
      </c>
      <c r="E515" s="67" t="str">
        <f>IFERROR(__xludf.DUMMYFUNCTION("GOOGLETRANSLATE(B515,""en"",""fr"")"),"Tarif recommandé")</f>
        <v>Tarif recommandé</v>
      </c>
      <c r="F515" s="67" t="str">
        <f>IFERROR(__xludf.DUMMYFUNCTION("GOOGLETRANSLATE(B515,""en"",""tr"")"),"Önerilen Ücret")</f>
        <v>Önerilen Ücret</v>
      </c>
      <c r="G515" s="67" t="str">
        <f>IFERROR(__xludf.DUMMYFUNCTION("GOOGLETRANSLATE(B515,""en"",""ru"")"),"Рекомендуемый тариф")</f>
        <v>Рекомендуемый тариф</v>
      </c>
      <c r="H515" s="67" t="str">
        <f>IFERROR(__xludf.DUMMYFUNCTION("GOOGLETRANSLATE(B515,""en"",""it"")"),"Tariffa consigliata")</f>
        <v>Tariffa consigliata</v>
      </c>
      <c r="I515" s="67" t="str">
        <f>IFERROR(__xludf.DUMMYFUNCTION("GOOGLETRANSLATE(B515,""en"",""de"")"),"Empfohlener Tarif")</f>
        <v>Empfohlener Tarif</v>
      </c>
      <c r="J515" s="67" t="str">
        <f>IFERROR(__xludf.DUMMYFUNCTION("GOOGLETRANSLATE(B515,""en"",""ko"")"),"추천운임")</f>
        <v>추천운임</v>
      </c>
      <c r="K515" s="67" t="str">
        <f>IFERROR(__xludf.DUMMYFUNCTION("GOOGLETRANSLATE(B515,""en"",""zh"")"),"推荐票价")</f>
        <v>推荐票价</v>
      </c>
      <c r="L515" s="67" t="str">
        <f>IFERROR(__xludf.DUMMYFUNCTION("GOOGLETRANSLATE(B515,""en"",""es"")"),"Tarifa recomendada")</f>
        <v>Tarifa recomendada</v>
      </c>
      <c r="M515" s="66" t="str">
        <f>IFERROR(__xludf.DUMMYFUNCTION("GOOGLETRANSLATE(B515,""en"",""iw"")"),"תעריף מומלץ")</f>
        <v>תעריף מומלץ</v>
      </c>
      <c r="N515" s="67" t="str">
        <f>IFERROR(__xludf.DUMMYFUNCTION("GOOGLETRANSLATE(B515,""en"",""bn"")"),"প্রস্তাবিত ভাড়া")</f>
        <v>প্রস্তাবিত ভাড়া</v>
      </c>
      <c r="O515" s="4" t="str">
        <f>IFERROR(__xludf.DUMMYFUNCTION("GOOGLETRANSLATE(B515,""en"",""pt"")"),"Tarifa recomendada")</f>
        <v>Tarifa recomendada</v>
      </c>
    </row>
    <row r="516">
      <c r="A516" s="75" t="s">
        <v>1246</v>
      </c>
      <c r="B516" s="76" t="s">
        <v>1247</v>
      </c>
      <c r="C516" s="66" t="str">
        <f>IFERROR(__xludf.DUMMYFUNCTION("GOOGLETRANSLATE(B516,""en"",""hi"")"),"अपना किराया ऑफर करें")</f>
        <v>अपना किराया ऑफर करें</v>
      </c>
      <c r="D516" s="67" t="str">
        <f>IFERROR(__xludf.DUMMYFUNCTION("GOOGLETRANSLATE(B516,""en"",""ar"")"),"عرض الأجرة الخاصة بك")</f>
        <v>عرض الأجرة الخاصة بك</v>
      </c>
      <c r="E516" s="67" t="str">
        <f>IFERROR(__xludf.DUMMYFUNCTION("GOOGLETRANSLATE(B516,""en"",""fr"")"),"Proposez votre tarif")</f>
        <v>Proposez votre tarif</v>
      </c>
      <c r="F516" s="67" t="str">
        <f>IFERROR(__xludf.DUMMYFUNCTION("GOOGLETRANSLATE(B516,""en"",""tr"")"),"Ücretinizi Teklif Edin")</f>
        <v>Ücretinizi Teklif Edin</v>
      </c>
      <c r="G516" s="67" t="str">
        <f>IFERROR(__xludf.DUMMYFUNCTION("GOOGLETRANSLATE(B516,""en"",""ru"")"),"Предложите свой тариф")</f>
        <v>Предложите свой тариф</v>
      </c>
      <c r="H516" s="67" t="str">
        <f>IFERROR(__xludf.DUMMYFUNCTION("GOOGLETRANSLATE(B516,""en"",""it"")"),"Offri la tua tariffa")</f>
        <v>Offri la tua tariffa</v>
      </c>
      <c r="I516" s="67" t="str">
        <f>IFERROR(__xludf.DUMMYFUNCTION("GOOGLETRANSLATE(B516,""en"",""de"")"),"Bieten Sie Ihren Fahrpreis an")</f>
        <v>Bieten Sie Ihren Fahrpreis an</v>
      </c>
      <c r="J516" s="67" t="str">
        <f>IFERROR(__xludf.DUMMYFUNCTION("GOOGLETRANSLATE(B516,""en"",""ko"")"),"요금을 제안하세요")</f>
        <v>요금을 제안하세요</v>
      </c>
      <c r="K516" s="67" t="str">
        <f>IFERROR(__xludf.DUMMYFUNCTION("GOOGLETRANSLATE(B516,""en"",""zh"")"),"提供您的票价")</f>
        <v>提供您的票价</v>
      </c>
      <c r="L516" s="67" t="str">
        <f>IFERROR(__xludf.DUMMYFUNCTION("GOOGLETRANSLATE(B516,""en"",""es"")"),"Ofrezca su tarifa")</f>
        <v>Ofrezca su tarifa</v>
      </c>
      <c r="M516" s="66" t="str">
        <f>IFERROR(__xludf.DUMMYFUNCTION("GOOGLETRANSLATE(B516,""en"",""iw"")"),"הצע את דמי הנסיעה שלך")</f>
        <v>הצע את דמי הנסיעה שלך</v>
      </c>
      <c r="N516" s="67" t="str">
        <f>IFERROR(__xludf.DUMMYFUNCTION("GOOGLETRANSLATE(B516,""en"",""bn"")"),"আপনার ভাড়া অফার")</f>
        <v>আপনার ভাড়া অফার</v>
      </c>
      <c r="O516" s="4" t="str">
        <f>IFERROR(__xludf.DUMMYFUNCTION("GOOGLETRANSLATE(B516,""en"",""pt"")"),"Ofereça sua tarifa")</f>
        <v>Ofereça sua tarifa</v>
      </c>
    </row>
    <row r="517">
      <c r="A517" s="79" t="s">
        <v>1248</v>
      </c>
      <c r="B517" s="80" t="s">
        <v>1249</v>
      </c>
      <c r="C517" s="66" t="str">
        <f>IFERROR(__xludf.DUMMYFUNCTION("GOOGLETRANSLATE(B517,""en"",""hi"")"),"सवारी किराया की पेशकश की")</f>
        <v>सवारी किराया की पेशकश की</v>
      </c>
      <c r="D517" s="67" t="str">
        <f>IFERROR(__xludf.DUMMYFUNCTION("GOOGLETRANSLATE(B517,""en"",""ar"")"),"عرضت أجرة الركوب")</f>
        <v>عرضت أجرة الركوب</v>
      </c>
      <c r="E517" s="67" t="str">
        <f>IFERROR(__xludf.DUMMYFUNCTION("GOOGLETRANSLATE(B517,""en"",""fr"")"),"Tarif du trajet offert")</f>
        <v>Tarif du trajet offert</v>
      </c>
      <c r="F517" s="67" t="str">
        <f>IFERROR(__xludf.DUMMYFUNCTION("GOOGLETRANSLATE(B517,""en"",""tr"")"),"Teklif edilen yolculuk ücreti")</f>
        <v>Teklif edilen yolculuk ücreti</v>
      </c>
      <c r="G517" s="67" t="str">
        <f>IFERROR(__xludf.DUMMYFUNCTION("GOOGLETRANSLATE(B517,""en"",""ru"")"),"Предлагаемая стоимость поездки")</f>
        <v>Предлагаемая стоимость поездки</v>
      </c>
      <c r="H517" s="67" t="str">
        <f>IFERROR(__xludf.DUMMYFUNCTION("GOOGLETRANSLATE(B517,""en"",""it"")"),"Tariffa di corsa offerta")</f>
        <v>Tariffa di corsa offerta</v>
      </c>
      <c r="I517" s="67" t="str">
        <f>IFERROR(__xludf.DUMMYFUNCTION("GOOGLETRANSLATE(B517,""en"",""de"")"),"Angebotener Fahrpreis")</f>
        <v>Angebotener Fahrpreis</v>
      </c>
      <c r="J517" s="67" t="str">
        <f>IFERROR(__xludf.DUMMYFUNCTION("GOOGLETRANSLATE(B517,""en"",""ko"")"),"제공되는 승차 요금")</f>
        <v>제공되는 승차 요금</v>
      </c>
      <c r="K517" s="67" t="str">
        <f>IFERROR(__xludf.DUMMYFUNCTION("GOOGLETRANSLATE(B517,""en"",""zh"")"),"提供乘车票价")</f>
        <v>提供乘车票价</v>
      </c>
      <c r="L517" s="67" t="str">
        <f>IFERROR(__xludf.DUMMYFUNCTION("GOOGLETRANSLATE(B517,""en"",""es"")"),"Tarifa de viaje ofrecida")</f>
        <v>Tarifa de viaje ofrecida</v>
      </c>
      <c r="M517" s="66" t="str">
        <f>IFERROR(__xludf.DUMMYFUNCTION("GOOGLETRANSLATE(B517,""en"",""iw"")"),"הוצע תעריף נסיעה")</f>
        <v>הוצע תעריף נסיעה</v>
      </c>
      <c r="N517" s="67" t="str">
        <f>IFERROR(__xludf.DUMMYFUNCTION("GOOGLETRANSLATE(B517,""en"",""bn"")"),"অফার করা রাইড ভাড়া")</f>
        <v>অফার করা রাইড ভাড়া</v>
      </c>
      <c r="O517" s="4" t="str">
        <f>IFERROR(__xludf.DUMMYFUNCTION("GOOGLETRANSLATE(B517,""en"",""pt"")"),"Tarifa de viagem oferecida")</f>
        <v>Tarifa de viagem oferecida</v>
      </c>
    </row>
    <row r="518">
      <c r="A518" s="81" t="s">
        <v>1250</v>
      </c>
      <c r="B518" s="80" t="s">
        <v>1251</v>
      </c>
      <c r="C518" s="66" t="str">
        <f>IFERROR(__xludf.DUMMYFUNCTION("GOOGLETRANSLATE(B518,""en"",""hi"")"),"वर्तमान किराया")</f>
        <v>वर्तमान किराया</v>
      </c>
      <c r="D518" s="67" t="str">
        <f>IFERROR(__xludf.DUMMYFUNCTION("GOOGLETRANSLATE(B518,""en"",""ar"")"),"الأجرة الحالية")</f>
        <v>الأجرة الحالية</v>
      </c>
      <c r="E518" s="67" t="str">
        <f>IFERROR(__xludf.DUMMYFUNCTION("GOOGLETRANSLATE(B518,""en"",""fr"")"),"Tarif actuel")</f>
        <v>Tarif actuel</v>
      </c>
      <c r="F518" s="67" t="str">
        <f>IFERROR(__xludf.DUMMYFUNCTION("GOOGLETRANSLATE(B518,""en"",""tr"")"),"Güncel Ücret")</f>
        <v>Güncel Ücret</v>
      </c>
      <c r="G518" s="67" t="str">
        <f>IFERROR(__xludf.DUMMYFUNCTION("GOOGLETRANSLATE(B518,""en"",""ru"")"),"Текущий тариф")</f>
        <v>Текущий тариф</v>
      </c>
      <c r="H518" s="67" t="str">
        <f>IFERROR(__xludf.DUMMYFUNCTION("GOOGLETRANSLATE(B518,""en"",""it"")"),"Tariffa attuale")</f>
        <v>Tariffa attuale</v>
      </c>
      <c r="I518" s="67" t="str">
        <f>IFERROR(__xludf.DUMMYFUNCTION("GOOGLETRANSLATE(B518,""en"",""de"")"),"Aktueller Tarif")</f>
        <v>Aktueller Tarif</v>
      </c>
      <c r="J518" s="67" t="str">
        <f>IFERROR(__xludf.DUMMYFUNCTION("GOOGLETRANSLATE(B518,""en"",""ko"")"),"현재 요금")</f>
        <v>현재 요금</v>
      </c>
      <c r="K518" s="67" t="str">
        <f>IFERROR(__xludf.DUMMYFUNCTION("GOOGLETRANSLATE(B518,""en"",""zh"")"),"当前票价")</f>
        <v>当前票价</v>
      </c>
      <c r="L518" s="67" t="str">
        <f>IFERROR(__xludf.DUMMYFUNCTION("GOOGLETRANSLATE(B518,""en"",""es"")"),"Tarifa actual")</f>
        <v>Tarifa actual</v>
      </c>
      <c r="M518" s="66" t="str">
        <f>IFERROR(__xludf.DUMMYFUNCTION("GOOGLETRANSLATE(B518,""en"",""iw"")"),"תעריף נוכחי")</f>
        <v>תעריף נוכחי</v>
      </c>
      <c r="N518" s="67" t="str">
        <f>IFERROR(__xludf.DUMMYFUNCTION("GOOGLETRANSLATE(B518,""en"",""bn"")"),"বর্তমান ভাড়া")</f>
        <v>বর্তমান ভাড়া</v>
      </c>
      <c r="O518" s="4" t="str">
        <f>IFERROR(__xludf.DUMMYFUNCTION("GOOGLETRANSLATE(B518,""en"",""pt"")"),"Tarifa Atual")</f>
        <v>Tarifa Atual</v>
      </c>
    </row>
    <row r="519">
      <c r="A519" s="82" t="s">
        <v>1252</v>
      </c>
      <c r="B519" s="80" t="s">
        <v>1253</v>
      </c>
      <c r="C519" s="66" t="str">
        <f>IFERROR(__xludf.DUMMYFUNCTION("GOOGLETRANSLATE(B519,""en"",""hi"")"),"अद्यतन")</f>
        <v>अद्यतन</v>
      </c>
      <c r="D519" s="67" t="str">
        <f>IFERROR(__xludf.DUMMYFUNCTION("GOOGLETRANSLATE(B519,""en"",""ar"")"),"تحديث")</f>
        <v>تحديث</v>
      </c>
      <c r="E519" s="67" t="str">
        <f>IFERROR(__xludf.DUMMYFUNCTION("GOOGLETRANSLATE(B519,""en"",""fr"")"),"Mise à jour")</f>
        <v>Mise à jour</v>
      </c>
      <c r="F519" s="67" t="str">
        <f>IFERROR(__xludf.DUMMYFUNCTION("GOOGLETRANSLATE(B519,""en"",""tr"")"),"Güncelleme")</f>
        <v>Güncelleme</v>
      </c>
      <c r="G519" s="67" t="str">
        <f>IFERROR(__xludf.DUMMYFUNCTION("GOOGLETRANSLATE(B519,""en"",""ru"")"),"Обновлять")</f>
        <v>Обновлять</v>
      </c>
      <c r="H519" s="67" t="str">
        <f>IFERROR(__xludf.DUMMYFUNCTION("GOOGLETRANSLATE(B519,""en"",""it"")"),"Aggiornamento")</f>
        <v>Aggiornamento</v>
      </c>
      <c r="I519" s="67" t="str">
        <f>IFERROR(__xludf.DUMMYFUNCTION("GOOGLETRANSLATE(B519,""en"",""de"")"),"Aktualisieren")</f>
        <v>Aktualisieren</v>
      </c>
      <c r="J519" s="67" t="str">
        <f>IFERROR(__xludf.DUMMYFUNCTION("GOOGLETRANSLATE(B519,""en"",""ko"")"),"업데이트")</f>
        <v>업데이트</v>
      </c>
      <c r="K519" s="67" t="str">
        <f>IFERROR(__xludf.DUMMYFUNCTION("GOOGLETRANSLATE(B519,""en"",""zh"")"),"更新")</f>
        <v>更新</v>
      </c>
      <c r="L519" s="67" t="str">
        <f>IFERROR(__xludf.DUMMYFUNCTION("GOOGLETRANSLATE(B519,""en"",""es"")"),"Actualizar")</f>
        <v>Actualizar</v>
      </c>
      <c r="M519" s="66" t="str">
        <f>IFERROR(__xludf.DUMMYFUNCTION("GOOGLETRANSLATE(B519,""en"",""iw"")"),"עדכון")</f>
        <v>עדכון</v>
      </c>
      <c r="N519" s="67" t="str">
        <f>IFERROR(__xludf.DUMMYFUNCTION("GOOGLETRANSLATE(B519,""en"",""bn"")"),"হালনাগাদ")</f>
        <v>হালনাগাদ</v>
      </c>
      <c r="O519" s="4" t="str">
        <f>IFERROR(__xludf.DUMMYFUNCTION("GOOGLETRANSLATE(B519,""en"",""pt"")"),"Atualizar")</f>
        <v>Atualizar</v>
      </c>
    </row>
    <row r="520">
      <c r="A520" s="82" t="s">
        <v>1254</v>
      </c>
      <c r="B520" s="80" t="s">
        <v>1255</v>
      </c>
      <c r="C520" s="66" t="str">
        <f>IFERROR(__xludf.DUMMYFUNCTION("GOOGLETRANSLATE(B520,""en"",""hi"")"),"अब आप ऑफ ड्यूटी हैं")</f>
        <v>अब आप ऑफ ड्यूटी हैं</v>
      </c>
      <c r="D520" s="67" t="str">
        <f>IFERROR(__xludf.DUMMYFUNCTION("GOOGLETRANSLATE(B520,""en"",""ar"")"),"أنت خارج الخدمة الآن")</f>
        <v>أنت خارج الخدمة الآن</v>
      </c>
      <c r="E520" s="67" t="str">
        <f>IFERROR(__xludf.DUMMYFUNCTION("GOOGLETRANSLATE(B520,""en"",""fr"")"),"Vous n'êtes plus en service maintenant")</f>
        <v>Vous n'êtes plus en service maintenant</v>
      </c>
      <c r="F520" s="67" t="str">
        <f>IFERROR(__xludf.DUMMYFUNCTION("GOOGLETRANSLATE(B520,""en"",""tr"")"),"Artık Görev Dışındasınız")</f>
        <v>Artık Görev Dışındasınız</v>
      </c>
      <c r="G520" s="67" t="str">
        <f>IFERROR(__xludf.DUMMYFUNCTION("GOOGLETRANSLATE(B520,""en"",""ru"")"),"Вы сейчас не на службе")</f>
        <v>Вы сейчас не на службе</v>
      </c>
      <c r="H520" s="67" t="str">
        <f>IFERROR(__xludf.DUMMYFUNCTION("GOOGLETRANSLATE(B520,""en"",""it"")"),"Sei fuori servizio adesso")</f>
        <v>Sei fuori servizio adesso</v>
      </c>
      <c r="I520" s="67" t="str">
        <f>IFERROR(__xludf.DUMMYFUNCTION("GOOGLETRANSLATE(B520,""en"",""de"")"),"Sie sind jetzt außer Dienst")</f>
        <v>Sie sind jetzt außer Dienst</v>
      </c>
      <c r="J520" s="67" t="str">
        <f>IFERROR(__xludf.DUMMYFUNCTION("GOOGLETRANSLATE(B520,""en"",""ko"")"),"당신은 지금 비번입니다")</f>
        <v>당신은 지금 비번입니다</v>
      </c>
      <c r="K520" s="67" t="str">
        <f>IFERROR(__xludf.DUMMYFUNCTION("GOOGLETRANSLATE(B520,""en"",""zh"")"),"你现在下班了")</f>
        <v>你现在下班了</v>
      </c>
      <c r="L520" s="67" t="str">
        <f>IFERROR(__xludf.DUMMYFUNCTION("GOOGLETRANSLATE(B520,""en"",""es"")"),"Estás fuera de servicio ahora")</f>
        <v>Estás fuera de servicio ahora</v>
      </c>
      <c r="M520" s="66" t="str">
        <f>IFERROR(__xludf.DUMMYFUNCTION("GOOGLETRANSLATE(B520,""en"",""iw"")"),"אתה מחוץ לתפקיד עכשיו")</f>
        <v>אתה מחוץ לתפקיד עכשיו</v>
      </c>
      <c r="N520" s="67" t="str">
        <f>IFERROR(__xludf.DUMMYFUNCTION("GOOGLETRANSLATE(B520,""en"",""bn"")"),"তুমি এখন অফ ডিউটি")</f>
        <v>তুমি এখন অফ ডিউটি</v>
      </c>
      <c r="O520" s="4" t="str">
        <f>IFERROR(__xludf.DUMMYFUNCTION("GOOGLETRANSLATE(B520,""en"",""pt"")"),"Você está de folga agora")</f>
        <v>Você está de folga agora</v>
      </c>
    </row>
    <row r="521">
      <c r="A521" s="82" t="s">
        <v>1256</v>
      </c>
      <c r="B521" s="80" t="s">
        <v>1257</v>
      </c>
      <c r="C521" s="66" t="str">
        <f>IFERROR(__xludf.DUMMYFUNCTION("GOOGLETRANSLATE(B521,""en"",""hi"")"),"क्या आप वाकई यात्रा रद्द करना चाहते हैं?")</f>
        <v>क्या आप वाकई यात्रा रद्द करना चाहते हैं?</v>
      </c>
      <c r="D521" s="67" t="str">
        <f>IFERROR(__xludf.DUMMYFUNCTION("GOOGLETRANSLATE(B521,""en"",""ar"")"),"هل أنت متأكد أنك تريد إلغاء الرحلة؟")</f>
        <v>هل أنت متأكد أنك تريد إلغاء الرحلة؟</v>
      </c>
      <c r="E521" s="67" t="str">
        <f>IFERROR(__xludf.DUMMYFUNCTION("GOOGLETRANSLATE(B521,""en"",""fr"")"),"Êtes-vous sûr de vouloir annuler le trajet ?")</f>
        <v>Êtes-vous sûr de vouloir annuler le trajet ?</v>
      </c>
      <c r="F521" s="67" t="str">
        <f>IFERROR(__xludf.DUMMYFUNCTION("GOOGLETRANSLATE(B521,""en"",""tr"")"),"Yolculuğu iptal etmek istediğinizden emin misiniz?")</f>
        <v>Yolculuğu iptal etmek istediğinizden emin misiniz?</v>
      </c>
      <c r="G521" s="67" t="str">
        <f>IFERROR(__xludf.DUMMYFUNCTION("GOOGLETRANSLATE(B521,""en"",""ru"")"),"Вы уверены, что хотите отменить поездку?")</f>
        <v>Вы уверены, что хотите отменить поездку?</v>
      </c>
      <c r="H521" s="67" t="str">
        <f>IFERROR(__xludf.DUMMYFUNCTION("GOOGLETRANSLATE(B521,""en"",""it"")"),"Sei sicuro di voler annullare la corsa?")</f>
        <v>Sei sicuro di voler annullare la corsa?</v>
      </c>
      <c r="I521" s="67" t="str">
        <f>IFERROR(__xludf.DUMMYFUNCTION("GOOGLETRANSLATE(B521,""en"",""de"")"),"Möchten Sie die Fahrt wirklich stornieren?")</f>
        <v>Möchten Sie die Fahrt wirklich stornieren?</v>
      </c>
      <c r="J521" s="67" t="str">
        <f>IFERROR(__xludf.DUMMYFUNCTION("GOOGLETRANSLATE(B521,""en"",""ko"")"),"정말로 차량 서비스를 취소하시겠습니까?")</f>
        <v>정말로 차량 서비스를 취소하시겠습니까?</v>
      </c>
      <c r="K521" s="67" t="str">
        <f>IFERROR(__xludf.DUMMYFUNCTION("GOOGLETRANSLATE(B521,""en"",""zh"")"),"您确定要取消行程吗？")</f>
        <v>您确定要取消行程吗？</v>
      </c>
      <c r="L521" s="67" t="str">
        <f>IFERROR(__xludf.DUMMYFUNCTION("GOOGLETRANSLATE(B521,""en"",""es"")"),"¿Estás seguro de que quieres cancelar el viaje?")</f>
        <v>¿Estás seguro de que quieres cancelar el viaje?</v>
      </c>
      <c r="M521" s="66" t="str">
        <f>IFERROR(__xludf.DUMMYFUNCTION("GOOGLETRANSLATE(B521,""en"",""iw"")"),"האם אתה בטוח שברצונך לבטל את הנסיעה?")</f>
        <v>האם אתה בטוח שברצונך לבטל את הנסיעה?</v>
      </c>
      <c r="N521" s="67" t="str">
        <f>IFERROR(__xludf.DUMMYFUNCTION("GOOGLETRANSLATE(B521,""en"",""bn"")"),"আপনি কি নিশ্চিত রাইড বাতিল করতে চান?")</f>
        <v>আপনি কি নিশ্চিত রাইড বাতিল করতে চান?</v>
      </c>
      <c r="O521" s="4" t="str">
        <f>IFERROR(__xludf.DUMMYFUNCTION("GOOGLETRANSLATE(B521,""en"",""pt"")"),"Tem certeza de que deseja cancelar a viagem?")</f>
        <v>Tem certeza de que deseja cancelar a viagem?</v>
      </c>
    </row>
    <row r="522">
      <c r="A522" s="82" t="s">
        <v>1258</v>
      </c>
      <c r="B522" s="36" t="s">
        <v>1259</v>
      </c>
      <c r="C522" s="66" t="str">
        <f>IFERROR(__xludf.DUMMYFUNCTION("GOOGLETRANSLATE(B522,""en"",""hi"")"),"सवारी अनुरोध की प्रतीक्षा में")</f>
        <v>सवारी अनुरोध की प्रतीक्षा में</v>
      </c>
      <c r="D522" s="67" t="str">
        <f>IFERROR(__xludf.DUMMYFUNCTION("GOOGLETRANSLATE(B522,""en"",""ar"")"),"في انتظار طلب الركوب")</f>
        <v>في انتظار طلب الركوب</v>
      </c>
      <c r="E522" s="67" t="str">
        <f>IFERROR(__xludf.DUMMYFUNCTION("GOOGLETRANSLATE(B522,""en"",""fr"")"),"En attente d'une demande de trajet")</f>
        <v>En attente d'une demande de trajet</v>
      </c>
      <c r="F522" s="67" t="str">
        <f>IFERROR(__xludf.DUMMYFUNCTION("GOOGLETRANSLATE(B522,""en"",""tr"")"),"Yolculuk Talebi Bekleniyor")</f>
        <v>Yolculuk Talebi Bekleniyor</v>
      </c>
      <c r="G522" s="67" t="str">
        <f>IFERROR(__xludf.DUMMYFUNCTION("GOOGLETRANSLATE(B522,""en"",""ru"")"),"Ожидание запроса на поездку")</f>
        <v>Ожидание запроса на поездку</v>
      </c>
      <c r="H522" s="67" t="str">
        <f>IFERROR(__xludf.DUMMYFUNCTION("GOOGLETRANSLATE(B522,""en"",""it"")"),"In attesa della richiesta di passaggio")</f>
        <v>In attesa della richiesta di passaggio</v>
      </c>
      <c r="I522" s="67" t="str">
        <f>IFERROR(__xludf.DUMMYFUNCTION("GOOGLETRANSLATE(B522,""en"",""de"")"),"Warten auf Fahranfrage")</f>
        <v>Warten auf Fahranfrage</v>
      </c>
      <c r="J522" s="67" t="str">
        <f>IFERROR(__xludf.DUMMYFUNCTION("GOOGLETRANSLATE(B522,""en"",""ko"")"),"탑승 요청을 기다리는 중")</f>
        <v>탑승 요청을 기다리는 중</v>
      </c>
      <c r="K522" s="67" t="str">
        <f>IFERROR(__xludf.DUMMYFUNCTION("GOOGLETRANSLATE(B522,""en"",""zh"")"),"等待乘车请求")</f>
        <v>等待乘车请求</v>
      </c>
      <c r="L522" s="67" t="str">
        <f>IFERROR(__xludf.DUMMYFUNCTION("GOOGLETRANSLATE(B522,""en"",""es"")"),"Esperando solicitud de viaje")</f>
        <v>Esperando solicitud de viaje</v>
      </c>
      <c r="M522" s="66" t="str">
        <f>IFERROR(__xludf.DUMMYFUNCTION("GOOGLETRANSLATE(B522,""en"",""iw"")"),"מחכה לבקשת נסיעה")</f>
        <v>מחכה לבקשת נסיעה</v>
      </c>
      <c r="N522" s="67" t="str">
        <f>IFERROR(__xludf.DUMMYFUNCTION("GOOGLETRANSLATE(B522,""en"",""bn"")"),"রাইডের অনুরোধের জন্য অপেক্ষা করা হচ্ছে")</f>
        <v>রাইডের অনুরোধের জন্য অপেক্ষা করা হচ্ছে</v>
      </c>
      <c r="O522" s="4" t="str">
        <f>IFERROR(__xludf.DUMMYFUNCTION("GOOGLETRANSLATE(B522,""en"",""pt"")"),"Aguardando solicitação de viagem")</f>
        <v>Aguardando solicitação de viagem</v>
      </c>
    </row>
    <row r="523">
      <c r="A523" s="82" t="s">
        <v>1260</v>
      </c>
      <c r="B523" s="80" t="s">
        <v>1261</v>
      </c>
      <c r="C523" s="66" t="str">
        <f>IFERROR(__xludf.DUMMYFUNCTION("GOOGLETRANSLATE(B523,""en"",""hi"")"),"सवारी छोड़ें")</f>
        <v>सवारी छोड़ें</v>
      </c>
      <c r="D523" s="67" t="str">
        <f>IFERROR(__xludf.DUMMYFUNCTION("GOOGLETRANSLATE(B523,""en"",""ar"")"),"تخطي الركوب")</f>
        <v>تخطي الركوب</v>
      </c>
      <c r="E523" s="67" t="str">
        <f>IFERROR(__xludf.DUMMYFUNCTION("GOOGLETRANSLATE(B523,""en"",""fr"")"),"Évitez le trajet")</f>
        <v>Évitez le trajet</v>
      </c>
      <c r="F523" s="67" t="str">
        <f>IFERROR(__xludf.DUMMYFUNCTION("GOOGLETRANSLATE(B523,""en"",""tr"")"),"Sürüşü Atla")</f>
        <v>Sürüşü Atla</v>
      </c>
      <c r="G523" s="67" t="str">
        <f>IFERROR(__xludf.DUMMYFUNCTION("GOOGLETRANSLATE(B523,""en"",""ru"")"),"Пропустить поездку")</f>
        <v>Пропустить поездку</v>
      </c>
      <c r="H523" s="67" t="str">
        <f>IFERROR(__xludf.DUMMYFUNCTION("GOOGLETRANSLATE(B523,""en"",""it"")"),"Salta il giro")</f>
        <v>Salta il giro</v>
      </c>
      <c r="I523" s="67" t="str">
        <f>IFERROR(__xludf.DUMMYFUNCTION("GOOGLETRANSLATE(B523,""en"",""de"")"),"Überspringen Sie die Fahrt")</f>
        <v>Überspringen Sie die Fahrt</v>
      </c>
      <c r="J523" s="67" t="str">
        <f>IFERROR(__xludf.DUMMYFUNCTION("GOOGLETRANSLATE(B523,""en"",""ko"")"),"탑승 건너뛰기")</f>
        <v>탑승 건너뛰기</v>
      </c>
      <c r="K523" s="67" t="str">
        <f>IFERROR(__xludf.DUMMYFUNCTION("GOOGLETRANSLATE(B523,""en"",""zh"")"),"跳过乘车")</f>
        <v>跳过乘车</v>
      </c>
      <c r="L523" s="67" t="str">
        <f>IFERROR(__xludf.DUMMYFUNCTION("GOOGLETRANSLATE(B523,""en"",""es"")"),"Sáltate el viaje")</f>
        <v>Sáltate el viaje</v>
      </c>
      <c r="M523" s="66" t="str">
        <f>IFERROR(__xludf.DUMMYFUNCTION("GOOGLETRANSLATE(B523,""en"",""iw"")"),"דלג על הנסיעה")</f>
        <v>דלג על הנסיעה</v>
      </c>
      <c r="N523" s="67" t="str">
        <f>IFERROR(__xludf.DUMMYFUNCTION("GOOGLETRANSLATE(B523,""en"",""bn"")"),"রাইড এড়িয়ে যান")</f>
        <v>রাইড এড়িয়ে যান</v>
      </c>
      <c r="O523" s="4" t="str">
        <f>IFERROR(__xludf.DUMMYFUNCTION("GOOGLETRANSLATE(B523,""en"",""pt"")"),"Pule o passeio")</f>
        <v>Pule o passeio</v>
      </c>
    </row>
    <row r="524">
      <c r="A524" s="82" t="s">
        <v>1262</v>
      </c>
      <c r="B524" s="80" t="s">
        <v>1263</v>
      </c>
      <c r="C524" s="66" t="str">
        <f>IFERROR(__xludf.DUMMYFUNCTION("GOOGLETRANSLATE(B524,""en"",""hi"")"),"बोली")</f>
        <v>बोली</v>
      </c>
      <c r="D524" s="67" t="str">
        <f>IFERROR(__xludf.DUMMYFUNCTION("GOOGLETRANSLATE(B524,""en"",""ar"")"),"مُنَاقَصَة")</f>
        <v>مُنَاقَصَة</v>
      </c>
      <c r="E524" s="67" t="str">
        <f>IFERROR(__xludf.DUMMYFUNCTION("GOOGLETRANSLATE(B524,""en"",""fr"")"),"Offre")</f>
        <v>Offre</v>
      </c>
      <c r="F524" s="67" t="str">
        <f>IFERROR(__xludf.DUMMYFUNCTION("GOOGLETRANSLATE(B524,""en"",""tr"")"),"Teklif etmek")</f>
        <v>Teklif etmek</v>
      </c>
      <c r="G524" s="67" t="str">
        <f>IFERROR(__xludf.DUMMYFUNCTION("GOOGLETRANSLATE(B524,""en"",""ru"")"),"Делать ставку")</f>
        <v>Делать ставку</v>
      </c>
      <c r="H524" s="67" t="str">
        <f>IFERROR(__xludf.DUMMYFUNCTION("GOOGLETRANSLATE(B524,""en"",""it"")"),"Offerta")</f>
        <v>Offerta</v>
      </c>
      <c r="I524" s="67" t="str">
        <f>IFERROR(__xludf.DUMMYFUNCTION("GOOGLETRANSLATE(B524,""en"",""de"")"),"Gebot")</f>
        <v>Gebot</v>
      </c>
      <c r="J524" s="67" t="str">
        <f>IFERROR(__xludf.DUMMYFUNCTION("GOOGLETRANSLATE(B524,""en"",""ko"")"),"매기다")</f>
        <v>매기다</v>
      </c>
      <c r="K524" s="67" t="str">
        <f>IFERROR(__xludf.DUMMYFUNCTION("GOOGLETRANSLATE(B524,""en"",""zh"")"),"出价")</f>
        <v>出价</v>
      </c>
      <c r="L524" s="67" t="str">
        <f>IFERROR(__xludf.DUMMYFUNCTION("GOOGLETRANSLATE(B524,""en"",""es"")"),"Licitación")</f>
        <v>Licitación</v>
      </c>
      <c r="M524" s="66" t="str">
        <f>IFERROR(__xludf.DUMMYFUNCTION("GOOGLETRANSLATE(B524,""en"",""iw"")"),"הצעת מחיר")</f>
        <v>הצעת מחיר</v>
      </c>
      <c r="N524" s="67" t="str">
        <f>IFERROR(__xludf.DUMMYFUNCTION("GOOGLETRANSLATE(B524,""en"",""bn"")"),"বিড")</f>
        <v>বিড</v>
      </c>
      <c r="O524" s="4" t="str">
        <f>IFERROR(__xludf.DUMMYFUNCTION("GOOGLETRANSLATE(B524,""en"",""pt"")"),"Oferta")</f>
        <v>Oferta</v>
      </c>
    </row>
    <row r="525">
      <c r="A525" s="83" t="s">
        <v>1264</v>
      </c>
      <c r="B525" s="80" t="s">
        <v>1265</v>
      </c>
      <c r="C525" s="66" t="str">
        <f>IFERROR(__xludf.DUMMYFUNCTION("GOOGLETRANSLATE(B525,""en"",""hi"")"),"उपयोगकर्ता द्वारा अनुरोध स्वीकार करने की प्रतीक्षा की जा रही है")</f>
        <v>उपयोगकर्ता द्वारा अनुरोध स्वीकार करने की प्रतीक्षा की जा रही है</v>
      </c>
      <c r="D525" s="67" t="str">
        <f>IFERROR(__xludf.DUMMYFUNCTION("GOOGLETRANSLATE(B525,""en"",""ar"")"),"في انتظار قبول المستخدم للطلب")</f>
        <v>في انتظار قبول المستخدم للطلب</v>
      </c>
      <c r="E525" s="67" t="str">
        <f>IFERROR(__xludf.DUMMYFUNCTION("GOOGLETRANSLATE(B525,""en"",""fr"")"),"En attente que l'utilisateur accepte la demande")</f>
        <v>En attente que l'utilisateur accepte la demande</v>
      </c>
      <c r="F525" s="67" t="str">
        <f>IFERROR(__xludf.DUMMYFUNCTION("GOOGLETRANSLATE(B525,""en"",""tr"")"),"Kullanıcının isteği kabul etmesi bekleniyor")</f>
        <v>Kullanıcının isteği kabul etmesi bekleniyor</v>
      </c>
      <c r="G525" s="67" t="str">
        <f>IFERROR(__xludf.DUMMYFUNCTION("GOOGLETRANSLATE(B525,""en"",""ru"")"),"Ожидание, пока пользователь примет запрос")</f>
        <v>Ожидание, пока пользователь примет запрос</v>
      </c>
      <c r="H525" s="67" t="str">
        <f>IFERROR(__xludf.DUMMYFUNCTION("GOOGLETRANSLATE(B525,""en"",""it"")"),"In attesa che l'utente accetti la richiesta")</f>
        <v>In attesa che l'utente accetti la richiesta</v>
      </c>
      <c r="I525" s="67" t="str">
        <f>IFERROR(__xludf.DUMMYFUNCTION("GOOGLETRANSLATE(B525,""en"",""de"")"),"Warten darauf, dass der Benutzer die Anfrage akzeptiert")</f>
        <v>Warten darauf, dass der Benutzer die Anfrage akzeptiert</v>
      </c>
      <c r="J525" s="67" t="str">
        <f>IFERROR(__xludf.DUMMYFUNCTION("GOOGLETRANSLATE(B525,""en"",""ko"")"),"사용자가 요청을 수락하기를 기다리는 중")</f>
        <v>사용자가 요청을 수락하기를 기다리는 중</v>
      </c>
      <c r="K525" s="67" t="str">
        <f>IFERROR(__xludf.DUMMYFUNCTION("GOOGLETRANSLATE(B525,""en"",""zh"")"),"等待用户接受请求")</f>
        <v>等待用户接受请求</v>
      </c>
      <c r="L525" s="67" t="str">
        <f>IFERROR(__xludf.DUMMYFUNCTION("GOOGLETRANSLATE(B525,""en"",""es"")"),"Esperando que el usuario acepte la solicitud")</f>
        <v>Esperando que el usuario acepte la solicitud</v>
      </c>
      <c r="M525" s="66" t="str">
        <f>IFERROR(__xludf.DUMMYFUNCTION("GOOGLETRANSLATE(B525,""en"",""iw"")"),"ממתין שהמשתמש יאשר את הבקשה")</f>
        <v>ממתין שהמשתמש יאשר את הבקשה</v>
      </c>
      <c r="N525" s="67" t="str">
        <f>IFERROR(__xludf.DUMMYFUNCTION("GOOGLETRANSLATE(B525,""en"",""bn"")"),"ব্যবহারকারীর অনুরোধ গ্রহণ করার জন্য অপেক্ষা করা হচ্ছে")</f>
        <v>ব্যবহারকারীর অনুরোধ গ্রহণ করার জন্য অপেক্ষা করা হচ্ছে</v>
      </c>
      <c r="O525" s="4" t="str">
        <f>IFERROR(__xludf.DUMMYFUNCTION("GOOGLETRANSLATE(B525,""en"",""pt"")"),"Aguardando o usuário aceitar a solicitação")</f>
        <v>Aguardando o usuário aceitar a solicitação</v>
      </c>
    </row>
    <row r="526">
      <c r="A526" s="82" t="s">
        <v>1266</v>
      </c>
      <c r="B526" s="80" t="s">
        <v>1267</v>
      </c>
      <c r="C526" s="66" t="str">
        <f>IFERROR(__xludf.DUMMYFUNCTION("GOOGLETRANSLATE(B526,""en"",""hi"")"),"उठाना")</f>
        <v>उठाना</v>
      </c>
      <c r="D526" s="67" t="str">
        <f>IFERROR(__xludf.DUMMYFUNCTION("GOOGLETRANSLATE(B526,""en"",""ar"")"),"يلتقط")</f>
        <v>يلتقط</v>
      </c>
      <c r="E526" s="67" t="str">
        <f>IFERROR(__xludf.DUMMYFUNCTION("GOOGLETRANSLATE(B526,""en"",""fr"")"),"Ramasser")</f>
        <v>Ramasser</v>
      </c>
      <c r="F526" s="67" t="str">
        <f>IFERROR(__xludf.DUMMYFUNCTION("GOOGLETRANSLATE(B526,""en"",""tr"")"),"Toplamak")</f>
        <v>Toplamak</v>
      </c>
      <c r="G526" s="67" t="str">
        <f>IFERROR(__xludf.DUMMYFUNCTION("GOOGLETRANSLATE(B526,""en"",""ru"")"),"Подобрать")</f>
        <v>Подобрать</v>
      </c>
      <c r="H526" s="67" t="str">
        <f>IFERROR(__xludf.DUMMYFUNCTION("GOOGLETRANSLATE(B526,""en"",""it"")"),"Raccolta")</f>
        <v>Raccolta</v>
      </c>
      <c r="I526" s="67" t="str">
        <f>IFERROR(__xludf.DUMMYFUNCTION("GOOGLETRANSLATE(B526,""en"",""de"")"),"Abholen")</f>
        <v>Abholen</v>
      </c>
      <c r="J526" s="67" t="str">
        <f>IFERROR(__xludf.DUMMYFUNCTION("GOOGLETRANSLATE(B526,""en"",""ko"")"),"찾다")</f>
        <v>찾다</v>
      </c>
      <c r="K526" s="67" t="str">
        <f>IFERROR(__xludf.DUMMYFUNCTION("GOOGLETRANSLATE(B526,""en"",""zh"")"),"捡起")</f>
        <v>捡起</v>
      </c>
      <c r="L526" s="67" t="str">
        <f>IFERROR(__xludf.DUMMYFUNCTION("GOOGLETRANSLATE(B526,""en"",""es"")"),"Levantar")</f>
        <v>Levantar</v>
      </c>
      <c r="M526" s="66" t="str">
        <f>IFERROR(__xludf.DUMMYFUNCTION("GOOGLETRANSLATE(B526,""en"",""iw"")"),"לאסוף")</f>
        <v>לאסוף</v>
      </c>
      <c r="N526" s="67" t="str">
        <f>IFERROR(__xludf.DUMMYFUNCTION("GOOGLETRANSLATE(B526,""en"",""bn"")"),"পিক আপ")</f>
        <v>পিক আপ</v>
      </c>
      <c r="O526" s="4" t="str">
        <f>IFERROR(__xludf.DUMMYFUNCTION("GOOGLETRANSLATE(B526,""en"",""pt"")"),"Escolher")</f>
        <v>Escolher</v>
      </c>
    </row>
    <row r="527">
      <c r="A527" s="73" t="s">
        <v>1268</v>
      </c>
      <c r="B527" s="78" t="s">
        <v>1269</v>
      </c>
      <c r="C527" s="66" t="str">
        <f>IFERROR(__xludf.DUMMYFUNCTION("GOOGLETRANSLATE(B527,""en"",""hi"")"),"के बीच की दूरी से सवारी प्राप्त करें")</f>
        <v>के बीच की दूरी से सवारी प्राप्त करें</v>
      </c>
      <c r="D527" s="67" t="str">
        <f>IFERROR(__xludf.DUMMYFUNCTION("GOOGLETRANSLATE(B527,""en"",""ar"")"),"الحصول على ركوب من مسافة بين")</f>
        <v>الحصول على ركوب من مسافة بين</v>
      </c>
      <c r="E527" s="67" t="str">
        <f>IFERROR(__xludf.DUMMYFUNCTION("GOOGLETRANSLATE(B527,""en"",""fr"")"),"Déplacez-vous à distance entre")</f>
        <v>Déplacez-vous à distance entre</v>
      </c>
      <c r="F527" s="67" t="str">
        <f>IFERROR(__xludf.DUMMYFUNCTION("GOOGLETRANSLATE(B527,""en"",""tr"")"),"Aradaki mesafeden yolculuk alın")</f>
        <v>Aradaki mesafeden yolculuk alın</v>
      </c>
      <c r="G527" s="67" t="str">
        <f>IFERROR(__xludf.DUMMYFUNCTION("GOOGLETRANSLATE(B527,""en"",""ru"")"),"Поездка на расстоянии между")</f>
        <v>Поездка на расстоянии между</v>
      </c>
      <c r="H527" s="67" t="str">
        <f>IFERROR(__xludf.DUMMYFUNCTION("GOOGLETRANSLATE(B527,""en"",""it"")"),"Ottieni un passaggio dalla distanza tra")</f>
        <v>Ottieni un passaggio dalla distanza tra</v>
      </c>
      <c r="I527" s="67" t="str">
        <f>IFERROR(__xludf.DUMMYFUNCTION("GOOGLETRANSLATE(B527,""en"",""de"")"),"Holen Sie sich eine Fahrt aus der Ferne")</f>
        <v>Holen Sie sich eine Fahrt aus der Ferne</v>
      </c>
      <c r="J527" s="67" t="str">
        <f>IFERROR(__xludf.DUMMYFUNCTION("GOOGLETRANSLATE(B527,""en"",""ko"")"),"사이의 거리에서 타고")</f>
        <v>사이의 거리에서 타고</v>
      </c>
      <c r="K527" s="67" t="str">
        <f>IFERROR(__xludf.DUMMYFUNCTION("GOOGLETRANSLATE(B527,""en"",""zh"")"),"从之间的距离乘车")</f>
        <v>从之间的距离乘车</v>
      </c>
      <c r="L527" s="67" t="str">
        <f>IFERROR(__xludf.DUMMYFUNCTION("GOOGLETRANSLATE(B527,""en"",""es"")"),"Obtener transporte desde la distancia entre")</f>
        <v>Obtener transporte desde la distancia entre</v>
      </c>
      <c r="M527" s="66" t="str">
        <f>IFERROR(__xludf.DUMMYFUNCTION("GOOGLETRANSLATE(B527,""en"",""iw"")"),"קבל נסיעה ממרחק בין")</f>
        <v>קבל נסיעה ממרחק בין</v>
      </c>
      <c r="N527" s="67" t="str">
        <f>IFERROR(__xludf.DUMMYFUNCTION("GOOGLETRANSLATE(B527,""en"",""bn"")"),"মধ্যে দূরত্ব থেকে রাইড পান")</f>
        <v>মধ্যে দূরত্ব থেকে রাইড পান</v>
      </c>
      <c r="O527" s="4" t="str">
        <f>IFERROR(__xludf.DUMMYFUNCTION("GOOGLETRANSLATE(B527,""en"",""pt"")"),"Pegue uma carona a partir da distância entre")</f>
        <v>Pegue uma carona a partir da distância entre</v>
      </c>
    </row>
    <row r="528">
      <c r="A528" s="73" t="s">
        <v>1270</v>
      </c>
      <c r="B528" s="65" t="s">
        <v>1271</v>
      </c>
      <c r="C528" s="66" t="str">
        <f>IFERROR(__xludf.DUMMYFUNCTION("GOOGLETRANSLATE(B528,""en"",""hi"")"),"अनुरोध बनाएँ")</f>
        <v>अनुरोध बनाएँ</v>
      </c>
      <c r="D528" s="67" t="str">
        <f>IFERROR(__xludf.DUMMYFUNCTION("GOOGLETRANSLATE(B528,""en"",""ar"")"),"إنشاء طلب")</f>
        <v>إنشاء طلب</v>
      </c>
      <c r="E528" s="67" t="str">
        <f>IFERROR(__xludf.DUMMYFUNCTION("GOOGLETRANSLATE(B528,""en"",""fr"")"),"Créer une demande")</f>
        <v>Créer une demande</v>
      </c>
      <c r="F528" s="67" t="str">
        <f>IFERROR(__xludf.DUMMYFUNCTION("GOOGLETRANSLATE(B528,""en"",""tr"")"),"Talep Oluştur")</f>
        <v>Talep Oluştur</v>
      </c>
      <c r="G528" s="67" t="str">
        <f>IFERROR(__xludf.DUMMYFUNCTION("GOOGLETRANSLATE(B528,""en"",""ru"")"),"Создать запрос")</f>
        <v>Создать запрос</v>
      </c>
      <c r="H528" s="67" t="str">
        <f>IFERROR(__xludf.DUMMYFUNCTION("GOOGLETRANSLATE(B528,""en"",""it"")"),"Crea richiesta")</f>
        <v>Crea richiesta</v>
      </c>
      <c r="I528" s="67" t="str">
        <f>IFERROR(__xludf.DUMMYFUNCTION("GOOGLETRANSLATE(B528,""en"",""de"")"),"Anfrage erstellen")</f>
        <v>Anfrage erstellen</v>
      </c>
      <c r="J528" s="67" t="str">
        <f>IFERROR(__xludf.DUMMYFUNCTION("GOOGLETRANSLATE(B528,""en"",""ko"")"),"요청 생성")</f>
        <v>요청 생성</v>
      </c>
      <c r="K528" s="67" t="str">
        <f>IFERROR(__xludf.DUMMYFUNCTION("GOOGLETRANSLATE(B528,""en"",""zh"")"),"创建请求")</f>
        <v>创建请求</v>
      </c>
      <c r="L528" s="67" t="str">
        <f>IFERROR(__xludf.DUMMYFUNCTION("GOOGLETRANSLATE(B528,""en"",""es"")"),"Crear solicitud")</f>
        <v>Crear solicitud</v>
      </c>
      <c r="M528" s="66" t="str">
        <f>IFERROR(__xludf.DUMMYFUNCTION("GOOGLETRANSLATE(B528,""en"",""iw"")"),"צור בקשה")</f>
        <v>צור בקשה</v>
      </c>
      <c r="N528" s="67" t="str">
        <f>IFERROR(__xludf.DUMMYFUNCTION("GOOGLETRANSLATE(B528,""en"",""bn"")"),"অনুরোধ তৈরি করুন")</f>
        <v>অনুরোধ তৈরি করুন</v>
      </c>
      <c r="O528" s="4" t="str">
        <f>IFERROR(__xludf.DUMMYFUNCTION("GOOGLETRANSLATE(B528,""en"",""pt"")"),"Criar solicitação")</f>
        <v>Criar solicitação</v>
      </c>
    </row>
    <row r="529">
      <c r="A529" s="73" t="s">
        <v>1272</v>
      </c>
      <c r="B529" s="78" t="s">
        <v>1273</v>
      </c>
      <c r="C529" s="66" t="str">
        <f>IFERROR(__xludf.DUMMYFUNCTION("GOOGLETRANSLATE(B529,""en"",""hi"")"),"आपका किराया अनुशंसित किराये से कम नहीं होना चाहिए")</f>
        <v>आपका किराया अनुशंसित किराये से कम नहीं होना चाहिए</v>
      </c>
      <c r="D529" s="67" t="str">
        <f>IFERROR(__xludf.DUMMYFUNCTION("GOOGLETRANSLATE(B529,""en"",""ar"")"),"يجب ألا تكون الأجرة الخاصة بك أقل من الأجرة الموصى بها")</f>
        <v>يجب ألا تكون الأجرة الخاصة بك أقل من الأجرة الموصى بها</v>
      </c>
      <c r="E529" s="67" t="str">
        <f>IFERROR(__xludf.DUMMYFUNCTION("GOOGLETRANSLATE(B529,""en"",""fr"")"),"votre tarif ne doit pas être inférieur au tarif recommandé")</f>
        <v>votre tarif ne doit pas être inférieur au tarif recommandé</v>
      </c>
      <c r="F529" s="67" t="str">
        <f>IFERROR(__xludf.DUMMYFUNCTION("GOOGLETRANSLATE(B529,""en"",""tr"")"),"ücretiniz önerilen ücretten daha az olmamalıdır")</f>
        <v>ücretiniz önerilen ücretten daha az olmamalıdır</v>
      </c>
      <c r="G529" s="67" t="str">
        <f>IFERROR(__xludf.DUMMYFUNCTION("GOOGLETRANSLATE(B529,""en"",""ru"")"),"ваш тариф не должен быть ниже рекомендованного тарифа")</f>
        <v>ваш тариф не должен быть ниже рекомендованного тарифа</v>
      </c>
      <c r="H529" s="67" t="str">
        <f>IFERROR(__xludf.DUMMYFUNCTION("GOOGLETRANSLATE(B529,""en"",""it"")"),"la tariffa non deve essere inferiore alla tariffa consigliata")</f>
        <v>la tariffa non deve essere inferiore alla tariffa consigliata</v>
      </c>
      <c r="I529" s="67" t="str">
        <f>IFERROR(__xludf.DUMMYFUNCTION("GOOGLETRANSLATE(B529,""en"",""de"")"),"Ihr Fahrpreis darf nicht unter dem empfohlenen Fahrpreis liegen")</f>
        <v>Ihr Fahrpreis darf nicht unter dem empfohlenen Fahrpreis liegen</v>
      </c>
      <c r="J529" s="67" t="str">
        <f>IFERROR(__xludf.DUMMYFUNCTION("GOOGLETRANSLATE(B529,""en"",""ko"")"),"운임은 권장 운임보다 낮아서는 안 됩니다.")</f>
        <v>운임은 권장 운임보다 낮아서는 안 됩니다.</v>
      </c>
      <c r="K529" s="67" t="str">
        <f>IFERROR(__xludf.DUMMYFUNCTION("GOOGLETRANSLATE(B529,""en"",""zh"")"),"您的票价不得低于建议票价")</f>
        <v>您的票价不得低于建议票价</v>
      </c>
      <c r="L529" s="67" t="str">
        <f>IFERROR(__xludf.DUMMYFUNCTION("GOOGLETRANSLATE(B529,""en"",""es"")"),"su tarifa no debe ser inferior a la tarifa recomendada")</f>
        <v>su tarifa no debe ser inferior a la tarifa recomendada</v>
      </c>
      <c r="M529" s="66" t="str">
        <f>IFERROR(__xludf.DUMMYFUNCTION("GOOGLETRANSLATE(B529,""en"",""iw"")"),"התעריף שלך לא חייב להיות נמוך מהתעריף המומלץ")</f>
        <v>התעריף שלך לא חייב להיות נמוך מהתעריף המומלץ</v>
      </c>
      <c r="N529" s="67" t="str">
        <f>IFERROR(__xludf.DUMMYFUNCTION("GOOGLETRANSLATE(B529,""en"",""bn"")"),"আপনার ভাড়া সুপারিশকৃত ভাড়ার চেয়ে কম হওয়া উচিত নয়")</f>
        <v>আপনার ভাড়া সুপারিশকৃত ভাড়ার চেয়ে কম হওয়া উচিত নয়</v>
      </c>
      <c r="O529" s="4" t="str">
        <f>IFERROR(__xludf.DUMMYFUNCTION("GOOGLETRANSLATE(B529,""en"",""pt"")"),"sua tarifa não deve ser inferior à tarifa recomendada")</f>
        <v>sua tarifa não deve ser inferior à tarifa recomendada</v>
      </c>
    </row>
    <row r="530">
      <c r="A530" s="73" t="s">
        <v>1274</v>
      </c>
      <c r="B530" s="74" t="s">
        <v>1275</v>
      </c>
      <c r="C530" s="66" t="str">
        <f>IFERROR(__xludf.DUMMYFUNCTION("GOOGLETRANSLATE(B530,""en"",""hi"")"),"संपर्क करें")</f>
        <v>संपर्क करें</v>
      </c>
      <c r="D530" s="67" t="str">
        <f>IFERROR(__xludf.DUMMYFUNCTION("GOOGLETRANSLATE(B530,""en"",""ar"")"),"اتصل بنا")</f>
        <v>اتصل بنا</v>
      </c>
      <c r="E530" s="67" t="str">
        <f>IFERROR(__xludf.DUMMYFUNCTION("GOOGLETRANSLATE(B530,""en"",""fr"")"),"Contactez-nous")</f>
        <v>Contactez-nous</v>
      </c>
      <c r="F530" s="67" t="str">
        <f>IFERROR(__xludf.DUMMYFUNCTION("GOOGLETRANSLATE(B530,""en"",""tr"")"),"Bize Ulaşın")</f>
        <v>Bize Ulaşın</v>
      </c>
      <c r="G530" s="67" t="str">
        <f>IFERROR(__xludf.DUMMYFUNCTION("GOOGLETRANSLATE(B530,""en"",""ru"")"),"Связаться с нами")</f>
        <v>Связаться с нами</v>
      </c>
      <c r="H530" s="67" t="str">
        <f>IFERROR(__xludf.DUMMYFUNCTION("GOOGLETRANSLATE(B530,""en"",""it"")"),"Contattaci")</f>
        <v>Contattaci</v>
      </c>
      <c r="I530" s="67" t="str">
        <f>IFERROR(__xludf.DUMMYFUNCTION("GOOGLETRANSLATE(B530,""en"",""de"")"),"Kontaktiere uns")</f>
        <v>Kontaktiere uns</v>
      </c>
      <c r="J530" s="67" t="str">
        <f>IFERROR(__xludf.DUMMYFUNCTION("GOOGLETRANSLATE(B530,""en"",""ko"")"),"문의하기")</f>
        <v>문의하기</v>
      </c>
      <c r="K530" s="67" t="str">
        <f>IFERROR(__xludf.DUMMYFUNCTION("GOOGLETRANSLATE(B530,""en"",""zh"")"),"联系我们")</f>
        <v>联系我们</v>
      </c>
      <c r="L530" s="67" t="str">
        <f>IFERROR(__xludf.DUMMYFUNCTION("GOOGLETRANSLATE(B530,""en"",""es"")"),"Contáctenos")</f>
        <v>Contáctenos</v>
      </c>
      <c r="M530" s="66" t="str">
        <f>IFERROR(__xludf.DUMMYFUNCTION("GOOGLETRANSLATE(B530,""en"",""iw"")"),"צור קשר")</f>
        <v>צור קשר</v>
      </c>
      <c r="N530" s="67" t="str">
        <f>IFERROR(__xludf.DUMMYFUNCTION("GOOGLETRANSLATE(B530,""en"",""bn"")"),"যোগাযোগ করুন")</f>
        <v>যোগাযোগ করুন</v>
      </c>
      <c r="O530" s="4" t="str">
        <f>IFERROR(__xludf.DUMMYFUNCTION("GOOGLETRANSLATE(B530,""en"",""pt"")"),"Contate-nos")</f>
        <v>Contate-nos</v>
      </c>
    </row>
    <row r="531">
      <c r="A531" s="73" t="s">
        <v>1008</v>
      </c>
      <c r="B531" s="74" t="s">
        <v>1009</v>
      </c>
      <c r="C531" s="66" t="str">
        <f>IFERROR(__xludf.DUMMYFUNCTION("GOOGLETRANSLATE(B531,""en"",""hi"")"),"समाप्ति तिथि")</f>
        <v>समाप्ति तिथि</v>
      </c>
      <c r="D531" s="67" t="str">
        <f>IFERROR(__xludf.DUMMYFUNCTION("GOOGLETRANSLATE(B531,""en"",""ar"")"),"تاريخ الانتهاء")</f>
        <v>تاريخ الانتهاء</v>
      </c>
      <c r="E531" s="67" t="str">
        <f>IFERROR(__xludf.DUMMYFUNCTION("GOOGLETRANSLATE(B531,""en"",""fr"")"),"Date d'expiration")</f>
        <v>Date d'expiration</v>
      </c>
      <c r="F531" s="67" t="str">
        <f>IFERROR(__xludf.DUMMYFUNCTION("GOOGLETRANSLATE(B531,""en"",""tr"")"),"Son kullanma tarihi")</f>
        <v>Son kullanma tarihi</v>
      </c>
      <c r="G531" s="67" t="str">
        <f>IFERROR(__xludf.DUMMYFUNCTION("GOOGLETRANSLATE(B531,""en"",""ru"")"),"Дата истечения срока действия")</f>
        <v>Дата истечения срока действия</v>
      </c>
      <c r="H531" s="67" t="str">
        <f>IFERROR(__xludf.DUMMYFUNCTION("GOOGLETRANSLATE(B531,""en"",""it"")"),"Data di scadenza")</f>
        <v>Data di scadenza</v>
      </c>
      <c r="I531" s="67" t="str">
        <f>IFERROR(__xludf.DUMMYFUNCTION("GOOGLETRANSLATE(B531,""en"",""de"")"),"Verfallsdatum")</f>
        <v>Verfallsdatum</v>
      </c>
      <c r="J531" s="67" t="str">
        <f>IFERROR(__xludf.DUMMYFUNCTION("GOOGLETRANSLATE(B531,""en"",""ko"")"),"만료일")</f>
        <v>만료일</v>
      </c>
      <c r="K531" s="67" t="str">
        <f>IFERROR(__xludf.DUMMYFUNCTION("GOOGLETRANSLATE(B531,""en"",""zh"")"),"到期日")</f>
        <v>到期日</v>
      </c>
      <c r="L531" s="67" t="str">
        <f>IFERROR(__xludf.DUMMYFUNCTION("GOOGLETRANSLATE(B531,""en"",""es"")"),"Fecha de caducidad")</f>
        <v>Fecha de caducidad</v>
      </c>
      <c r="M531" s="66" t="str">
        <f>IFERROR(__xludf.DUMMYFUNCTION("GOOGLETRANSLATE(B531,""en"",""iw"")"),"תאריך תפוגה")</f>
        <v>תאריך תפוגה</v>
      </c>
      <c r="N531" s="67" t="str">
        <f>IFERROR(__xludf.DUMMYFUNCTION("GOOGLETRANSLATE(B531,""en"",""bn"")"),"মেয়াদ শেষ হওয়ার তারিখ")</f>
        <v>মেয়াদ শেষ হওয়ার তারিখ</v>
      </c>
      <c r="O531" s="4" t="str">
        <f>IFERROR(__xludf.DUMMYFUNCTION("GOOGLETRANSLATE(B531,""en"",""pt"")"),"Data de validade")</f>
        <v>Data de validade</v>
      </c>
    </row>
    <row r="532">
      <c r="A532" s="73" t="s">
        <v>1276</v>
      </c>
      <c r="B532" s="77" t="s">
        <v>1277</v>
      </c>
      <c r="C532" s="66" t="str">
        <f>IFERROR(__xludf.DUMMYFUNCTION("GOOGLETRANSLATE(B532,""en"",""hi"")"),"ईमेल से साइन इन करें")</f>
        <v>ईमेल से साइन इन करें</v>
      </c>
      <c r="D532" s="67" t="str">
        <f>IFERROR(__xludf.DUMMYFUNCTION("GOOGLETRANSLATE(B532,""en"",""ar"")"),"تسجيل الدخول باستخدام البريد الإلكتروني")</f>
        <v>تسجيل الدخول باستخدام البريد الإلكتروني</v>
      </c>
      <c r="E532" s="67" t="str">
        <f>IFERROR(__xludf.DUMMYFUNCTION("GOOGLETRANSLATE(B532,""en"",""fr"")"),"Connectez-vous avec e-mail")</f>
        <v>Connectez-vous avec e-mail</v>
      </c>
      <c r="F532" s="67" t="str">
        <f>IFERROR(__xludf.DUMMYFUNCTION("GOOGLETRANSLATE(B532,""en"",""tr"")"),"E-posta ile Giriş Yapın")</f>
        <v>E-posta ile Giriş Yapın</v>
      </c>
      <c r="G532" s="67" t="str">
        <f>IFERROR(__xludf.DUMMYFUNCTION("GOOGLETRANSLATE(B532,""en"",""ru"")"),"Войти с помощью электронной почты")</f>
        <v>Войти с помощью электронной почты</v>
      </c>
      <c r="H532" s="67" t="str">
        <f>IFERROR(__xludf.DUMMYFUNCTION("GOOGLETRANSLATE(B532,""en"",""it"")"),"Accedi con l'e-mail")</f>
        <v>Accedi con l'e-mail</v>
      </c>
      <c r="I532" s="67" t="str">
        <f>IFERROR(__xludf.DUMMYFUNCTION("GOOGLETRANSLATE(B532,""en"",""de"")"),"Melden Sie sich mit E-Mail an")</f>
        <v>Melden Sie sich mit E-Mail an</v>
      </c>
      <c r="J532" s="67" t="str">
        <f>IFERROR(__xludf.DUMMYFUNCTION("GOOGLETRANSLATE(B532,""en"",""ko"")"),"이메일로 로그인")</f>
        <v>이메일로 로그인</v>
      </c>
      <c r="K532" s="67" t="str">
        <f>IFERROR(__xludf.DUMMYFUNCTION("GOOGLETRANSLATE(B532,""en"",""zh"")"),"使用电子邮件登录")</f>
        <v>使用电子邮件登录</v>
      </c>
      <c r="L532" s="67" t="str">
        <f>IFERROR(__xludf.DUMMYFUNCTION("GOOGLETRANSLATE(B532,""en"",""es"")"),"Iniciar sesión con correo electrónico")</f>
        <v>Iniciar sesión con correo electrónico</v>
      </c>
      <c r="M532" s="66" t="str">
        <f>IFERROR(__xludf.DUMMYFUNCTION("GOOGLETRANSLATE(B532,""en"",""iw"")"),"היכנס באמצעות דואר אלקטרוני")</f>
        <v>היכנס באמצעות דואר אלקטרוני</v>
      </c>
      <c r="N532" s="67" t="str">
        <f>IFERROR(__xludf.DUMMYFUNCTION("GOOGLETRANSLATE(B532,""en"",""bn"")"),"ইমেইল দিয়ে সাইন ইন করুন")</f>
        <v>ইমেইল দিয়ে সাইন ইন করুন</v>
      </c>
      <c r="O532" s="4" t="str">
        <f>IFERROR(__xludf.DUMMYFUNCTION("GOOGLETRANSLATE(B532,""en"",""pt"")"),"Faça login com e-mail")</f>
        <v>Faça login com e-mail</v>
      </c>
    </row>
    <row r="533">
      <c r="A533" s="73" t="s">
        <v>1278</v>
      </c>
      <c r="B533" s="74" t="s">
        <v>1279</v>
      </c>
      <c r="C533" s="66" t="str">
        <f>IFERROR(__xludf.DUMMYFUNCTION("GOOGLETRANSLATE(B533,""en"",""hi"")"),"ईमेल सत्यापन")</f>
        <v>ईमेल सत्यापन</v>
      </c>
      <c r="D533" s="67" t="str">
        <f>IFERROR(__xludf.DUMMYFUNCTION("GOOGLETRANSLATE(B533,""en"",""ar"")"),"تأكيد بواسطة البريد الالكتروني")</f>
        <v>تأكيد بواسطة البريد الالكتروني</v>
      </c>
      <c r="E533" s="67" t="str">
        <f>IFERROR(__xludf.DUMMYFUNCTION("GOOGLETRANSLATE(B533,""en"",""fr"")"),"vérification de l'E-mail")</f>
        <v>vérification de l'E-mail</v>
      </c>
      <c r="F533" s="67" t="str">
        <f>IFERROR(__xludf.DUMMYFUNCTION("GOOGLETRANSLATE(B533,""en"",""tr"")"),"Eposta Doğrulama")</f>
        <v>Eposta Doğrulama</v>
      </c>
      <c r="G533" s="67" t="str">
        <f>IFERROR(__xludf.DUMMYFUNCTION("GOOGLETRANSLATE(B533,""en"",""ru"")"),"Подтверждение по элетронной почте")</f>
        <v>Подтверждение по элетронной почте</v>
      </c>
      <c r="H533" s="67" t="str">
        <f>IFERROR(__xludf.DUMMYFUNCTION("GOOGLETRANSLATE(B533,""en"",""it"")"),"verifica email")</f>
        <v>verifica email</v>
      </c>
      <c r="I533" s="67" t="str">
        <f>IFERROR(__xludf.DUMMYFUNCTION("GOOGLETRANSLATE(B533,""en"",""de"")"),"E-Mail-Verifizierung")</f>
        <v>E-Mail-Verifizierung</v>
      </c>
      <c r="J533" s="67" t="str">
        <f>IFERROR(__xludf.DUMMYFUNCTION("GOOGLETRANSLATE(B533,""en"",""ko"")"),"이메일 확인")</f>
        <v>이메일 확인</v>
      </c>
      <c r="K533" s="67" t="str">
        <f>IFERROR(__xludf.DUMMYFUNCTION("GOOGLETRANSLATE(B533,""en"",""zh"")"),"电子邮件验证")</f>
        <v>电子邮件验证</v>
      </c>
      <c r="L533" s="67" t="str">
        <f>IFERROR(__xludf.DUMMYFUNCTION("GOOGLETRANSLATE(B533,""en"",""es"")"),"verificacion de email")</f>
        <v>verificacion de email</v>
      </c>
      <c r="M533" s="66" t="str">
        <f>IFERROR(__xludf.DUMMYFUNCTION("GOOGLETRANSLATE(B533,""en"",""iw"")"),"אימות אימייל")</f>
        <v>אימות אימייל</v>
      </c>
      <c r="N533" s="67" t="str">
        <f>IFERROR(__xludf.DUMMYFUNCTION("GOOGLETRANSLATE(B533,""en"",""bn"")"),"ইমেইলের সত্যতা যাচাই")</f>
        <v>ইমেইলের সত্যতা যাচাই</v>
      </c>
      <c r="O533" s="4" t="str">
        <f>IFERROR(__xludf.DUMMYFUNCTION("GOOGLETRANSLATE(B533,""en"",""pt"")"),"verificação de e-mail")</f>
        <v>verificação de e-mail</v>
      </c>
    </row>
    <row r="534">
      <c r="A534" s="73" t="s">
        <v>1280</v>
      </c>
      <c r="B534" s="77" t="s">
        <v>1281</v>
      </c>
      <c r="C534" s="66" t="str">
        <f>IFERROR(__xludf.DUMMYFUNCTION("GOOGLETRANSLATE(B534,""en"",""hi"")"),"चुनिंदा विषय")</f>
        <v>चुनिंदा विषय</v>
      </c>
      <c r="D534" s="67" t="str">
        <f>IFERROR(__xludf.DUMMYFUNCTION("GOOGLETRANSLATE(B534,""en"",""ar"")"),"اختر نمطا")</f>
        <v>اختر نمطا</v>
      </c>
      <c r="E534" s="67" t="str">
        <f>IFERROR(__xludf.DUMMYFUNCTION("GOOGLETRANSLATE(B534,""en"",""fr"")"),"Sélectionne un thème")</f>
        <v>Sélectionne un thème</v>
      </c>
      <c r="F534" s="67" t="str">
        <f>IFERROR(__xludf.DUMMYFUNCTION("GOOGLETRANSLATE(B534,""en"",""tr"")"),"Tema seçin")</f>
        <v>Tema seçin</v>
      </c>
      <c r="G534" s="67" t="str">
        <f>IFERROR(__xludf.DUMMYFUNCTION("GOOGLETRANSLATE(B534,""en"",""ru"")"),"Выберите тему")</f>
        <v>Выберите тему</v>
      </c>
      <c r="H534" s="67" t="str">
        <f>IFERROR(__xludf.DUMMYFUNCTION("GOOGLETRANSLATE(B534,""en"",""it"")"),"Seleziona il tema")</f>
        <v>Seleziona il tema</v>
      </c>
      <c r="I534" s="67" t="str">
        <f>IFERROR(__xludf.DUMMYFUNCTION("GOOGLETRANSLATE(B534,""en"",""de"")"),"Thema wählen")</f>
        <v>Thema wählen</v>
      </c>
      <c r="J534" s="67" t="str">
        <f>IFERROR(__xludf.DUMMYFUNCTION("GOOGLETRANSLATE(B534,""en"",""ko"")"),"테마 선택")</f>
        <v>테마 선택</v>
      </c>
      <c r="K534" s="67" t="str">
        <f>IFERROR(__xludf.DUMMYFUNCTION("GOOGLETRANSLATE(B534,""en"",""zh"")"),"选择主题")</f>
        <v>选择主题</v>
      </c>
      <c r="L534" s="67" t="str">
        <f>IFERROR(__xludf.DUMMYFUNCTION("GOOGLETRANSLATE(B534,""en"",""es"")"),"Seleccione el tema")</f>
        <v>Seleccione el tema</v>
      </c>
      <c r="M534" s="66" t="str">
        <f>IFERROR(__xludf.DUMMYFUNCTION("GOOGLETRANSLATE(B534,""en"",""iw"")"),"בחר ערכת נושא")</f>
        <v>בחר ערכת נושא</v>
      </c>
      <c r="N534" s="67" t="str">
        <f>IFERROR(__xludf.DUMMYFUNCTION("GOOGLETRANSLATE(B534,""en"",""bn"")"),"থিম নির্বাচন কর")</f>
        <v>থিম নির্বাচন কর</v>
      </c>
      <c r="O534" s="4" t="str">
        <f>IFERROR(__xludf.DUMMYFUNCTION("GOOGLETRANSLATE(B534,""en"",""pt"")"),"Selecione o tema")</f>
        <v>Selecione o tema</v>
      </c>
    </row>
    <row r="535">
      <c r="A535" s="73" t="s">
        <v>1282</v>
      </c>
      <c r="B535" s="84" t="s">
        <v>1283</v>
      </c>
      <c r="C535" s="66" t="str">
        <f>IFERROR(__xludf.DUMMYFUNCTION("GOOGLETRANSLATE(B535,""en"",""hi"")"),"इस ऐप का नया संस्करण स्टोर में उपलब्ध है, कृपया उपयोग जारी रखने के लिए ऐप को अपडेट करें")</f>
        <v>इस ऐप का नया संस्करण स्टोर में उपलब्ध है, कृपया उपयोग जारी रखने के लिए ऐप को अपडेट करें</v>
      </c>
      <c r="D535" s="67" t="str">
        <f>IFERROR(__xludf.DUMMYFUNCTION("GOOGLETRANSLATE(B535,""en"",""ar"")"),"يتوفر إصدار جديد من هذا التطبيق في المتجر، يرجى تحديث التطبيق لمواصلة استخدامه")</f>
        <v>يتوفر إصدار جديد من هذا التطبيق في المتجر، يرجى تحديث التطبيق لمواصلة استخدامه</v>
      </c>
      <c r="E535" s="67" t="str">
        <f>IFERROR(__xludf.DUMMYFUNCTION("GOOGLETRANSLATE(B535,""en"",""fr"")"),"Une nouvelle version de cette application est disponible en magasin, veuillez mettre à jour l'application pour continuer à l'utiliser")</f>
        <v>Une nouvelle version de cette application est disponible en magasin, veuillez mettre à jour l'application pour continuer à l'utiliser</v>
      </c>
      <c r="F535" s="67" t="str">
        <f>IFERROR(__xludf.DUMMYFUNCTION("GOOGLETRANSLATE(B535,""en"",""tr"")"),"Bu uygulamanın yeni sürümü mağazamızda mevcuttur, kullanmaya devam etmek için lütfen uygulamayı güncelleyin")</f>
        <v>Bu uygulamanın yeni sürümü mağazamızda mevcuttur, kullanmaya devam etmek için lütfen uygulamayı güncelleyin</v>
      </c>
      <c r="G535" s="67" t="str">
        <f>IFERROR(__xludf.DUMMYFUNCTION("GOOGLETRANSLATE(B535,""en"",""ru"")"),"Новая версия этого приложения доступна в магазине. Обновите приложение, чтобы продолжить использование.")</f>
        <v>Новая версия этого приложения доступна в магазине. Обновите приложение, чтобы продолжить использование.</v>
      </c>
      <c r="H535" s="67" t="str">
        <f>IFERROR(__xludf.DUMMYFUNCTION("GOOGLETRANSLATE(B535,""en"",""it"")"),"La nuova versione di questa app è disponibile nello store, aggiorna l'app per continuare a utilizzarla")</f>
        <v>La nuova versione di questa app è disponibile nello store, aggiorna l'app per continuare a utilizzarla</v>
      </c>
      <c r="I535" s="67" t="str">
        <f>IFERROR(__xludf.DUMMYFUNCTION("GOOGLETRANSLATE(B535,""en"",""de"")"),"Eine neue Version dieser App ist im Store verfügbar. Bitte aktualisieren Sie die App, um sie weiterhin verwenden zu können")</f>
        <v>Eine neue Version dieser App ist im Store verfügbar. Bitte aktualisieren Sie die App, um sie weiterhin verwenden zu können</v>
      </c>
      <c r="J535" s="67" t="str">
        <f>IFERROR(__xludf.DUMMYFUNCTION("GOOGLETRANSLATE(B535,""en"",""ko"")"),"이 앱의 새 버전이 매장에 있습니다. 계속 사용하려면 앱을 업데이트하세요.")</f>
        <v>이 앱의 새 버전이 매장에 있습니다. 계속 사용하려면 앱을 업데이트하세요.</v>
      </c>
      <c r="K535" s="67" t="str">
        <f>IFERROR(__xludf.DUMMYFUNCTION("GOOGLETRANSLATE(B535,""en"",""zh"")"),"此应用程序的新版本已在商店中提供，请更新应用程序以继续使用")</f>
        <v>此应用程序的新版本已在商店中提供，请更新应用程序以继续使用</v>
      </c>
      <c r="L535" s="67" t="str">
        <f>IFERROR(__xludf.DUMMYFUNCTION("GOOGLETRANSLATE(B535,""en"",""es"")"),"La nueva versión de esta aplicación está disponible en la tienda; actualice la aplicación para continuar usándola")</f>
        <v>La nueva versión de esta aplicación está disponible en la tienda; actualice la aplicación para continuar usándola</v>
      </c>
      <c r="M535" s="66" t="str">
        <f>IFERROR(__xludf.DUMMYFUNCTION("GOOGLETRANSLATE(B535,""en"",""iw"")"),"גרסה חדשה של אפליקציה זו זמינה בחנות, אנא עדכן את האפליקציה כדי להמשיך להשתמש")</f>
        <v>גרסה חדשה של אפליקציה זו זמינה בחנות, אנא עדכן את האפליקציה כדי להמשיך להשתמש</v>
      </c>
      <c r="N535" s="67" t="str">
        <f>IFERROR(__xludf.DUMMYFUNCTION("GOOGLETRANSLATE(B535,""en"",""bn"")"),"এই অ্যাপটির নতুন সংস্করণ স্টোরে উপলব্ধ, ব্যবহার চালিয়ে যাওয়ার জন্য অনুগ্রহ করে অ্যাপটি আপডেট করুন")</f>
        <v>এই অ্যাপটির নতুন সংস্করণ স্টোরে উপলব্ধ, ব্যবহার চালিয়ে যাওয়ার জন্য অনুগ্রহ করে অ্যাপটি আপডেট করুন</v>
      </c>
      <c r="O535" s="4" t="str">
        <f>IFERROR(__xludf.DUMMYFUNCTION("GOOGLETRANSLATE(B535,""en"",""pt"")"),"Uma nova versão deste aplicativo está disponível na loja, atualize o aplicativo para continuar usando")</f>
        <v>Uma nova versão deste aplicativo está disponível na loja, atualize o aplicativo para continuar usando</v>
      </c>
    </row>
    <row r="536">
      <c r="A536" s="73" t="s">
        <v>1284</v>
      </c>
      <c r="B536" s="74" t="s">
        <v>1285</v>
      </c>
      <c r="C536" s="66" t="str">
        <f>IFERROR(__xludf.DUMMYFUNCTION("GOOGLETRANSLATE(B536,""en"",""hi"")"),"आप 1 से अधिक वाहन प्रकार चुन सकते हैं")</f>
        <v>आप 1 से अधिक वाहन प्रकार चुन सकते हैं</v>
      </c>
      <c r="D536" s="67" t="str">
        <f>IFERROR(__xludf.DUMMYFUNCTION("GOOGLETRANSLATE(B536,""en"",""ar"")"),"يمكنك اختيار أكثر من نوع واحد من المركبات")</f>
        <v>يمكنك اختيار أكثر من نوع واحد من المركبات</v>
      </c>
      <c r="E536" s="67" t="str">
        <f>IFERROR(__xludf.DUMMYFUNCTION("GOOGLETRANSLATE(B536,""en"",""fr"")"),"Vous pouvez choisir plus de 1 types de véhicules")</f>
        <v>Vous pouvez choisir plus de 1 types de véhicules</v>
      </c>
      <c r="F536" s="67" t="str">
        <f>IFERROR(__xludf.DUMMYFUNCTION("GOOGLETRANSLATE(B536,""en"",""tr"")"),"1'den fazla araç tipi seçebilirsiniz")</f>
        <v>1'den fazla araç tipi seçebilirsiniz</v>
      </c>
      <c r="G536" s="67" t="str">
        <f>IFERROR(__xludf.DUMMYFUNCTION("GOOGLETRANSLATE(B536,""en"",""ru"")"),"Вы можете выбрать более 1 типа транспортных средств")</f>
        <v>Вы можете выбрать более 1 типа транспортных средств</v>
      </c>
      <c r="H536" s="67" t="str">
        <f>IFERROR(__xludf.DUMMYFUNCTION("GOOGLETRANSLATE(B536,""en"",""it"")"),"Puoi scegliere più di 1 tipo di veicolo")</f>
        <v>Puoi scegliere più di 1 tipo di veicolo</v>
      </c>
      <c r="I536" s="67" t="str">
        <f>IFERROR(__xludf.DUMMYFUNCTION("GOOGLETRANSLATE(B536,""en"",""de"")"),"Sie können mehr als einen Fahrzeugtyp auswählen")</f>
        <v>Sie können mehr als einen Fahrzeugtyp auswählen</v>
      </c>
      <c r="J536" s="67" t="str">
        <f>IFERROR(__xludf.DUMMYFUNCTION("GOOGLETRANSLATE(B536,""en"",""ko"")"),"1개 이상의 차량 유형을 선택할 수 있습니다.")</f>
        <v>1개 이상의 차량 유형을 선택할 수 있습니다.</v>
      </c>
      <c r="K536" s="67" t="str">
        <f>IFERROR(__xludf.DUMMYFUNCTION("GOOGLETRANSLATE(B536,""en"",""zh"")"),"您可以选择 1 种以上的车辆类型")</f>
        <v>您可以选择 1 种以上的车辆类型</v>
      </c>
      <c r="L536" s="67" t="str">
        <f>IFERROR(__xludf.DUMMYFUNCTION("GOOGLETRANSLATE(B536,""en"",""es"")"),"Puedes elegir más de 1 tipo de vehículo.")</f>
        <v>Puedes elegir más de 1 tipo de vehículo.</v>
      </c>
      <c r="M536" s="66" t="str">
        <f>IFERROR(__xludf.DUMMYFUNCTION("GOOGLETRANSLATE(B536,""en"",""iw"")"),"אתה יכול לבחור יותר מסוגי רכב אחד")</f>
        <v>אתה יכול לבחור יותר מסוגי רכב אחד</v>
      </c>
      <c r="N536" s="67" t="str">
        <f>IFERROR(__xludf.DUMMYFUNCTION("GOOGLETRANSLATE(B536,""en"",""bn"")"),"আপনি 1টির বেশি গাড়ির ধরন বেছে নিতে পারেন")</f>
        <v>আপনি 1টির বেশি গাড়ির ধরন বেছে নিতে পারেন</v>
      </c>
      <c r="O536" s="4" t="str">
        <f>IFERROR(__xludf.DUMMYFUNCTION("GOOGLETRANSLATE(B536,""en"",""pt"")"),"Você pode escolher mais de 1 tipo de veículo")</f>
        <v>Você pode escolher mais de 1 tipo de veículo</v>
      </c>
    </row>
    <row r="537">
      <c r="A537" s="73" t="s">
        <v>1286</v>
      </c>
      <c r="B537" s="74" t="s">
        <v>1287</v>
      </c>
      <c r="C537" s="66" t="str">
        <f>IFERROR(__xludf.DUMMYFUNCTION("GOOGLETRANSLATE(B537,""en"",""hi"")"),"बिडिंग")</f>
        <v>बिडिंग</v>
      </c>
      <c r="D537" s="67" t="str">
        <f>IFERROR(__xludf.DUMMYFUNCTION("GOOGLETRANSLATE(B537,""en"",""ar"")"),"مزايدة")</f>
        <v>مزايدة</v>
      </c>
      <c r="E537" s="67" t="str">
        <f>IFERROR(__xludf.DUMMYFUNCTION("GOOGLETRANSLATE(B537,""en"",""fr"")"),"Enchère")</f>
        <v>Enchère</v>
      </c>
      <c r="F537" s="67" t="str">
        <f>IFERROR(__xludf.DUMMYFUNCTION("GOOGLETRANSLATE(B537,""en"",""tr"")"),"Teklif verme")</f>
        <v>Teklif verme</v>
      </c>
      <c r="G537" s="67" t="str">
        <f>IFERROR(__xludf.DUMMYFUNCTION("GOOGLETRANSLATE(B537,""en"",""ru"")"),"Торги")</f>
        <v>Торги</v>
      </c>
      <c r="H537" s="67" t="str">
        <f>IFERROR(__xludf.DUMMYFUNCTION("GOOGLETRANSLATE(B537,""en"",""it"")"),"Offerte")</f>
        <v>Offerte</v>
      </c>
      <c r="I537" s="67" t="str">
        <f>IFERROR(__xludf.DUMMYFUNCTION("GOOGLETRANSLATE(B537,""en"",""de"")"),"Bieten")</f>
        <v>Bieten</v>
      </c>
      <c r="J537" s="67" t="str">
        <f>IFERROR(__xludf.DUMMYFUNCTION("GOOGLETRANSLATE(B537,""en"",""ko"")"),"입찰")</f>
        <v>입찰</v>
      </c>
      <c r="K537" s="67" t="str">
        <f>IFERROR(__xludf.DUMMYFUNCTION("GOOGLETRANSLATE(B537,""en"",""zh"")"),"投标")</f>
        <v>投标</v>
      </c>
      <c r="L537" s="67" t="str">
        <f>IFERROR(__xludf.DUMMYFUNCTION("GOOGLETRANSLATE(B537,""en"",""es"")"),"Ofertas")</f>
        <v>Ofertas</v>
      </c>
      <c r="M537" s="66" t="str">
        <f>IFERROR(__xludf.DUMMYFUNCTION("GOOGLETRANSLATE(B537,""en"",""iw"")"),"הגשת הצעות מחיר")</f>
        <v>הגשת הצעות מחיר</v>
      </c>
      <c r="N537" s="67" t="str">
        <f>IFERROR(__xludf.DUMMYFUNCTION("GOOGLETRANSLATE(B537,""en"",""bn"")"),"বিডিং")</f>
        <v>বিডিং</v>
      </c>
      <c r="O537" s="4" t="str">
        <f>IFERROR(__xludf.DUMMYFUNCTION("GOOGLETRANSLATE(B537,""en"",""pt"")"),"Licitação")</f>
        <v>Licitação</v>
      </c>
    </row>
    <row r="538">
      <c r="A538" s="73" t="s">
        <v>1288</v>
      </c>
      <c r="B538" s="74" t="s">
        <v>1289</v>
      </c>
      <c r="C538" s="66" t="str">
        <f>IFERROR(__xludf.DUMMYFUNCTION("GOOGLETRANSLATE(B538,""en"",""hi"")"),"चयनित संपर्क एसओएस उद्देश्य के लिए हमारे सर्वर में जोड़ा जाएगा, ऐप में इस संपर्क को हटाने का एक विकल्प है।")</f>
        <v>चयनित संपर्क एसओएस उद्देश्य के लिए हमारे सर्वर में जोड़ा जाएगा, ऐप में इस संपर्क को हटाने का एक विकल्प है।</v>
      </c>
      <c r="D538" s="67" t="str">
        <f>IFERROR(__xludf.DUMMYFUNCTION("GOOGLETRANSLATE(B538,""en"",""ar"")"),"ستتم إضافة جهة الاتصال المحددة إلى خادمنا لغرض SOS، ويوجد في التطبيق خيار لإزالة جهات الاتصال هذه.")</f>
        <v>ستتم إضافة جهة الاتصال المحددة إلى خادمنا لغرض SOS، ويوجد في التطبيق خيار لإزالة جهات الاتصال هذه.</v>
      </c>
      <c r="E538" s="67" t="str">
        <f>IFERROR(__xludf.DUMMYFUNCTION("GOOGLETRANSLATE(B538,""en"",""fr"")"),"Le contact sélectionné sera ajouté à notre serveur à des fins SOS. Dans l'application, il existe une option pour supprimer ces contacts.")</f>
        <v>Le contact sélectionné sera ajouté à notre serveur à des fins SOS. Dans l'application, il existe une option pour supprimer ces contacts.</v>
      </c>
      <c r="F538" s="67" t="str">
        <f>IFERROR(__xludf.DUMMYFUNCTION("GOOGLETRANSLATE(B538,""en"",""tr"")"),"Seçilen kişi SOS amacıyla sunucumuza eklenecektir. Uygulamada bu kişileri kaldırma seçeneği bulunmaktadır.")</f>
        <v>Seçilen kişi SOS amacıyla sunucumuza eklenecektir. Uygulamada bu kişileri kaldırma seçeneği bulunmaktadır.</v>
      </c>
      <c r="G538" s="67" t="str">
        <f>IFERROR(__xludf.DUMMYFUNCTION("GOOGLETRANSLATE(B538,""en"",""ru"")"),"Выбранный контакт будет добавлен на наш сервер в целях SOS. В приложении есть возможность удалить этот контакт.")</f>
        <v>Выбранный контакт будет добавлен на наш сервер в целях SOS. В приложении есть возможность удалить этот контакт.</v>
      </c>
      <c r="H538" s="67" t="str">
        <f>IFERROR(__xludf.DUMMYFUNCTION("GOOGLETRANSLATE(B538,""en"",""it"")"),"Il contatto selezionato verrà aggiunto al nostro server per scopi SOS. Nell'app è presente un'opzione per rimuovere questi contatti.")</f>
        <v>Il contatto selezionato verrà aggiunto al nostro server per scopi SOS. Nell'app è presente un'opzione per rimuovere questi contatti.</v>
      </c>
      <c r="I538" s="67" t="str">
        <f>IFERROR(__xludf.DUMMYFUNCTION("GOOGLETRANSLATE(B538,""en"",""de"")"),"Der ausgewählte Kontakt wird zu SOS-Zwecken auf unserem Server hinzugefügt. In der App besteht die Möglichkeit, diese Kontakte zu entfernen.")</f>
        <v>Der ausgewählte Kontakt wird zu SOS-Zwecken auf unserem Server hinzugefügt. In der App besteht die Möglichkeit, diese Kontakte zu entfernen.</v>
      </c>
      <c r="J538" s="67" t="str">
        <f>IFERROR(__xludf.DUMMYFUNCTION("GOOGLETRANSLATE(B538,""en"",""ko"")"),"선택한 연락처는 SOS 목적으로 당사 서버에 추가됩니다. 앱에는 이 연락처를 제거할 수 있는 옵션이 있습니다.")</f>
        <v>선택한 연락처는 SOS 목적으로 당사 서버에 추가됩니다. 앱에는 이 연락처를 제거할 수 있는 옵션이 있습니다.</v>
      </c>
      <c r="K538" s="67" t="str">
        <f>IFERROR(__xludf.DUMMYFUNCTION("GOOGLETRANSLATE(B538,""en"",""zh"")"),"选定的联系人将被添加到我们的服务器中以用于 SOS 目的，在应用程序中，有一个选项可以删除此联系人。")</f>
        <v>选定的联系人将被添加到我们的服务器中以用于 SOS 目的，在应用程序中，有一个选项可以删除此联系人。</v>
      </c>
      <c r="L538" s="67" t="str">
        <f>IFERROR(__xludf.DUMMYFUNCTION("GOOGLETRANSLATE(B538,""en"",""es"")"),"El contacto seleccionado se agregará a nuestro servidor para fines de SOS. En la aplicación hay una opción para eliminar estos contactos.")</f>
        <v>El contacto seleccionado se agregará a nuestro servidor para fines de SOS. En la aplicación hay una opción para eliminar estos contactos.</v>
      </c>
      <c r="M538" s="66" t="str">
        <f>IFERROR(__xludf.DUMMYFUNCTION("GOOGLETRANSLATE(B538,""en"",""iw"")"),"איש הקשר הנבחר יתווסף לשרת שלנו למטרת SOS, באפליקציה יש אפשרות להסיר את אנשי הקשר הללו.")</f>
        <v>איש הקשר הנבחר יתווסף לשרת שלנו למטרת SOS, באפליקציה יש אפשרות להסיר את אנשי הקשר הללו.</v>
      </c>
      <c r="N538" s="67" t="str">
        <f>IFERROR(__xludf.DUMMYFUNCTION("GOOGLETRANSLATE(B538,""en"",""bn"")"),"নির্বাচিত পরিচিতিগুলি আমাদের সার্ভারে এসওএস উদ্দেশ্যে যুক্ত করা হবে, অ্যাপে এই পরিচিতিগুলি সরানোর বিকল্প রয়েছে।")</f>
        <v>নির্বাচিত পরিচিতিগুলি আমাদের সার্ভারে এসওএস উদ্দেশ্যে যুক্ত করা হবে, অ্যাপে এই পরিচিতিগুলি সরানোর বিকল্প রয়েছে।</v>
      </c>
      <c r="O538" s="4" t="str">
        <f>IFERROR(__xludf.DUMMYFUNCTION("GOOGLETRANSLATE(B538,""en"",""pt"")"),"O contato selecionado será adicionado em nosso servidor para efeito SOS. No aplicativo existe uma opção para remover esses contatos.")</f>
        <v>O contato selecionado será adicionado em nosso servidor para efeito SOS. No aplicativo existe uma opção para remover esses contatos.</v>
      </c>
    </row>
    <row r="539">
      <c r="A539" s="85" t="s">
        <v>1290</v>
      </c>
      <c r="B539" s="74" t="s">
        <v>1291</v>
      </c>
      <c r="C539" s="66" t="str">
        <f>IFERROR(__xludf.DUMMYFUNCTION("GOOGLETRANSLATE(B539,""en"",""hi"")"),"भुगतान प्राप्त हुआ")</f>
        <v>भुगतान प्राप्त हुआ</v>
      </c>
      <c r="D539" s="67" t="str">
        <f>IFERROR(__xludf.DUMMYFUNCTION("GOOGLETRANSLATE(B539,""en"",""ar"")"),"تم استلام الدفعة")</f>
        <v>تم استلام الدفعة</v>
      </c>
      <c r="E539" s="67" t="str">
        <f>IFERROR(__xludf.DUMMYFUNCTION("GOOGLETRANSLATE(B539,""en"",""fr"")"),"Paiement reçu")</f>
        <v>Paiement reçu</v>
      </c>
      <c r="F539" s="67" t="str">
        <f>IFERROR(__xludf.DUMMYFUNCTION("GOOGLETRANSLATE(B539,""en"",""tr"")"),"Ödeme Alındı")</f>
        <v>Ödeme Alındı</v>
      </c>
      <c r="G539" s="67" t="str">
        <f>IFERROR(__xludf.DUMMYFUNCTION("GOOGLETRANSLATE(B539,""en"",""ru"")"),"Платеж получен")</f>
        <v>Платеж получен</v>
      </c>
      <c r="H539" s="67" t="str">
        <f>IFERROR(__xludf.DUMMYFUNCTION("GOOGLETRANSLATE(B539,""en"",""it"")"),"Pagamento ricevuto")</f>
        <v>Pagamento ricevuto</v>
      </c>
      <c r="I539" s="67" t="str">
        <f>IFERROR(__xludf.DUMMYFUNCTION("GOOGLETRANSLATE(B539,""en"",""de"")"),"Zahlung erhalten")</f>
        <v>Zahlung erhalten</v>
      </c>
      <c r="J539" s="67" t="str">
        <f>IFERROR(__xludf.DUMMYFUNCTION("GOOGLETRANSLATE(B539,""en"",""ko"")"),"결제 완료")</f>
        <v>결제 완료</v>
      </c>
      <c r="K539" s="67" t="str">
        <f>IFERROR(__xludf.DUMMYFUNCTION("GOOGLETRANSLATE(B539,""en"",""zh"")"),"已收到付款")</f>
        <v>已收到付款</v>
      </c>
      <c r="L539" s="67" t="str">
        <f>IFERROR(__xludf.DUMMYFUNCTION("GOOGLETRANSLATE(B539,""en"",""es"")"),"Pago recibido")</f>
        <v>Pago recibido</v>
      </c>
      <c r="M539" s="66" t="str">
        <f>IFERROR(__xludf.DUMMYFUNCTION("GOOGLETRANSLATE(B539,""en"",""iw"")"),"התשלום התקבל")</f>
        <v>התשלום התקבל</v>
      </c>
      <c r="N539" s="67" t="str">
        <f>IFERROR(__xludf.DUMMYFUNCTION("GOOGLETRANSLATE(B539,""en"",""bn"")"),"পেমেন্ট প্রাপ্ত")</f>
        <v>পেমেন্ট প্রাপ্ত</v>
      </c>
      <c r="O539" s="4" t="str">
        <f>IFERROR(__xludf.DUMMYFUNCTION("GOOGLETRANSLATE(B539,""en"",""pt"")"),"Pagamento recebido")</f>
        <v>Pagamento recebido</v>
      </c>
    </row>
    <row r="540">
      <c r="A540" s="14" t="s">
        <v>1292</v>
      </c>
      <c r="B540" s="14" t="s">
        <v>1293</v>
      </c>
      <c r="C540" s="66" t="str">
        <f>IFERROR(__xludf.DUMMYFUNCTION("GOOGLETRANSLATE(B540,""en"",""hi"")"),"तुम्हारा ईमेल क्या है ?")</f>
        <v>तुम्हारा ईमेल क्या है ?</v>
      </c>
      <c r="D540" s="67" t="str">
        <f>IFERROR(__xludf.DUMMYFUNCTION("GOOGLETRANSLATE(B540,""en"",""ar"")"),"ما هو بريدك الإلكتروني ؟")</f>
        <v>ما هو بريدك الإلكتروني ؟</v>
      </c>
      <c r="E540" s="67" t="str">
        <f>IFERROR(__xludf.DUMMYFUNCTION("GOOGLETRANSLATE(B540,""en"",""fr"")"),"Quel est ton e-mail ?")</f>
        <v>Quel est ton e-mail ?</v>
      </c>
      <c r="F540" s="67" t="str">
        <f>IFERROR(__xludf.DUMMYFUNCTION("GOOGLETRANSLATE(B540,""en"",""tr"")"),"E-postanız Nedir?")</f>
        <v>E-postanız Nedir?</v>
      </c>
      <c r="G540" s="67" t="str">
        <f>IFERROR(__xludf.DUMMYFUNCTION("GOOGLETRANSLATE(B540,""en"",""ru"")"),"Какой у тебя адрес электронной почты ?")</f>
        <v>Какой у тебя адрес электронной почты ?</v>
      </c>
      <c r="H540" s="67" t="str">
        <f>IFERROR(__xludf.DUMMYFUNCTION("GOOGLETRANSLATE(B540,""en"",""it"")"),"Qual è la tua email ?")</f>
        <v>Qual è la tua email ?</v>
      </c>
      <c r="I540" s="67" t="str">
        <f>IFERROR(__xludf.DUMMYFUNCTION("GOOGLETRANSLATE(B540,""en"",""de"")"),"Wie ist deine E-Mailadresse ?")</f>
        <v>Wie ist deine E-Mailadresse ?</v>
      </c>
      <c r="J540" s="67" t="str">
        <f>IFERROR(__xludf.DUMMYFUNCTION("GOOGLETRANSLATE(B540,""en"",""ko"")"),"당신의 이메일은 무엇입니까?")</f>
        <v>당신의 이메일은 무엇입니까?</v>
      </c>
      <c r="K540" s="67" t="str">
        <f>IFERROR(__xludf.DUMMYFUNCTION("GOOGLETRANSLATE(B540,""en"",""zh"")"),"您的电子邮件是什么？")</f>
        <v>您的电子邮件是什么？</v>
      </c>
      <c r="L540" s="67" t="str">
        <f>IFERROR(__xludf.DUMMYFUNCTION("GOOGLETRANSLATE(B540,""en"",""es"")"),"Cuál es tu correo electrónico ?")</f>
        <v>Cuál es tu correo electrónico ?</v>
      </c>
      <c r="M540" s="66" t="str">
        <f>IFERROR(__xludf.DUMMYFUNCTION("GOOGLETRANSLATE(B540,""en"",""iw"")"),"מה המייל שלך ?")</f>
        <v>מה המייל שלך ?</v>
      </c>
      <c r="N540" s="67" t="str">
        <f>IFERROR(__xludf.DUMMYFUNCTION("GOOGLETRANSLATE(B540,""en"",""bn"")"),"আপনার ইমেইল কি?")</f>
        <v>আপনার ইমেইল কি?</v>
      </c>
      <c r="O540" s="4" t="str">
        <f>IFERROR(__xludf.DUMMYFUNCTION("GOOGLETRANSLATE(B540,""en"",""pt"")"),"Qual o seu email ?")</f>
        <v>Qual o seu email ?</v>
      </c>
    </row>
    <row r="541">
      <c r="A541" s="14" t="s">
        <v>1294</v>
      </c>
      <c r="B541" s="14" t="s">
        <v>1295</v>
      </c>
      <c r="C541" s="66" t="str">
        <f>IFERROR(__xludf.DUMMYFUNCTION("GOOGLETRANSLATE(B541,""en"",""hi"")"),"टैक्सी")</f>
        <v>टैक्सी</v>
      </c>
      <c r="D541" s="67" t="str">
        <f>IFERROR(__xludf.DUMMYFUNCTION("GOOGLETRANSLATE(B541,""en"",""ar"")"),"سيارة اجره")</f>
        <v>سيارة اجره</v>
      </c>
      <c r="E541" s="67" t="str">
        <f>IFERROR(__xludf.DUMMYFUNCTION("GOOGLETRANSLATE(B541,""en"",""fr"")"),"Taxi")</f>
        <v>Taxi</v>
      </c>
      <c r="F541" s="67" t="str">
        <f>IFERROR(__xludf.DUMMYFUNCTION("GOOGLETRANSLATE(B541,""en"",""tr"")"),"Taksi")</f>
        <v>Taksi</v>
      </c>
      <c r="G541" s="67" t="str">
        <f>IFERROR(__xludf.DUMMYFUNCTION("GOOGLETRANSLATE(B541,""en"",""ru"")"),"Такси")</f>
        <v>Такси</v>
      </c>
      <c r="H541" s="67" t="str">
        <f>IFERROR(__xludf.DUMMYFUNCTION("GOOGLETRANSLATE(B541,""en"",""it"")"),"Taxi")</f>
        <v>Taxi</v>
      </c>
      <c r="I541" s="67" t="str">
        <f>IFERROR(__xludf.DUMMYFUNCTION("GOOGLETRANSLATE(B541,""en"",""de"")"),"Taxi")</f>
        <v>Taxi</v>
      </c>
      <c r="J541" s="67" t="str">
        <f>IFERROR(__xludf.DUMMYFUNCTION("GOOGLETRANSLATE(B541,""en"",""ko"")"),"택시")</f>
        <v>택시</v>
      </c>
      <c r="K541" s="67" t="str">
        <f>IFERROR(__xludf.DUMMYFUNCTION("GOOGLETRANSLATE(B541,""en"",""zh"")"),"出租车")</f>
        <v>出租车</v>
      </c>
      <c r="L541" s="67" t="str">
        <f>IFERROR(__xludf.DUMMYFUNCTION("GOOGLETRANSLATE(B541,""en"",""es"")"),"Taxi")</f>
        <v>Taxi</v>
      </c>
      <c r="M541" s="66" t="str">
        <f>IFERROR(__xludf.DUMMYFUNCTION("GOOGLETRANSLATE(B541,""en"",""iw"")"),"מוֹנִית")</f>
        <v>מוֹנִית</v>
      </c>
      <c r="N541" s="67" t="str">
        <f>IFERROR(__xludf.DUMMYFUNCTION("GOOGLETRANSLATE(B541,""en"",""bn"")"),"ট্যাক্সি")</f>
        <v>ট্যাক্সি</v>
      </c>
      <c r="O541" s="4" t="str">
        <f>IFERROR(__xludf.DUMMYFUNCTION("GOOGLETRANSLATE(B541,""en"",""pt"")"),"Táxi")</f>
        <v>Táxi</v>
      </c>
    </row>
    <row r="542">
      <c r="A542" s="14" t="s">
        <v>1296</v>
      </c>
      <c r="B542" s="14" t="s">
        <v>1297</v>
      </c>
      <c r="C542" s="66" t="str">
        <f>IFERROR(__xludf.DUMMYFUNCTION("GOOGLETRANSLATE(B542,""en"",""hi"")"),"दोनों")</f>
        <v>दोनों</v>
      </c>
      <c r="D542" s="67" t="str">
        <f>IFERROR(__xludf.DUMMYFUNCTION("GOOGLETRANSLATE(B542,""en"",""ar"")"),"كلاهما")</f>
        <v>كلاهما</v>
      </c>
      <c r="E542" s="67" t="str">
        <f>IFERROR(__xludf.DUMMYFUNCTION("GOOGLETRANSLATE(B542,""en"",""fr"")"),"Les deux")</f>
        <v>Les deux</v>
      </c>
      <c r="F542" s="67" t="str">
        <f>IFERROR(__xludf.DUMMYFUNCTION("GOOGLETRANSLATE(B542,""en"",""tr"")"),"İkisi birden")</f>
        <v>İkisi birden</v>
      </c>
      <c r="G542" s="67" t="str">
        <f>IFERROR(__xludf.DUMMYFUNCTION("GOOGLETRANSLATE(B542,""en"",""ru"")"),"Оба")</f>
        <v>Оба</v>
      </c>
      <c r="H542" s="67" t="str">
        <f>IFERROR(__xludf.DUMMYFUNCTION("GOOGLETRANSLATE(B542,""en"",""it"")"),"Entrambi")</f>
        <v>Entrambi</v>
      </c>
      <c r="I542" s="67" t="str">
        <f>IFERROR(__xludf.DUMMYFUNCTION("GOOGLETRANSLATE(B542,""en"",""de"")"),"Beide")</f>
        <v>Beide</v>
      </c>
      <c r="J542" s="67" t="str">
        <f>IFERROR(__xludf.DUMMYFUNCTION("GOOGLETRANSLATE(B542,""en"",""ko"")"),"둘 다")</f>
        <v>둘 다</v>
      </c>
      <c r="K542" s="67" t="str">
        <f>IFERROR(__xludf.DUMMYFUNCTION("GOOGLETRANSLATE(B542,""en"",""zh"")"),"两个都")</f>
        <v>两个都</v>
      </c>
      <c r="L542" s="67" t="str">
        <f>IFERROR(__xludf.DUMMYFUNCTION("GOOGLETRANSLATE(B542,""en"",""es"")"),"Ambos")</f>
        <v>Ambos</v>
      </c>
      <c r="M542" s="66" t="str">
        <f>IFERROR(__xludf.DUMMYFUNCTION("GOOGLETRANSLATE(B542,""en"",""iw"")"),"שניהם")</f>
        <v>שניהם</v>
      </c>
      <c r="N542" s="67" t="str">
        <f>IFERROR(__xludf.DUMMYFUNCTION("GOOGLETRANSLATE(B542,""en"",""bn"")"),"উভয়")</f>
        <v>উভয়</v>
      </c>
      <c r="O542" s="4" t="str">
        <f>IFERROR(__xludf.DUMMYFUNCTION("GOOGLETRANSLATE(B542,""en"",""pt"")"),"Ambos")</f>
        <v>Ambos</v>
      </c>
    </row>
    <row r="543">
      <c r="A543" s="14" t="s">
        <v>1298</v>
      </c>
      <c r="B543" s="14" t="s">
        <v>1299</v>
      </c>
      <c r="C543" s="66" t="str">
        <f>IFERROR(__xludf.DUMMYFUNCTION("GOOGLETRANSLATE(B543,""en"",""hi"")"),"आपकी सेवा का स्थान क्या है")</f>
        <v>आपकी सेवा का स्थान क्या है</v>
      </c>
      <c r="D543" s="67" t="str">
        <f>IFERROR(__xludf.DUMMYFUNCTION("GOOGLETRANSLATE(B543,""en"",""ar"")"),"ما هو موقع الخدمة الخاص بك")</f>
        <v>ما هو موقع الخدمة الخاص بك</v>
      </c>
      <c r="E543" s="67" t="str">
        <f>IFERROR(__xludf.DUMMYFUNCTION("GOOGLETRANSLATE(B543,""en"",""fr"")"),"Quel est votre emplacement de service")</f>
        <v>Quel est votre emplacement de service</v>
      </c>
      <c r="F543" s="67" t="str">
        <f>IFERROR(__xludf.DUMMYFUNCTION("GOOGLETRANSLATE(B543,""en"",""tr"")"),"Hizmet konumunuz nedir?")</f>
        <v>Hizmet konumunuz nedir?</v>
      </c>
      <c r="G543" s="67" t="str">
        <f>IFERROR(__xludf.DUMMYFUNCTION("GOOGLETRANSLATE(B543,""en"",""ru"")"),"Где находится ваше обслуживание?")</f>
        <v>Где находится ваше обслуживание?</v>
      </c>
      <c r="H543" s="67" t="str">
        <f>IFERROR(__xludf.DUMMYFUNCTION("GOOGLETRANSLATE(B543,""en"",""it"")"),"Qual è la sede del tuo servizio?")</f>
        <v>Qual è la sede del tuo servizio?</v>
      </c>
      <c r="I543" s="67" t="str">
        <f>IFERROR(__xludf.DUMMYFUNCTION("GOOGLETRANSLATE(B543,""en"",""de"")"),"Wo ist Ihr Servicestandort?")</f>
        <v>Wo ist Ihr Servicestandort?</v>
      </c>
      <c r="J543" s="67" t="str">
        <f>IFERROR(__xludf.DUMMYFUNCTION("GOOGLETRANSLATE(B543,""en"",""ko"")"),"서비스 위치가 어디인가요?")</f>
        <v>서비스 위치가 어디인가요?</v>
      </c>
      <c r="K543" s="67" t="str">
        <f>IFERROR(__xludf.DUMMYFUNCTION("GOOGLETRANSLATE(B543,""en"",""zh"")"),"您的服务地点在哪里")</f>
        <v>您的服务地点在哪里</v>
      </c>
      <c r="L543" s="67" t="str">
        <f>IFERROR(__xludf.DUMMYFUNCTION("GOOGLETRANSLATE(B543,""en"",""es"")"),"¿Cuál es su ubicación de servicio?")</f>
        <v>¿Cuál es su ubicación de servicio?</v>
      </c>
      <c r="M543" s="66" t="str">
        <f>IFERROR(__xludf.DUMMYFUNCTION("GOOGLETRANSLATE(B543,""en"",""iw"")"),"מה מיקום השירות שלך")</f>
        <v>מה מיקום השירות שלך</v>
      </c>
      <c r="N543" s="67" t="str">
        <f>IFERROR(__xludf.DUMMYFUNCTION("GOOGLETRANSLATE(B543,""en"",""bn"")"),"আপনার পরিষেবা অবস্থান কি")</f>
        <v>আপনার পরিষেবা অবস্থান কি</v>
      </c>
      <c r="O543" s="4" t="str">
        <f>IFERROR(__xludf.DUMMYFUNCTION("GOOGLETRANSLATE(B543,""en"",""pt"")"),"Qual é o seu local de atendimento")</f>
        <v>Qual é o seu local de atendimento</v>
      </c>
    </row>
    <row r="544">
      <c r="A544" s="14" t="s">
        <v>1300</v>
      </c>
      <c r="B544" s="14" t="s">
        <v>1301</v>
      </c>
      <c r="C544" s="66" t="str">
        <f>IFERROR(__xludf.DUMMYFUNCTION("GOOGLETRANSLATE(B544,""en"",""hi"")"),"पिकअप स्थान खोजें")</f>
        <v>पिकअप स्थान खोजें</v>
      </c>
      <c r="D544" s="67" t="str">
        <f>IFERROR(__xludf.DUMMYFUNCTION("GOOGLETRANSLATE(B544,""en"",""ar"")"),"البحث عن موقع الالتقاط")</f>
        <v>البحث عن موقع الالتقاط</v>
      </c>
      <c r="E544" s="67" t="str">
        <f>IFERROR(__xludf.DUMMYFUNCTION("GOOGLETRANSLATE(B544,""en"",""fr"")"),"rechercher un lieu de prise en charge")</f>
        <v>rechercher un lieu de prise en charge</v>
      </c>
      <c r="F544" s="67" t="str">
        <f>IFERROR(__xludf.DUMMYFUNCTION("GOOGLETRANSLATE(B544,""en"",""tr"")"),"teslim alma konumunu ara")</f>
        <v>teslim alma konumunu ara</v>
      </c>
      <c r="G544" s="67" t="str">
        <f>IFERROR(__xludf.DUMMYFUNCTION("GOOGLETRANSLATE(B544,""en"",""ru"")"),"найти место получения")</f>
        <v>найти место получения</v>
      </c>
      <c r="H544" s="67" t="str">
        <f>IFERROR(__xludf.DUMMYFUNCTION("GOOGLETRANSLATE(B544,""en"",""it"")"),"cercare il luogo di ritiro")</f>
        <v>cercare il luogo di ritiro</v>
      </c>
      <c r="I544" s="67" t="str">
        <f>IFERROR(__xludf.DUMMYFUNCTION("GOOGLETRANSLATE(B544,""en"",""de"")"),"Abholort suchen")</f>
        <v>Abholort suchen</v>
      </c>
      <c r="J544" s="67" t="str">
        <f>IFERROR(__xludf.DUMMYFUNCTION("GOOGLETRANSLATE(B544,""en"",""ko"")"),"픽업 위치 검색")</f>
        <v>픽업 위치 검색</v>
      </c>
      <c r="K544" s="67" t="str">
        <f>IFERROR(__xludf.DUMMYFUNCTION("GOOGLETRANSLATE(B544,""en"",""zh"")"),"搜索上车地点")</f>
        <v>搜索上车地点</v>
      </c>
      <c r="L544" s="67" t="str">
        <f>IFERROR(__xludf.DUMMYFUNCTION("GOOGLETRANSLATE(B544,""en"",""es"")"),"buscar lugar de recogida")</f>
        <v>buscar lugar de recogida</v>
      </c>
      <c r="M544" s="66" t="str">
        <f>IFERROR(__xludf.DUMMYFUNCTION("GOOGLETRANSLATE(B544,""en"",""iw"")"),"חיפוש מיקום איסוף")</f>
        <v>חיפוש מיקום איסוף</v>
      </c>
      <c r="N544" s="67" t="str">
        <f>IFERROR(__xludf.DUMMYFUNCTION("GOOGLETRANSLATE(B544,""en"",""bn"")"),"পিকআপ অবস্থান অনুসন্ধান করুন")</f>
        <v>পিকআপ অবস্থান অনুসন্ধান করুন</v>
      </c>
      <c r="O544" s="4" t="str">
        <f>IFERROR(__xludf.DUMMYFUNCTION("GOOGLETRANSLATE(B544,""en"",""pt"")"),"pesquisar local de retirada")</f>
        <v>pesquisar local de retirada</v>
      </c>
    </row>
    <row r="545">
      <c r="A545" s="14" t="s">
        <v>1302</v>
      </c>
      <c r="B545" s="14" t="s">
        <v>1303</v>
      </c>
      <c r="C545" s="66" t="str">
        <f>IFERROR(__xludf.DUMMYFUNCTION("GOOGLETRANSLATE(B545,""en"",""hi"")"),"शिकायत कम से कम 10 अक्षर की होनी चाहिए")</f>
        <v>शिकायत कम से कम 10 अक्षर की होनी चाहिए</v>
      </c>
      <c r="D545" s="67" t="str">
        <f>IFERROR(__xludf.DUMMYFUNCTION("GOOGLETRANSLATE(B545,""en"",""ar"")"),"يجب أن تكون الشكوى 10 أحرف على الأقل")</f>
        <v>يجب أن تكون الشكوى 10 أحرف على الأقل</v>
      </c>
      <c r="E545" s="67" t="str">
        <f>IFERROR(__xludf.DUMMYFUNCTION("GOOGLETRANSLATE(B545,""en"",""fr"")"),"La plainte doit comporter au minimum 10 caractères")</f>
        <v>La plainte doit comporter au minimum 10 caractères</v>
      </c>
      <c r="F545" s="67" t="str">
        <f>IFERROR(__xludf.DUMMYFUNCTION("GOOGLETRANSLATE(B545,""en"",""tr"")"),"Şikayet en az 10 karakter olmalıdır")</f>
        <v>Şikayet en az 10 karakter olmalıdır</v>
      </c>
      <c r="G545" s="67" t="str">
        <f>IFERROR(__xludf.DUMMYFUNCTION("GOOGLETRANSLATE(B545,""en"",""ru"")"),"Жалоба должна содержать минимум 10 символов.")</f>
        <v>Жалоба должна содержать минимум 10 символов.</v>
      </c>
      <c r="H545" s="67" t="str">
        <f>IFERROR(__xludf.DUMMYFUNCTION("GOOGLETRANSLATE(B545,""en"",""it"")"),"Il reclamo deve contenere almeno 10 caratteri")</f>
        <v>Il reclamo deve contenere almeno 10 caratteri</v>
      </c>
      <c r="I545" s="67" t="str">
        <f>IFERROR(__xludf.DUMMYFUNCTION("GOOGLETRANSLATE(B545,""en"",""de"")"),"Die Beschwerde muss mindestens 10 Zeichen lang sein")</f>
        <v>Die Beschwerde muss mindestens 10 Zeichen lang sein</v>
      </c>
      <c r="J545" s="67" t="str">
        <f>IFERROR(__xludf.DUMMYFUNCTION("GOOGLETRANSLATE(B545,""en"",""ko"")"),"불만사항은 10자 이상이어야 합니다.")</f>
        <v>불만사항은 10자 이상이어야 합니다.</v>
      </c>
      <c r="K545" s="67" t="str">
        <f>IFERROR(__xludf.DUMMYFUNCTION("GOOGLETRANSLATE(B545,""en"",""zh"")"),"投诉必须至少 10 个字符")</f>
        <v>投诉必须至少 10 个字符</v>
      </c>
      <c r="L545" s="67" t="str">
        <f>IFERROR(__xludf.DUMMYFUNCTION("GOOGLETRANSLATE(B545,""en"",""es"")"),"La queja debe tener un mínimo de 10 caracteres.")</f>
        <v>La queja debe tener un mínimo de 10 caracteres.</v>
      </c>
      <c r="M545" s="66" t="str">
        <f>IFERROR(__xludf.DUMMYFUNCTION("GOOGLETRANSLATE(B545,""en"",""iw"")"),"התלונה חייבת להכיל מינימום 10 תווים")</f>
        <v>התלונה חייבת להכיל מינימום 10 תווים</v>
      </c>
      <c r="N545" s="67" t="str">
        <f>IFERROR(__xludf.DUMMYFUNCTION("GOOGLETRANSLATE(B545,""en"",""bn"")"),"অভিযোগ ন্যূনতম 10 অক্ষরের হতে হবে")</f>
        <v>অভিযোগ ন্যূনতম 10 অক্ষরের হতে হবে</v>
      </c>
      <c r="O545" s="4" t="str">
        <f>IFERROR(__xludf.DUMMYFUNCTION("GOOGLETRANSLATE(B545,""en"",""pt"")"),"A reclamação deve ter no mínimo 10 caracteres")</f>
        <v>A reclamação deve ter no mínimo 10 caracteres</v>
      </c>
    </row>
    <row r="546">
      <c r="A546" s="14" t="s">
        <v>1304</v>
      </c>
      <c r="B546" s="14" t="s">
        <v>1305</v>
      </c>
      <c r="C546" s="66" t="str">
        <f>IFERROR(__xludf.DUMMYFUNCTION("GOOGLETRANSLATE(B546,""en"",""hi"")"),"आपका खाता अस्वीकृत कर दिया गया है")</f>
        <v>आपका खाता अस्वीकृत कर दिया गया है</v>
      </c>
      <c r="D546" s="67" t="str">
        <f>IFERROR(__xludf.DUMMYFUNCTION("GOOGLETRANSLATE(B546,""en"",""ar"")"),"تم رفض حسابك")</f>
        <v>تم رفض حسابك</v>
      </c>
      <c r="E546" s="67" t="str">
        <f>IFERROR(__xludf.DUMMYFUNCTION("GOOGLETRANSLATE(B546,""en"",""fr"")"),"Votre compte est refusé")</f>
        <v>Votre compte est refusé</v>
      </c>
      <c r="F546" s="67" t="str">
        <f>IFERROR(__xludf.DUMMYFUNCTION("GOOGLETRANSLATE(B546,""en"",""tr"")"),"Hesabınız Reddedildi")</f>
        <v>Hesabınız Reddedildi</v>
      </c>
      <c r="G546" s="67" t="str">
        <f>IFERROR(__xludf.DUMMYFUNCTION("GOOGLETRANSLATE(B546,""en"",""ru"")"),"Ваш аккаунт отклонен")</f>
        <v>Ваш аккаунт отклонен</v>
      </c>
      <c r="H546" s="67" t="str">
        <f>IFERROR(__xludf.DUMMYFUNCTION("GOOGLETRANSLATE(B546,""en"",""it"")"),"Il tuo account è stato rifiutato")</f>
        <v>Il tuo account è stato rifiutato</v>
      </c>
      <c r="I546" s="67" t="str">
        <f>IFERROR(__xludf.DUMMYFUNCTION("GOOGLETRANSLATE(B546,""en"",""de"")"),"Ihr Konto wurde abgelehnt")</f>
        <v>Ihr Konto wurde abgelehnt</v>
      </c>
      <c r="J546" s="67" t="str">
        <f>IFERROR(__xludf.DUMMYFUNCTION("GOOGLETRANSLATE(B546,""en"",""ko"")"),"귀하의 계정이 거부되었습니다")</f>
        <v>귀하의 계정이 거부되었습니다</v>
      </c>
      <c r="K546" s="67" t="str">
        <f>IFERROR(__xludf.DUMMYFUNCTION("GOOGLETRANSLATE(B546,""en"",""zh"")"),"您的帐户被拒绝")</f>
        <v>您的帐户被拒绝</v>
      </c>
      <c r="L546" s="67" t="str">
        <f>IFERROR(__xludf.DUMMYFUNCTION("GOOGLETRANSLATE(B546,""en"",""es"")"),"Su cuenta es rechazada")</f>
        <v>Su cuenta es rechazada</v>
      </c>
      <c r="M546" s="66" t="str">
        <f>IFERROR(__xludf.DUMMYFUNCTION("GOOGLETRANSLATE(B546,""en"",""iw"")"),"חשבונך נדחה")</f>
        <v>חשבונך נדחה</v>
      </c>
      <c r="N546" s="67" t="str">
        <f>IFERROR(__xludf.DUMMYFUNCTION("GOOGLETRANSLATE(B546,""en"",""bn"")"),"আপনার অ্যাকাউন্ট প্রত্যাখ্যান করা হয়েছে")</f>
        <v>আপনার অ্যাকাউন্ট প্রত্যাখ্যান করা হয়েছে</v>
      </c>
      <c r="O546" s="4" t="str">
        <f>IFERROR(__xludf.DUMMYFUNCTION("GOOGLETRANSLATE(B546,""en"",""pt"")"),"Sua conta foi recusada")</f>
        <v>Sua conta foi recusada</v>
      </c>
    </row>
    <row r="547">
      <c r="A547" s="14" t="s">
        <v>1306</v>
      </c>
      <c r="B547" s="14" t="s">
        <v>1307</v>
      </c>
      <c r="C547" s="66" t="str">
        <f>IFERROR(__xludf.DUMMYFUNCTION("GOOGLETRANSLATE(B547,""en"",""hi"")"),"अस्वीकृत कारण")</f>
        <v>अस्वीकृत कारण</v>
      </c>
      <c r="D547" s="67" t="str">
        <f>IFERROR(__xludf.DUMMYFUNCTION("GOOGLETRANSLATE(B547,""en"",""ar"")"),"سبب الرفض")</f>
        <v>سبب الرفض</v>
      </c>
      <c r="E547" s="67" t="str">
        <f>IFERROR(__xludf.DUMMYFUNCTION("GOOGLETRANSLATE(B547,""en"",""fr"")"),"Raison du refus")</f>
        <v>Raison du refus</v>
      </c>
      <c r="F547" s="67" t="str">
        <f>IFERROR(__xludf.DUMMYFUNCTION("GOOGLETRANSLATE(B547,""en"",""tr"")"),"Reddedilme Nedeni")</f>
        <v>Reddedilme Nedeni</v>
      </c>
      <c r="G547" s="67" t="str">
        <f>IFERROR(__xludf.DUMMYFUNCTION("GOOGLETRANSLATE(B547,""en"",""ru"")"),"Причина отклонения")</f>
        <v>Причина отклонения</v>
      </c>
      <c r="H547" s="67" t="str">
        <f>IFERROR(__xludf.DUMMYFUNCTION("GOOGLETRANSLATE(B547,""en"",""it"")"),"Motivo del rifiuto")</f>
        <v>Motivo del rifiuto</v>
      </c>
      <c r="I547" s="67" t="str">
        <f>IFERROR(__xludf.DUMMYFUNCTION("GOOGLETRANSLATE(B547,""en"",""de"")"),"Abgelehnter Grund")</f>
        <v>Abgelehnter Grund</v>
      </c>
      <c r="J547" s="67" t="str">
        <f>IFERROR(__xludf.DUMMYFUNCTION("GOOGLETRANSLATE(B547,""en"",""ko"")"),"거부 이유")</f>
        <v>거부 이유</v>
      </c>
      <c r="K547" s="67" t="str">
        <f>IFERROR(__xludf.DUMMYFUNCTION("GOOGLETRANSLATE(B547,""en"",""zh"")"),"拒绝原因")</f>
        <v>拒绝原因</v>
      </c>
      <c r="L547" s="67" t="str">
        <f>IFERROR(__xludf.DUMMYFUNCTION("GOOGLETRANSLATE(B547,""en"",""es"")"),"Razón rechazada")</f>
        <v>Razón rechazada</v>
      </c>
      <c r="M547" s="66" t="str">
        <f>IFERROR(__xludf.DUMMYFUNCTION("GOOGLETRANSLATE(B547,""en"",""iw"")"),"סיבת דחיה")</f>
        <v>סיבת דחיה</v>
      </c>
      <c r="N547" s="67" t="str">
        <f>IFERROR(__xludf.DUMMYFUNCTION("GOOGLETRANSLATE(B547,""en"",""bn"")"),"প্রত্যাখ্যান কারণ")</f>
        <v>প্রত্যাখ্যান কারণ</v>
      </c>
      <c r="O547" s="4" t="str">
        <f>IFERROR(__xludf.DUMMYFUNCTION("GOOGLETRANSLATE(B547,""en"",""pt"")"),"Motivo recusado")</f>
        <v>Motivo recusado</v>
      </c>
    </row>
    <row r="548">
      <c r="A548" s="14" t="s">
        <v>1308</v>
      </c>
      <c r="B548" s="14" t="s">
        <v>1309</v>
      </c>
      <c r="C548" s="66" t="str">
        <f>IFERROR(__xludf.DUMMYFUNCTION("GOOGLETRANSLATE(B548,""en"",""hi"")"),"रेफरल छोड़ें")</f>
        <v>रेफरल छोड़ें</v>
      </c>
      <c r="D548" s="67" t="str">
        <f>IFERROR(__xludf.DUMMYFUNCTION("GOOGLETRANSLATE(B548,""en"",""ar"")"),"تخطي الإحالة")</f>
        <v>تخطي الإحالة</v>
      </c>
      <c r="E548" s="67" t="str">
        <f>IFERROR(__xludf.DUMMYFUNCTION("GOOGLETRANSLATE(B548,""en"",""fr"")"),"Ignorer la référence")</f>
        <v>Ignorer la référence</v>
      </c>
      <c r="F548" s="67" t="str">
        <f>IFERROR(__xludf.DUMMYFUNCTION("GOOGLETRANSLATE(B548,""en"",""tr"")"),"Yönlendirmeyi Atla")</f>
        <v>Yönlendirmeyi Atla</v>
      </c>
      <c r="G548" s="67" t="str">
        <f>IFERROR(__xludf.DUMMYFUNCTION("GOOGLETRANSLATE(B548,""en"",""ru"")"),"Пропустить реферал")</f>
        <v>Пропустить реферал</v>
      </c>
      <c r="H548" s="67" t="str">
        <f>IFERROR(__xludf.DUMMYFUNCTION("GOOGLETRANSLATE(B548,""en"",""it"")"),"Salta il rinvio")</f>
        <v>Salta il rinvio</v>
      </c>
      <c r="I548" s="67" t="str">
        <f>IFERROR(__xludf.DUMMYFUNCTION("GOOGLETRANSLATE(B548,""en"",""de"")"),"Empfehlung überspringen")</f>
        <v>Empfehlung überspringen</v>
      </c>
      <c r="J548" s="67" t="str">
        <f>IFERROR(__xludf.DUMMYFUNCTION("GOOGLETRANSLATE(B548,""en"",""ko"")"),"추천 건너뛰기")</f>
        <v>추천 건너뛰기</v>
      </c>
      <c r="K548" s="67" t="str">
        <f>IFERROR(__xludf.DUMMYFUNCTION("GOOGLETRANSLATE(B548,""en"",""zh"")"),"跳过推荐")</f>
        <v>跳过推荐</v>
      </c>
      <c r="L548" s="67" t="str">
        <f>IFERROR(__xludf.DUMMYFUNCTION("GOOGLETRANSLATE(B548,""en"",""es"")"),"Saltar referencia")</f>
        <v>Saltar referencia</v>
      </c>
      <c r="M548" s="66" t="str">
        <f>IFERROR(__xludf.DUMMYFUNCTION("GOOGLETRANSLATE(B548,""en"",""iw"")"),"דלג על הפניה")</f>
        <v>דלג על הפניה</v>
      </c>
      <c r="N548" s="67" t="str">
        <f>IFERROR(__xludf.DUMMYFUNCTION("GOOGLETRANSLATE(B548,""en"",""bn"")"),"রেফারেল এড়িয়ে যান")</f>
        <v>রেফারেল এড়িয়ে যান</v>
      </c>
      <c r="O548" s="4" t="str">
        <f>IFERROR(__xludf.DUMMYFUNCTION("GOOGLETRANSLATE(B548,""en"",""pt"")"),"Pular referência")</f>
        <v>Pular referência</v>
      </c>
    </row>
    <row r="549">
      <c r="A549" s="14" t="s">
        <v>1310</v>
      </c>
      <c r="B549" s="14" t="s">
        <v>1311</v>
      </c>
      <c r="C549" s="66" t="str">
        <f>IFERROR(__xludf.DUMMYFUNCTION("GOOGLETRANSLATE(B549,""en"",""hi"")"),"रेफरल (वैकल्पिक)")</f>
        <v>रेफरल (वैकल्पिक)</v>
      </c>
      <c r="D549" s="67" t="str">
        <f>IFERROR(__xludf.DUMMYFUNCTION("GOOGLETRANSLATE(B549,""en"",""ar"")"),"إحالة (اختياري)")</f>
        <v>إحالة (اختياري)</v>
      </c>
      <c r="E549" s="67" t="str">
        <f>IFERROR(__xludf.DUMMYFUNCTION("GOOGLETRANSLATE(B549,""en"",""fr"")"),"Référence (facultatif)")</f>
        <v>Référence (facultatif)</v>
      </c>
      <c r="F549" s="67" t="str">
        <f>IFERROR(__xludf.DUMMYFUNCTION("GOOGLETRANSLATE(B549,""en"",""tr"")"),"Yönlendirme (İsteğe Bağlı)")</f>
        <v>Yönlendirme (İsteğe Bağlı)</v>
      </c>
      <c r="G549" s="67" t="str">
        <f>IFERROR(__xludf.DUMMYFUNCTION("GOOGLETRANSLATE(B549,""en"",""ru"")"),"Реферал (необязательно)")</f>
        <v>Реферал (необязательно)</v>
      </c>
      <c r="H549" s="67" t="str">
        <f>IFERROR(__xludf.DUMMYFUNCTION("GOOGLETRANSLATE(B549,""en"",""it"")"),"Referral (facoltativo)")</f>
        <v>Referral (facoltativo)</v>
      </c>
      <c r="I549" s="67" t="str">
        <f>IFERROR(__xludf.DUMMYFUNCTION("GOOGLETRANSLATE(B549,""en"",""de"")"),"Empfehlung (optional)")</f>
        <v>Empfehlung (optional)</v>
      </c>
      <c r="J549" s="67" t="str">
        <f>IFERROR(__xludf.DUMMYFUNCTION("GOOGLETRANSLATE(B549,""en"",""ko"")"),"추천(선택사항)")</f>
        <v>추천(선택사항)</v>
      </c>
      <c r="K549" s="67" t="str">
        <f>IFERROR(__xludf.DUMMYFUNCTION("GOOGLETRANSLATE(B549,""en"",""zh"")"),"推荐（可选）")</f>
        <v>推荐（可选）</v>
      </c>
      <c r="L549" s="67" t="str">
        <f>IFERROR(__xludf.DUMMYFUNCTION("GOOGLETRANSLATE(B549,""en"",""es"")"),"Referencia (opcional)")</f>
        <v>Referencia (opcional)</v>
      </c>
      <c r="M549" s="66" t="str">
        <f>IFERROR(__xludf.DUMMYFUNCTION("GOOGLETRANSLATE(B549,""en"",""iw"")"),"הפניה (אופציונלי)")</f>
        <v>הפניה (אופציונלי)</v>
      </c>
      <c r="N549" s="67" t="str">
        <f>IFERROR(__xludf.DUMMYFUNCTION("GOOGLETRANSLATE(B549,""en"",""bn"")"),"রেফারেল (ঐচ্ছিক)")</f>
        <v>রেফারেল (ঐচ্ছিক)</v>
      </c>
      <c r="O549" s="4" t="str">
        <f>IFERROR(__xludf.DUMMYFUNCTION("GOOGLETRANSLATE(B549,""en"",""pt"")"),"Referência (opcional)")</f>
        <v>Referência (opcional)</v>
      </c>
    </row>
    <row r="550">
      <c r="A550" s="14" t="s">
        <v>1312</v>
      </c>
      <c r="B550" s="14" t="s">
        <v>1313</v>
      </c>
      <c r="C550" s="66" t="str">
        <f>IFERROR(__xludf.DUMMYFUNCTION("GOOGLETRANSLATE(B550,""en"",""hi"")"),"आपके बटुए का शेष कम है, कोई अन्य भुगतान विधि आज़माएँ")</f>
        <v>आपके बटुए का शेष कम है, कोई अन्य भुगतान विधि आज़माएँ</v>
      </c>
      <c r="D550" s="67" t="str">
        <f>IFERROR(__xludf.DUMMYFUNCTION("GOOGLETRANSLATE(B550,""en"",""ar"")"),"رصيد محفظتك منخفض، حاول استخدام طريقة دفع أخرى")</f>
        <v>رصيد محفظتك منخفض، حاول استخدام طريقة دفع أخرى</v>
      </c>
      <c r="E550" s="67" t="str">
        <f>IFERROR(__xludf.DUMMYFUNCTION("GOOGLETRANSLATE(B550,""en"",""fr"")"),"Le solde de votre portefeuille est faible, essayez un autre mode de paiement")</f>
        <v>Le solde de votre portefeuille est faible, essayez un autre mode de paiement</v>
      </c>
      <c r="F550" s="67" t="str">
        <f>IFERROR(__xludf.DUMMYFUNCTION("GOOGLETRANSLATE(B550,""en"",""tr"")"),"Cüzdan bakiyeniz düşük, başka bir ödeme yöntemi deneyin")</f>
        <v>Cüzdan bakiyeniz düşük, başka bir ödeme yöntemi deneyin</v>
      </c>
      <c r="G550" s="67" t="str">
        <f>IFERROR(__xludf.DUMMYFUNCTION("GOOGLETRANSLATE(B550,""en"",""ru"")"),"Баланс вашего кошелька низкий, попробуйте другой способ оплаты.")</f>
        <v>Баланс вашего кошелька низкий, попробуйте другой способ оплаты.</v>
      </c>
      <c r="H550" s="67" t="str">
        <f>IFERROR(__xludf.DUMMYFUNCTION("GOOGLETRANSLATE(B550,""en"",""it"")"),"Il saldo del tuo portafoglio è basso, prova un altro metodo di pagamento")</f>
        <v>Il saldo del tuo portafoglio è basso, prova un altro metodo di pagamento</v>
      </c>
      <c r="I550" s="67" t="str">
        <f>IFERROR(__xludf.DUMMYFUNCTION("GOOGLETRANSLATE(B550,""en"",""de"")"),"Ihr Guthaben ist niedrig. Versuchen Sie es mit einer anderen Zahlungsmethode")</f>
        <v>Ihr Guthaben ist niedrig. Versuchen Sie es mit einer anderen Zahlungsmethode</v>
      </c>
      <c r="J550" s="67" t="str">
        <f>IFERROR(__xludf.DUMMYFUNCTION("GOOGLETRANSLATE(B550,""en"",""ko"")"),"지갑 잔액이 부족합니다. 다른 결제 수단을 사용해 보세요.")</f>
        <v>지갑 잔액이 부족합니다. 다른 결제 수단을 사용해 보세요.</v>
      </c>
      <c r="K550" s="67" t="str">
        <f>IFERROR(__xludf.DUMMYFUNCTION("GOOGLETRANSLATE(B550,""en"",""zh"")"),"您的钱包余额不足，请尝试其他付款方式")</f>
        <v>您的钱包余额不足，请尝试其他付款方式</v>
      </c>
      <c r="L550" s="67" t="str">
        <f>IFERROR(__xludf.DUMMYFUNCTION("GOOGLETRANSLATE(B550,""en"",""es"")"),"El saldo de tu billetera es bajo. Prueba con otro método de pago.")</f>
        <v>El saldo de tu billetera es bajo. Prueba con otro método de pago.</v>
      </c>
      <c r="M550" s="66" t="str">
        <f>IFERROR(__xludf.DUMMYFUNCTION("GOOGLETRANSLATE(B550,""en"",""iw"")"),"יתרת הארנק שלך נמוכה, נסה אמצעי תשלום אחר")</f>
        <v>יתרת הארנק שלך נמוכה, נסה אמצעי תשלום אחר</v>
      </c>
      <c r="N550" s="67" t="str">
        <f>IFERROR(__xludf.DUMMYFUNCTION("GOOGLETRANSLATE(B550,""en"",""bn"")"),"আপনার ওয়ালেট ব্যালেন্স কম অন্য পেমেন্ট পদ্ধতি চেষ্টা করুন")</f>
        <v>আপনার ওয়ালেট ব্যালেন্স কম অন্য পেমেন্ট পদ্ধতি চেষ্টা করুন</v>
      </c>
      <c r="O550" s="4" t="str">
        <f>IFERROR(__xludf.DUMMYFUNCTION("GOOGLETRANSLATE(B550,""en"",""pt"")"),"O saldo da sua carteira está baixo, tente outro método de pagamento")</f>
        <v>O saldo da sua carteira está baixo, tente outro método de pagamento</v>
      </c>
    </row>
    <row r="551">
      <c r="A551" s="86" t="s">
        <v>1314</v>
      </c>
      <c r="B551" s="36" t="s">
        <v>1315</v>
      </c>
      <c r="C551" s="66" t="str">
        <f>IFERROR(__xludf.DUMMYFUNCTION("GOOGLETRANSLATE(B551,""en"",""hi"")"),"बशर्ते मोबाइल नंबर पहले ही ले लिया गया हो")</f>
        <v>बशर्ते मोबाइल नंबर पहले ही ले लिया गया हो</v>
      </c>
      <c r="D551" s="67" t="str">
        <f>IFERROR(__xludf.DUMMYFUNCTION("GOOGLETRANSLATE(B551,""en"",""ar"")"),"رقم الهاتف المحمول المقدم مأخوذ بالفعل")</f>
        <v>رقم الهاتف المحمول المقدم مأخوذ بالفعل</v>
      </c>
      <c r="E551" s="67" t="str">
        <f>IFERROR(__xludf.DUMMYFUNCTION("GOOGLETRANSLATE(B551,""en"",""fr"")"),"Numéro de portable fourni déjà pris")</f>
        <v>Numéro de portable fourni déjà pris</v>
      </c>
      <c r="F551" s="67" t="str">
        <f>IFERROR(__xludf.DUMMYFUNCTION("GOOGLETRANSLATE(B551,""en"",""tr"")"),"Sağlanan Cep Numarası Zaten Alınmış")</f>
        <v>Sağlanan Cep Numarası Zaten Alınmış</v>
      </c>
      <c r="G551" s="67" t="str">
        <f>IFERROR(__xludf.DUMMYFUNCTION("GOOGLETRANSLATE(B551,""en"",""ru"")"),"Предоставленный номер мобильного телефона уже занят")</f>
        <v>Предоставленный номер мобильного телефона уже занят</v>
      </c>
      <c r="H551" s="67" t="str">
        <f>IFERROR(__xludf.DUMMYFUNCTION("GOOGLETRANSLATE(B551,""en"",""it"")"),"Numero di cellulare fornito già utilizzato")</f>
        <v>Numero di cellulare fornito già utilizzato</v>
      </c>
      <c r="I551" s="67" t="str">
        <f>IFERROR(__xludf.DUMMYFUNCTION("GOOGLETRANSLATE(B551,""en"",""de"")"),"Die angegebene Mobiltelefonnummer ist bereits vergeben")</f>
        <v>Die angegebene Mobiltelefonnummer ist bereits vergeben</v>
      </c>
      <c r="J551" s="67" t="str">
        <f>IFERROR(__xludf.DUMMYFUNCTION("GOOGLETRANSLATE(B551,""en"",""ko"")"),"제공된 휴대폰 번호는 이미 사용 중입니다.")</f>
        <v>제공된 휴대폰 번호는 이미 사용 중입니다.</v>
      </c>
      <c r="K551" s="67" t="str">
        <f>IFERROR(__xludf.DUMMYFUNCTION("GOOGLETRANSLATE(B551,""en"",""zh"")"),"提供的手机号码已被占用")</f>
        <v>提供的手机号码已被占用</v>
      </c>
      <c r="L551" s="67" t="str">
        <f>IFERROR(__xludf.DUMMYFUNCTION("GOOGLETRANSLATE(B551,""en"",""es"")"),"Número de móvil proporcionado ya en uso")</f>
        <v>Número de móvil proporcionado ya en uso</v>
      </c>
      <c r="M551" s="66" t="str">
        <f>IFERROR(__xludf.DUMMYFUNCTION("GOOGLETRANSLATE(B551,""en"",""iw"")"),"מספר נייד מסופק כבר נלקח")</f>
        <v>מספר נייד מסופק כבר נלקח</v>
      </c>
      <c r="N551" s="67" t="str">
        <f>IFERROR(__xludf.DUMMYFUNCTION("GOOGLETRANSLATE(B551,""en"",""bn"")"),"ইতিমধ্যে নেওয়া মোবাইল নম্বর প্রদান করা হয়েছে")</f>
        <v>ইতিমধ্যে নেওয়া মোবাইল নম্বর প্রদান করা হয়েছে</v>
      </c>
      <c r="O551" s="4" t="str">
        <f>IFERROR(__xludf.DUMMYFUNCTION("GOOGLETRANSLATE(B551,""en"",""pt"")"),"Número de celular fornecido já em uso")</f>
        <v>Número de celular fornecido já em uso</v>
      </c>
    </row>
    <row r="552">
      <c r="A552" s="87" t="s">
        <v>1316</v>
      </c>
      <c r="B552" s="88" t="s">
        <v>1317</v>
      </c>
      <c r="C552" s="66" t="str">
        <f>IFERROR(__xludf.DUMMYFUNCTION("GOOGLETRANSLATE(B552,""en"",""hi"")"),"गतिमान")</f>
        <v>गतिमान</v>
      </c>
      <c r="D552" s="67" t="str">
        <f>IFERROR(__xludf.DUMMYFUNCTION("GOOGLETRANSLATE(B552,""en"",""ar"")"),"متحرك")</f>
        <v>متحرك</v>
      </c>
      <c r="E552" s="67" t="str">
        <f>IFERROR(__xludf.DUMMYFUNCTION("GOOGLETRANSLATE(B552,""en"",""fr"")"),"Mobile")</f>
        <v>Mobile</v>
      </c>
      <c r="F552" s="67" t="str">
        <f>IFERROR(__xludf.DUMMYFUNCTION("GOOGLETRANSLATE(B552,""en"",""tr"")"),"Mobil")</f>
        <v>Mobil</v>
      </c>
      <c r="G552" s="67" t="str">
        <f>IFERROR(__xludf.DUMMYFUNCTION("GOOGLETRANSLATE(B552,""en"",""ru"")"),"мобильный")</f>
        <v>мобильный</v>
      </c>
      <c r="H552" s="67" t="str">
        <f>IFERROR(__xludf.DUMMYFUNCTION("GOOGLETRANSLATE(B552,""en"",""it"")"),"Mobile")</f>
        <v>Mobile</v>
      </c>
      <c r="I552" s="67" t="str">
        <f>IFERROR(__xludf.DUMMYFUNCTION("GOOGLETRANSLATE(B552,""en"",""de"")"),"Handy, Mobiltelefon")</f>
        <v>Handy, Mobiltelefon</v>
      </c>
      <c r="J552" s="67" t="str">
        <f>IFERROR(__xludf.DUMMYFUNCTION("GOOGLETRANSLATE(B552,""en"",""ko"")"),"이동하는")</f>
        <v>이동하는</v>
      </c>
      <c r="K552" s="67" t="str">
        <f>IFERROR(__xludf.DUMMYFUNCTION("GOOGLETRANSLATE(B552,""en"",""zh"")"),"移动的")</f>
        <v>移动的</v>
      </c>
      <c r="L552" s="67" t="str">
        <f>IFERROR(__xludf.DUMMYFUNCTION("GOOGLETRANSLATE(B552,""en"",""es"")"),"Móvil")</f>
        <v>Móvil</v>
      </c>
      <c r="M552" s="66" t="str">
        <f>IFERROR(__xludf.DUMMYFUNCTION("GOOGLETRANSLATE(B552,""en"",""iw"")"),"נייד")</f>
        <v>נייד</v>
      </c>
      <c r="N552" s="67" t="str">
        <f>IFERROR(__xludf.DUMMYFUNCTION("GOOGLETRANSLATE(B552,""en"",""bn"")"),"মুঠোফোন")</f>
        <v>মুঠোফোন</v>
      </c>
      <c r="O552" s="4" t="str">
        <f>IFERROR(__xludf.DUMMYFUNCTION("GOOGLETRANSLATE(B552,""en"",""pt"")"),"Móvel")</f>
        <v>Móvel</v>
      </c>
    </row>
    <row r="553">
      <c r="A553" s="86" t="s">
        <v>1318</v>
      </c>
      <c r="B553" s="36" t="s">
        <v>1319</v>
      </c>
      <c r="C553" s="66" t="str">
        <f>IFERROR(__xludf.DUMMYFUNCTION("GOOGLETRANSLATE(B553,""en"",""hi"")"),"हमारे साथ चैट करें")</f>
        <v>हमारे साथ चैट करें</v>
      </c>
      <c r="D553" s="67" t="str">
        <f>IFERROR(__xludf.DUMMYFUNCTION("GOOGLETRANSLATE(B553,""en"",""ar"")"),"دردش معنا")</f>
        <v>دردش معنا</v>
      </c>
      <c r="E553" s="67" t="str">
        <f>IFERROR(__xludf.DUMMYFUNCTION("GOOGLETRANSLATE(B553,""en"",""fr"")"),"Discute avec nous")</f>
        <v>Discute avec nous</v>
      </c>
      <c r="F553" s="67" t="str">
        <f>IFERROR(__xludf.DUMMYFUNCTION("GOOGLETRANSLATE(B553,""en"",""tr"")"),"Bizle sohbet et")</f>
        <v>Bizle sohbet et</v>
      </c>
      <c r="G553" s="67" t="str">
        <f>IFERROR(__xludf.DUMMYFUNCTION("GOOGLETRANSLATE(B553,""en"",""ru"")"),"Поболтай с нами")</f>
        <v>Поболтай с нами</v>
      </c>
      <c r="H553" s="67" t="str">
        <f>IFERROR(__xludf.DUMMYFUNCTION("GOOGLETRANSLATE(B553,""en"",""it"")"),"Chatta con noi")</f>
        <v>Chatta con noi</v>
      </c>
      <c r="I553" s="67" t="str">
        <f>IFERROR(__xludf.DUMMYFUNCTION("GOOGLETRANSLATE(B553,""en"",""de"")"),"Chatte mit uns")</f>
        <v>Chatte mit uns</v>
      </c>
      <c r="J553" s="67" t="str">
        <f>IFERROR(__xludf.DUMMYFUNCTION("GOOGLETRANSLATE(B553,""en"",""ko"")"),"우리와 채팅")</f>
        <v>우리와 채팅</v>
      </c>
      <c r="K553" s="67" t="str">
        <f>IFERROR(__xludf.DUMMYFUNCTION("GOOGLETRANSLATE(B553,""en"",""zh"")"),"与我们聊天")</f>
        <v>与我们聊天</v>
      </c>
      <c r="L553" s="67" t="str">
        <f>IFERROR(__xludf.DUMMYFUNCTION("GOOGLETRANSLATE(B553,""en"",""es"")"),"Habla con nosotros")</f>
        <v>Habla con nosotros</v>
      </c>
      <c r="M553" s="66" t="str">
        <f>IFERROR(__xludf.DUMMYFUNCTION("GOOGLETRANSLATE(B553,""en"",""iw"")"),"שוחח עימנו")</f>
        <v>שוחח עימנו</v>
      </c>
      <c r="N553" s="67" t="str">
        <f>IFERROR(__xludf.DUMMYFUNCTION("GOOGLETRANSLATE(B553,""en"",""bn"")"),"আমাদের সাথে খোস গল্প কর")</f>
        <v>আমাদের সাথে খোস গল্প কর</v>
      </c>
      <c r="O553" s="4" t="str">
        <f>IFERROR(__xludf.DUMMYFUNCTION("GOOGLETRANSLATE(B553,""en"",""pt"")"),"Converse conosco")</f>
        <v>Converse conosco</v>
      </c>
    </row>
    <row r="554">
      <c r="A554" s="86" t="s">
        <v>1320</v>
      </c>
      <c r="B554" s="36" t="s">
        <v>1321</v>
      </c>
      <c r="C554" s="66" t="str">
        <f>IFERROR(__xludf.DUMMYFUNCTION("GOOGLETRANSLATE(B554,""en"",""hi"")"),"व्यवस्थापक चैट")</f>
        <v>व्यवस्थापक चैट</v>
      </c>
      <c r="D554" s="67" t="str">
        <f>IFERROR(__xludf.DUMMYFUNCTION("GOOGLETRANSLATE(B554,""en"",""ar"")"),"دردشة المشرف")</f>
        <v>دردشة المشرف</v>
      </c>
      <c r="E554" s="67" t="str">
        <f>IFERROR(__xludf.DUMMYFUNCTION("GOOGLETRANSLATE(B554,""en"",""fr"")"),"Chat administrateur")</f>
        <v>Chat administrateur</v>
      </c>
      <c r="F554" s="67" t="str">
        <f>IFERROR(__xludf.DUMMYFUNCTION("GOOGLETRANSLATE(B554,""en"",""tr"")"),"Yönetici Sohbeti")</f>
        <v>Yönetici Sohbeti</v>
      </c>
      <c r="G554" s="67" t="str">
        <f>IFERROR(__xludf.DUMMYFUNCTION("GOOGLETRANSLATE(B554,""en"",""ru"")"),"Административный чат")</f>
        <v>Административный чат</v>
      </c>
      <c r="H554" s="67" t="str">
        <f>IFERROR(__xludf.DUMMYFUNCTION("GOOGLETRANSLATE(B554,""en"",""it"")"),"Chat di amministrazione")</f>
        <v>Chat di amministrazione</v>
      </c>
      <c r="I554" s="67" t="str">
        <f>IFERROR(__xludf.DUMMYFUNCTION("GOOGLETRANSLATE(B554,""en"",""de"")"),"Admin-Chat")</f>
        <v>Admin-Chat</v>
      </c>
      <c r="J554" s="67" t="str">
        <f>IFERROR(__xludf.DUMMYFUNCTION("GOOGLETRANSLATE(B554,""en"",""ko"")"),"관리자 채팅")</f>
        <v>관리자 채팅</v>
      </c>
      <c r="K554" s="67" t="str">
        <f>IFERROR(__xludf.DUMMYFUNCTION("GOOGLETRANSLATE(B554,""en"",""zh"")"),"管理员聊天")</f>
        <v>管理员聊天</v>
      </c>
      <c r="L554" s="67" t="str">
        <f>IFERROR(__xludf.DUMMYFUNCTION("GOOGLETRANSLATE(B554,""en"",""es"")"),"Chat de administrador")</f>
        <v>Chat de administrador</v>
      </c>
      <c r="M554" s="66" t="str">
        <f>IFERROR(__xludf.DUMMYFUNCTION("GOOGLETRANSLATE(B554,""en"",""iw"")"),"צ'אט מנהל")</f>
        <v>צ'אט מנהל</v>
      </c>
      <c r="N554" s="67" t="str">
        <f>IFERROR(__xludf.DUMMYFUNCTION("GOOGLETRANSLATE(B554,""en"",""bn"")"),"অ্যাডমিন চ্যাট")</f>
        <v>অ্যাডমিন চ্যাট</v>
      </c>
      <c r="O554" s="4" t="str">
        <f>IFERROR(__xludf.DUMMYFUNCTION("GOOGLETRANSLATE(B554,""en"",""pt"")"),"Bate-papo administrativo")</f>
        <v>Bate-papo administrativo</v>
      </c>
    </row>
    <row r="555">
      <c r="A555" s="86" t="s">
        <v>1322</v>
      </c>
      <c r="B555" s="36" t="s">
        <v>1323</v>
      </c>
      <c r="C555" s="66" t="str">
        <f>IFERROR(__xludf.DUMMYFUNCTION("GOOGLETRANSLATE(B555,""en"",""hi"")"),"बशर्ते ईमेल पहले ही ले लिया गया हो")</f>
        <v>बशर्ते ईमेल पहले ही ले लिया गया हो</v>
      </c>
      <c r="D555" s="67" t="str">
        <f>IFERROR(__xludf.DUMMYFUNCTION("GOOGLETRANSLATE(B555,""en"",""ar"")"),"البريد الإلكتروني المقدم مأخوذ بالفعل")</f>
        <v>البريد الإلكتروني المقدم مأخوذ بالفعل</v>
      </c>
      <c r="E555" s="67" t="str">
        <f>IFERROR(__xludf.DUMMYFUNCTION("GOOGLETRANSLATE(B555,""en"",""fr"")"),"E-mail fourni déjà pris")</f>
        <v>E-mail fourni déjà pris</v>
      </c>
      <c r="F555" s="67" t="str">
        <f>IFERROR(__xludf.DUMMYFUNCTION("GOOGLETRANSLATE(B555,""en"",""tr"")"),"Sağlanan E-posta Zaten Alınmış")</f>
        <v>Sağlanan E-posta Zaten Alınmış</v>
      </c>
      <c r="G555" s="67" t="str">
        <f>IFERROR(__xludf.DUMMYFUNCTION("GOOGLETRANSLATE(B555,""en"",""ru"")"),"Предоставленное электронное письмо уже занято")</f>
        <v>Предоставленное электронное письмо уже занято</v>
      </c>
      <c r="H555" s="67" t="str">
        <f>IFERROR(__xludf.DUMMYFUNCTION("GOOGLETRANSLATE(B555,""en"",""it"")"),"Email fornita già presa")</f>
        <v>Email fornita già presa</v>
      </c>
      <c r="I555" s="67" t="str">
        <f>IFERROR(__xludf.DUMMYFUNCTION("GOOGLETRANSLATE(B555,""en"",""de"")"),"Die bereitgestellte E-Mail wurde bereits vergeben")</f>
        <v>Die bereitgestellte E-Mail wurde bereits vergeben</v>
      </c>
      <c r="J555" s="67" t="str">
        <f>IFERROR(__xludf.DUMMYFUNCTION("GOOGLETRANSLATE(B555,""en"",""ko"")"),"제공된 이메일은 이미 촬영되었습니다.")</f>
        <v>제공된 이메일은 이미 촬영되었습니다.</v>
      </c>
      <c r="K555" s="67" t="str">
        <f>IFERROR(__xludf.DUMMYFUNCTION("GOOGLETRANSLATE(B555,""en"",""zh"")"),"提供的电子邮件已被占用")</f>
        <v>提供的电子邮件已被占用</v>
      </c>
      <c r="L555" s="67" t="str">
        <f>IFERROR(__xludf.DUMMYFUNCTION("GOOGLETRANSLATE(B555,""en"",""es"")"),"Correo electrónico proporcionado ya recibido")</f>
        <v>Correo electrónico proporcionado ya recibido</v>
      </c>
      <c r="M555" s="66" t="str">
        <f>IFERROR(__xludf.DUMMYFUNCTION("GOOGLETRANSLATE(B555,""en"",""iw"")"),"דוא""ל מסופק כבר נלקח")</f>
        <v>דוא"ל מסופק כבר נלקח</v>
      </c>
      <c r="N555" s="67" t="str">
        <f>IFERROR(__xludf.DUMMYFUNCTION("GOOGLETRANSLATE(B555,""en"",""bn"")"),"ইতিমধ্যে নেওয়া ইমেল প্রদান করা হয়েছে")</f>
        <v>ইতিমধ্যে নেওয়া ইমেল প্রদান করা হয়েছে</v>
      </c>
      <c r="O555" s="4" t="str">
        <f>IFERROR(__xludf.DUMMYFUNCTION("GOOGLETRANSLATE(B555,""en"",""pt"")"),"E-mail fornecido já recebido")</f>
        <v>E-mail fornecido já recebido</v>
      </c>
    </row>
    <row r="556">
      <c r="A556" s="89" t="s">
        <v>1324</v>
      </c>
      <c r="B556" s="90" t="s">
        <v>1325</v>
      </c>
      <c r="C556" s="66" t="str">
        <f>IFERROR(__xludf.DUMMYFUNCTION("GOOGLETRANSLATE(B556,""en"",""hi"")"),"समायोजन")</f>
        <v>समायोजन</v>
      </c>
      <c r="D556" s="67" t="str">
        <f>IFERROR(__xludf.DUMMYFUNCTION("GOOGLETRANSLATE(B556,""en"",""ar"")"),"إعدادات")</f>
        <v>إعدادات</v>
      </c>
      <c r="E556" s="67" t="str">
        <f>IFERROR(__xludf.DUMMYFUNCTION("GOOGLETRANSLATE(B556,""en"",""fr"")"),"Paramètres")</f>
        <v>Paramètres</v>
      </c>
      <c r="F556" s="67" t="str">
        <f>IFERROR(__xludf.DUMMYFUNCTION("GOOGLETRANSLATE(B556,""en"",""tr"")"),"Ayarlar")</f>
        <v>Ayarlar</v>
      </c>
      <c r="G556" s="67" t="str">
        <f>IFERROR(__xludf.DUMMYFUNCTION("GOOGLETRANSLATE(B556,""en"",""ru"")"),"Настройки")</f>
        <v>Настройки</v>
      </c>
      <c r="H556" s="67" t="str">
        <f>IFERROR(__xludf.DUMMYFUNCTION("GOOGLETRANSLATE(B556,""en"",""it"")"),"Impostazioni")</f>
        <v>Impostazioni</v>
      </c>
      <c r="I556" s="67" t="str">
        <f>IFERROR(__xludf.DUMMYFUNCTION("GOOGLETRANSLATE(B556,""en"",""de"")"),"Einstellungen")</f>
        <v>Einstellungen</v>
      </c>
      <c r="J556" s="67" t="str">
        <f>IFERROR(__xludf.DUMMYFUNCTION("GOOGLETRANSLATE(B556,""en"",""ko"")"),"설정")</f>
        <v>설정</v>
      </c>
      <c r="K556" s="67" t="str">
        <f>IFERROR(__xludf.DUMMYFUNCTION("GOOGLETRANSLATE(B556,""en"",""zh"")"),"设置")</f>
        <v>设置</v>
      </c>
      <c r="L556" s="67" t="str">
        <f>IFERROR(__xludf.DUMMYFUNCTION("GOOGLETRANSLATE(B556,""en"",""es"")"),"Ajustes")</f>
        <v>Ajustes</v>
      </c>
      <c r="M556" s="66" t="str">
        <f>IFERROR(__xludf.DUMMYFUNCTION("GOOGLETRANSLATE(B556,""en"",""iw"")"),"הגדרות")</f>
        <v>הגדרות</v>
      </c>
      <c r="N556" s="67" t="str">
        <f>IFERROR(__xludf.DUMMYFUNCTION("GOOGLETRANSLATE(B556,""en"",""bn"")"),"সেটিংস")</f>
        <v>সেটিংস</v>
      </c>
      <c r="O556" s="4" t="str">
        <f>IFERROR(__xludf.DUMMYFUNCTION("GOOGLETRANSLATE(B556,""en"",""pt"")"),"Configurações")</f>
        <v>Configurações</v>
      </c>
    </row>
    <row r="557">
      <c r="A557" s="89" t="s">
        <v>1326</v>
      </c>
      <c r="B557" s="90" t="s">
        <v>1327</v>
      </c>
      <c r="C557" s="66" t="str">
        <f>IFERROR(__xludf.DUMMYFUNCTION("GOOGLETRANSLATE(B557,""en"",""hi"")"),"सहायता")</f>
        <v>सहायता</v>
      </c>
      <c r="D557" s="67" t="str">
        <f>IFERROR(__xludf.DUMMYFUNCTION("GOOGLETRANSLATE(B557,""en"",""ar"")"),"يدعم")</f>
        <v>يدعم</v>
      </c>
      <c r="E557" s="67" t="str">
        <f>IFERROR(__xludf.DUMMYFUNCTION("GOOGLETRANSLATE(B557,""en"",""fr"")"),"Soutien")</f>
        <v>Soutien</v>
      </c>
      <c r="F557" s="67" t="str">
        <f>IFERROR(__xludf.DUMMYFUNCTION("GOOGLETRANSLATE(B557,""en"",""tr"")"),"Destek")</f>
        <v>Destek</v>
      </c>
      <c r="G557" s="67" t="str">
        <f>IFERROR(__xludf.DUMMYFUNCTION("GOOGLETRANSLATE(B557,""en"",""ru"")"),"Поддерживать")</f>
        <v>Поддерживать</v>
      </c>
      <c r="H557" s="67" t="str">
        <f>IFERROR(__xludf.DUMMYFUNCTION("GOOGLETRANSLATE(B557,""en"",""it"")"),"Supporto")</f>
        <v>Supporto</v>
      </c>
      <c r="I557" s="67" t="str">
        <f>IFERROR(__xludf.DUMMYFUNCTION("GOOGLETRANSLATE(B557,""en"",""de"")"),"Unterstützung")</f>
        <v>Unterstützung</v>
      </c>
      <c r="J557" s="67" t="str">
        <f>IFERROR(__xludf.DUMMYFUNCTION("GOOGLETRANSLATE(B557,""en"",""ko"")"),"지원하다")</f>
        <v>지원하다</v>
      </c>
      <c r="K557" s="67" t="str">
        <f>IFERROR(__xludf.DUMMYFUNCTION("GOOGLETRANSLATE(B557,""en"",""zh"")"),"支持")</f>
        <v>支持</v>
      </c>
      <c r="L557" s="67" t="str">
        <f>IFERROR(__xludf.DUMMYFUNCTION("GOOGLETRANSLATE(B557,""en"",""es"")"),"Apoyo")</f>
        <v>Apoyo</v>
      </c>
      <c r="M557" s="66" t="str">
        <f>IFERROR(__xludf.DUMMYFUNCTION("GOOGLETRANSLATE(B557,""en"",""iw"")"),"תמיכה")</f>
        <v>תמיכה</v>
      </c>
      <c r="N557" s="67" t="str">
        <f>IFERROR(__xludf.DUMMYFUNCTION("GOOGLETRANSLATE(B557,""en"",""bn"")"),"সমর্থন")</f>
        <v>সমর্থন</v>
      </c>
      <c r="O557" s="4" t="str">
        <f>IFERROR(__xludf.DUMMYFUNCTION("GOOGLETRANSLATE(B557,""en"",""pt"")"),"Apoiar")</f>
        <v>Apoiar</v>
      </c>
    </row>
    <row r="558">
      <c r="A558" s="89" t="s">
        <v>1328</v>
      </c>
      <c r="B558" s="90" t="s">
        <v>1329</v>
      </c>
      <c r="C558" s="66" t="str">
        <f>IFERROR(__xludf.DUMMYFUNCTION("GOOGLETRANSLATE(B558,""en"",""hi"")"),"रेफ़रल")</f>
        <v>रेफ़रल</v>
      </c>
      <c r="D558" s="67" t="str">
        <f>IFERROR(__xludf.DUMMYFUNCTION("GOOGLETRANSLATE(B558,""en"",""ar"")"),"الإحالة")</f>
        <v>الإحالة</v>
      </c>
      <c r="E558" s="67" t="str">
        <f>IFERROR(__xludf.DUMMYFUNCTION("GOOGLETRANSLATE(B558,""en"",""fr"")"),"Référence")</f>
        <v>Référence</v>
      </c>
      <c r="F558" s="67" t="str">
        <f>IFERROR(__xludf.DUMMYFUNCTION("GOOGLETRANSLATE(B558,""en"",""tr"")"),"Referans")</f>
        <v>Referans</v>
      </c>
      <c r="G558" s="67" t="str">
        <f>IFERROR(__xludf.DUMMYFUNCTION("GOOGLETRANSLATE(B558,""en"",""ru"")"),"Направления")</f>
        <v>Направления</v>
      </c>
      <c r="H558" s="67" t="str">
        <f>IFERROR(__xludf.DUMMYFUNCTION("GOOGLETRANSLATE(B558,""en"",""it"")"),"Rinvio")</f>
        <v>Rinvio</v>
      </c>
      <c r="I558" s="67" t="str">
        <f>IFERROR(__xludf.DUMMYFUNCTION("GOOGLETRANSLATE(B558,""en"",""de"")"),"Verweisung")</f>
        <v>Verweisung</v>
      </c>
      <c r="J558" s="67" t="str">
        <f>IFERROR(__xludf.DUMMYFUNCTION("GOOGLETRANSLATE(B558,""en"",""ko"")"),"추천")</f>
        <v>추천</v>
      </c>
      <c r="K558" s="67" t="str">
        <f>IFERROR(__xludf.DUMMYFUNCTION("GOOGLETRANSLATE(B558,""en"",""zh"")"),"推荐")</f>
        <v>推荐</v>
      </c>
      <c r="L558" s="67" t="str">
        <f>IFERROR(__xludf.DUMMYFUNCTION("GOOGLETRANSLATE(B558,""en"",""es"")"),"Remisión")</f>
        <v>Remisión</v>
      </c>
      <c r="M558" s="66" t="str">
        <f>IFERROR(__xludf.DUMMYFUNCTION("GOOGLETRANSLATE(B558,""en"",""iw"")"),"הפניה")</f>
        <v>הפניה</v>
      </c>
      <c r="N558" s="67" t="str">
        <f>IFERROR(__xludf.DUMMYFUNCTION("GOOGLETRANSLATE(B558,""en"",""bn"")"),"সুপারিশ")</f>
        <v>সুপারিশ</v>
      </c>
      <c r="O558" s="4" t="str">
        <f>IFERROR(__xludf.DUMMYFUNCTION("GOOGLETRANSLATE(B558,""en"",""pt"")"),"Referência")</f>
        <v>Referência</v>
      </c>
    </row>
    <row r="559">
      <c r="A559" s="89" t="s">
        <v>1330</v>
      </c>
      <c r="B559" s="90" t="s">
        <v>1331</v>
      </c>
      <c r="C559" s="66" t="str">
        <f>IFERROR(__xludf.DUMMYFUNCTION("GOOGLETRANSLATE(B559,""en"",""hi"")"),"कस्टम मेक जोड़ें")</f>
        <v>कस्टम मेक जोड़ें</v>
      </c>
      <c r="D559" s="67" t="str">
        <f>IFERROR(__xludf.DUMMYFUNCTION("GOOGLETRANSLATE(B559,""en"",""ar"")"),"إضافة صنع مخصص")</f>
        <v>إضافة صنع مخصص</v>
      </c>
      <c r="E559" s="67" t="str">
        <f>IFERROR(__xludf.DUMMYFUNCTION("GOOGLETRANSLATE(B559,""en"",""fr"")"),"Ajouter une marque personnalisée")</f>
        <v>Ajouter une marque personnalisée</v>
      </c>
      <c r="F559" s="67" t="str">
        <f>IFERROR(__xludf.DUMMYFUNCTION("GOOGLETRANSLATE(B559,""en"",""tr"")"),"Özel Marka Ekle")</f>
        <v>Özel Marka Ekle</v>
      </c>
      <c r="G559" s="67" t="str">
        <f>IFERROR(__xludf.DUMMYFUNCTION("GOOGLETRANSLATE(B559,""en"",""ru"")"),"Добавить индивидуальную марку")</f>
        <v>Добавить индивидуальную марку</v>
      </c>
      <c r="H559" s="67" t="str">
        <f>IFERROR(__xludf.DUMMYFUNCTION("GOOGLETRANSLATE(B559,""en"",""it"")"),"Aggiungi creazione personalizzata")</f>
        <v>Aggiungi creazione personalizzata</v>
      </c>
      <c r="I559" s="67" t="str">
        <f>IFERROR(__xludf.DUMMYFUNCTION("GOOGLETRANSLATE(B559,""en"",""de"")"),"Fügen Sie eine Sonderanfertigung hinzu")</f>
        <v>Fügen Sie eine Sonderanfertigung hinzu</v>
      </c>
      <c r="J559" s="67" t="str">
        <f>IFERROR(__xludf.DUMMYFUNCTION("GOOGLETRANSLATE(B559,""en"",""ko"")"),"맞춤 제작 추가")</f>
        <v>맞춤 제작 추가</v>
      </c>
      <c r="K559" s="67" t="str">
        <f>IFERROR(__xludf.DUMMYFUNCTION("GOOGLETRANSLATE(B559,""en"",""zh"")"),"添加定制")</f>
        <v>添加定制</v>
      </c>
      <c r="L559" s="67" t="str">
        <f>IFERROR(__xludf.DUMMYFUNCTION("GOOGLETRANSLATE(B559,""en"",""es"")"),"Agregar marca personalizada")</f>
        <v>Agregar marca personalizada</v>
      </c>
      <c r="M559" s="66" t="str">
        <f>IFERROR(__xludf.DUMMYFUNCTION("GOOGLETRANSLATE(B559,""en"",""iw"")"),"הוסף התאמה אישית")</f>
        <v>הוסף התאמה אישית</v>
      </c>
      <c r="N559" s="67" t="str">
        <f>IFERROR(__xludf.DUMMYFUNCTION("GOOGLETRANSLATE(B559,""en"",""bn"")"),"কাস্টম মেক যোগ করুন")</f>
        <v>কাস্টম মেক যোগ করুন</v>
      </c>
      <c r="O559" s="4" t="str">
        <f>IFERROR(__xludf.DUMMYFUNCTION("GOOGLETRANSLATE(B559,""en"",""pt"")"),"Adicionar marca personalizada")</f>
        <v>Adicionar marca personalizada</v>
      </c>
    </row>
    <row r="560">
      <c r="A560" s="89" t="s">
        <v>171</v>
      </c>
      <c r="B560" s="90" t="s">
        <v>1332</v>
      </c>
      <c r="C560" s="66" t="str">
        <f>IFERROR(__xludf.DUMMYFUNCTION("GOOGLETRANSLATE(B560,""en"",""hi"")"),"दस्तावेज़ संपादित करें")</f>
        <v>दस्तावेज़ संपादित करें</v>
      </c>
      <c r="D560" s="67" t="str">
        <f>IFERROR(__xludf.DUMMYFUNCTION("GOOGLETRANSLATE(B560,""en"",""ar"")"),"تحرير المستندات")</f>
        <v>تحرير المستندات</v>
      </c>
      <c r="E560" s="67" t="str">
        <f>IFERROR(__xludf.DUMMYFUNCTION("GOOGLETRANSLATE(B560,""en"",""fr"")"),"Modifier des documents")</f>
        <v>Modifier des documents</v>
      </c>
      <c r="F560" s="67" t="str">
        <f>IFERROR(__xludf.DUMMYFUNCTION("GOOGLETRANSLATE(B560,""en"",""tr"")"),"Dokümanları Düzenle")</f>
        <v>Dokümanları Düzenle</v>
      </c>
      <c r="G560" s="67" t="str">
        <f>IFERROR(__xludf.DUMMYFUNCTION("GOOGLETRANSLATE(B560,""en"",""ru"")"),"Редактировать документы")</f>
        <v>Редактировать документы</v>
      </c>
      <c r="H560" s="67" t="str">
        <f>IFERROR(__xludf.DUMMYFUNCTION("GOOGLETRANSLATE(B560,""en"",""it"")"),"Modifica documenti")</f>
        <v>Modifica documenti</v>
      </c>
      <c r="I560" s="67" t="str">
        <f>IFERROR(__xludf.DUMMYFUNCTION("GOOGLETRANSLATE(B560,""en"",""de"")"),"Dokumente bearbeiten")</f>
        <v>Dokumente bearbeiten</v>
      </c>
      <c r="J560" s="67" t="str">
        <f>IFERROR(__xludf.DUMMYFUNCTION("GOOGLETRANSLATE(B560,""en"",""ko"")"),"문서 편집")</f>
        <v>문서 편집</v>
      </c>
      <c r="K560" s="67" t="str">
        <f>IFERROR(__xludf.DUMMYFUNCTION("GOOGLETRANSLATE(B560,""en"",""zh"")"),"编辑文档")</f>
        <v>编辑文档</v>
      </c>
      <c r="L560" s="67" t="str">
        <f>IFERROR(__xludf.DUMMYFUNCTION("GOOGLETRANSLATE(B560,""en"",""es"")"),"Editar documentos")</f>
        <v>Editar documentos</v>
      </c>
      <c r="M560" s="66" t="str">
        <f>IFERROR(__xludf.DUMMYFUNCTION("GOOGLETRANSLATE(B560,""en"",""iw"")"),"ערוך מסמכים")</f>
        <v>ערוך מסמכים</v>
      </c>
      <c r="N560" s="67" t="str">
        <f>IFERROR(__xludf.DUMMYFUNCTION("GOOGLETRANSLATE(B560,""en"",""bn"")"),"ডক্স সম্পাদনা করুন")</f>
        <v>ডক্স সম্পাদনা করুন</v>
      </c>
      <c r="O560" s="4" t="str">
        <f>IFERROR(__xludf.DUMMYFUNCTION("GOOGLETRANSLATE(B560,""en"",""pt"")"),"Editar documentos")</f>
        <v>Editar documentos</v>
      </c>
    </row>
    <row r="561">
      <c r="A561" s="89" t="s">
        <v>1333</v>
      </c>
      <c r="B561" s="90" t="s">
        <v>1334</v>
      </c>
      <c r="C561" s="66" t="str">
        <f>IFERROR(__xludf.DUMMYFUNCTION("GOOGLETRANSLATE(B561,""en"",""hi"")"),"बोली सवारी")</f>
        <v>बोली सवारी</v>
      </c>
      <c r="D561" s="67" t="str">
        <f>IFERROR(__xludf.DUMMYFUNCTION("GOOGLETRANSLATE(B561,""en"",""ar"")"),"ركوب العطاء")</f>
        <v>ركوب العطاء</v>
      </c>
      <c r="E561" s="67" t="str">
        <f>IFERROR(__xludf.DUMMYFUNCTION("GOOGLETRANSLATE(B561,""en"",""fr"")"),"Tour d'enchère")</f>
        <v>Tour d'enchère</v>
      </c>
      <c r="F561" s="67" t="str">
        <f>IFERROR(__xludf.DUMMYFUNCTION("GOOGLETRANSLATE(B561,""en"",""tr"")"),"Teklif Gezisi")</f>
        <v>Teklif Gezisi</v>
      </c>
      <c r="G561" s="67" t="str">
        <f>IFERROR(__xludf.DUMMYFUNCTION("GOOGLETRANSLATE(B561,""en"",""ru"")"),"Ставка на поездку")</f>
        <v>Ставка на поездку</v>
      </c>
      <c r="H561" s="67" t="str">
        <f>IFERROR(__xludf.DUMMYFUNCTION("GOOGLETRANSLATE(B561,""en"",""it"")"),"Giro d'offerta")</f>
        <v>Giro d'offerta</v>
      </c>
      <c r="I561" s="67" t="str">
        <f>IFERROR(__xludf.DUMMYFUNCTION("GOOGLETRANSLATE(B561,""en"",""de"")"),"Bieten Sie Fahrt an")</f>
        <v>Bieten Sie Fahrt an</v>
      </c>
      <c r="J561" s="67" t="str">
        <f>IFERROR(__xludf.DUMMYFUNCTION("GOOGLETRANSLATE(B561,""en"",""ko"")"),"입찰 라이드")</f>
        <v>입찰 라이드</v>
      </c>
      <c r="K561" s="67" t="str">
        <f>IFERROR(__xludf.DUMMYFUNCTION("GOOGLETRANSLATE(B561,""en"",""zh"")"),"竞价")</f>
        <v>竞价</v>
      </c>
      <c r="L561" s="67" t="str">
        <f>IFERROR(__xludf.DUMMYFUNCTION("GOOGLETRANSLATE(B561,""en"",""es"")"),"Paseo de oferta")</f>
        <v>Paseo de oferta</v>
      </c>
      <c r="M561" s="66" t="str">
        <f>IFERROR(__xludf.DUMMYFUNCTION("GOOGLETRANSLATE(B561,""en"",""iw"")"),"נסיעת הצעת מחיר")</f>
        <v>נסיעת הצעת מחיר</v>
      </c>
      <c r="N561" s="67" t="str">
        <f>IFERROR(__xludf.DUMMYFUNCTION("GOOGLETRANSLATE(B561,""en"",""bn"")"),"বিড রাইড")</f>
        <v>বিড রাইড</v>
      </c>
      <c r="O561" s="4" t="str">
        <f>IFERROR(__xludf.DUMMYFUNCTION("GOOGLETRANSLATE(B561,""en"",""pt"")"),"Passeio de lance")</f>
        <v>Passeio de lance</v>
      </c>
    </row>
    <row r="562">
      <c r="A562" s="89" t="s">
        <v>1335</v>
      </c>
      <c r="B562" s="90" t="s">
        <v>1336</v>
      </c>
      <c r="C562" s="66" t="str">
        <f>IFERROR(__xludf.DUMMYFUNCTION("GOOGLETRANSLATE(B562,""en"",""hi"")"),"आउट स्टेशन")</f>
        <v>आउट स्टेशन</v>
      </c>
      <c r="D562" s="67" t="str">
        <f>IFERROR(__xludf.DUMMYFUNCTION("GOOGLETRANSLATE(B562,""en"",""ar"")"),"خارج المحطة")</f>
        <v>خارج المحطة</v>
      </c>
      <c r="E562" s="67" t="str">
        <f>IFERROR(__xludf.DUMMYFUNCTION("GOOGLETRANSLATE(B562,""en"",""fr"")"),"Station de sortie")</f>
        <v>Station de sortie</v>
      </c>
      <c r="F562" s="67" t="str">
        <f>IFERROR(__xludf.DUMMYFUNCTION("GOOGLETRANSLATE(B562,""en"",""tr"")"),"Çıkış İstasyonu")</f>
        <v>Çıkış İstasyonu</v>
      </c>
      <c r="G562" s="67" t="str">
        <f>IFERROR(__xludf.DUMMYFUNCTION("GOOGLETRANSLATE(B562,""en"",""ru"")"),"Выездная станция")</f>
        <v>Выездная станция</v>
      </c>
      <c r="H562" s="67" t="str">
        <f>IFERROR(__xludf.DUMMYFUNCTION("GOOGLETRANSLATE(B562,""en"",""it"")"),"Fuori stazione")</f>
        <v>Fuori stazione</v>
      </c>
      <c r="I562" s="67" t="str">
        <f>IFERROR(__xludf.DUMMYFUNCTION("GOOGLETRANSLATE(B562,""en"",""de"")"),"Außenstation")</f>
        <v>Außenstation</v>
      </c>
      <c r="J562" s="67" t="str">
        <f>IFERROR(__xludf.DUMMYFUNCTION("GOOGLETRANSLATE(B562,""en"",""ko"")"),"아웃 스테이션")</f>
        <v>아웃 스테이션</v>
      </c>
      <c r="K562" s="67" t="str">
        <f>IFERROR(__xludf.DUMMYFUNCTION("GOOGLETRANSLATE(B562,""en"",""zh"")"),"出站")</f>
        <v>出站</v>
      </c>
      <c r="L562" s="67" t="str">
        <f>IFERROR(__xludf.DUMMYFUNCTION("GOOGLETRANSLATE(B562,""en"",""es"")"),"Estación de salida")</f>
        <v>Estación de salida</v>
      </c>
      <c r="M562" s="66" t="str">
        <f>IFERROR(__xludf.DUMMYFUNCTION("GOOGLETRANSLATE(B562,""en"",""iw"")"),"מחוץ לתחנה")</f>
        <v>מחוץ לתחנה</v>
      </c>
      <c r="N562" s="67" t="str">
        <f>IFERROR(__xludf.DUMMYFUNCTION("GOOGLETRANSLATE(B562,""en"",""bn"")"),"আউট স্টেশন")</f>
        <v>আউট স্টেশন</v>
      </c>
      <c r="O562" s="4" t="str">
        <f>IFERROR(__xludf.DUMMYFUNCTION("GOOGLETRANSLATE(B562,""en"",""pt"")"),"Estação de saída")</f>
        <v>Estação de saída</v>
      </c>
    </row>
    <row r="563">
      <c r="A563" s="89" t="s">
        <v>1337</v>
      </c>
      <c r="B563" s="90" t="s">
        <v>1338</v>
      </c>
      <c r="C563" s="66" t="str">
        <f>IFERROR(__xludf.DUMMYFUNCTION("GOOGLETRANSLATE(B563,""en"",""hi"")"),"लेने के लिए तैयार")</f>
        <v>लेने के लिए तैयार</v>
      </c>
      <c r="D563" s="67" t="str">
        <f>IFERROR(__xludf.DUMMYFUNCTION("GOOGLETRANSLATE(B563,""en"",""ar"")"),"جاهز للاستلام")</f>
        <v>جاهز للاستلام</v>
      </c>
      <c r="E563" s="67" t="str">
        <f>IFERROR(__xludf.DUMMYFUNCTION("GOOGLETRANSLATE(B563,""en"",""fr"")"),"Prêt à ramasser")</f>
        <v>Prêt à ramasser</v>
      </c>
      <c r="F563" s="67" t="str">
        <f>IFERROR(__xludf.DUMMYFUNCTION("GOOGLETRANSLATE(B563,""en"",""tr"")"),"Almaya Hazır")</f>
        <v>Almaya Hazır</v>
      </c>
      <c r="G563" s="67" t="str">
        <f>IFERROR(__xludf.DUMMYFUNCTION("GOOGLETRANSLATE(B563,""en"",""ru"")"),"Готов к самовывозу")</f>
        <v>Готов к самовывозу</v>
      </c>
      <c r="H563" s="67" t="str">
        <f>IFERROR(__xludf.DUMMYFUNCTION("GOOGLETRANSLATE(B563,""en"",""it"")"),"Pronto per il ritiro")</f>
        <v>Pronto per il ritiro</v>
      </c>
      <c r="I563" s="67" t="str">
        <f>IFERROR(__xludf.DUMMYFUNCTION("GOOGLETRANSLATE(B563,""en"",""de"")"),"Bereit zur Abholung")</f>
        <v>Bereit zur Abholung</v>
      </c>
      <c r="J563" s="67" t="str">
        <f>IFERROR(__xludf.DUMMYFUNCTION("GOOGLETRANSLATE(B563,""en"",""ko"")"),"픽업 준비 완료")</f>
        <v>픽업 준비 완료</v>
      </c>
      <c r="K563" s="67" t="str">
        <f>IFERROR(__xludf.DUMMYFUNCTION("GOOGLETRANSLATE(B563,""en"",""zh"")"),"准备取货")</f>
        <v>准备取货</v>
      </c>
      <c r="L563" s="67" t="str">
        <f>IFERROR(__xludf.DUMMYFUNCTION("GOOGLETRANSLATE(B563,""en"",""es"")"),"Listo para recoger")</f>
        <v>Listo para recoger</v>
      </c>
      <c r="M563" s="66" t="str">
        <f>IFERROR(__xludf.DUMMYFUNCTION("GOOGLETRANSLATE(B563,""en"",""iw"")"),"מוכן לאיסוף")</f>
        <v>מוכן לאיסוף</v>
      </c>
      <c r="N563" s="67" t="str">
        <f>IFERROR(__xludf.DUMMYFUNCTION("GOOGLETRANSLATE(B563,""en"",""bn"")"),"পিকআপের জন্য প্রস্তুত")</f>
        <v>পিকআপের জন্য প্রস্তুত</v>
      </c>
      <c r="O563" s="4" t="str">
        <f>IFERROR(__xludf.DUMMYFUNCTION("GOOGLETRANSLATE(B563,""en"",""pt"")"),"Pronto para retirada")</f>
        <v>Pronto para retirada</v>
      </c>
    </row>
    <row r="564">
      <c r="A564" s="89" t="s">
        <v>1339</v>
      </c>
      <c r="B564" s="90" t="s">
        <v>1340</v>
      </c>
      <c r="C564" s="66" t="str">
        <f>IFERROR(__xludf.DUMMYFUNCTION("GOOGLETRANSLATE(B564,""en"",""hi"")"),"मेरी प्रस्तावित कीमत")</f>
        <v>मेरी प्रस्तावित कीमत</v>
      </c>
      <c r="D564" s="67" t="str">
        <f>IFERROR(__xludf.DUMMYFUNCTION("GOOGLETRANSLATE(B564,""en"",""ar"")"),"سعري المعروض")</f>
        <v>سعري المعروض</v>
      </c>
      <c r="E564" s="67" t="str">
        <f>IFERROR(__xludf.DUMMYFUNCTION("GOOGLETRANSLATE(B564,""en"",""fr"")"),"Mon prix proposé")</f>
        <v>Mon prix proposé</v>
      </c>
      <c r="F564" s="67" t="str">
        <f>IFERROR(__xludf.DUMMYFUNCTION("GOOGLETRANSLATE(B564,""en"",""tr"")"),"Sunulan Fiyatım")</f>
        <v>Sunulan Fiyatım</v>
      </c>
      <c r="G564" s="67" t="str">
        <f>IFERROR(__xludf.DUMMYFUNCTION("GOOGLETRANSLATE(B564,""en"",""ru"")"),"Моя предлагаемая цена")</f>
        <v>Моя предлагаемая цена</v>
      </c>
      <c r="H564" s="67" t="str">
        <f>IFERROR(__xludf.DUMMYFUNCTION("GOOGLETRANSLATE(B564,""en"",""it"")"),"Il mio prezzo offerto")</f>
        <v>Il mio prezzo offerto</v>
      </c>
      <c r="I564" s="67" t="str">
        <f>IFERROR(__xludf.DUMMYFUNCTION("GOOGLETRANSLATE(B564,""en"",""de"")"),"Mein angebotener Preis")</f>
        <v>Mein angebotener Preis</v>
      </c>
      <c r="J564" s="67" t="str">
        <f>IFERROR(__xludf.DUMMYFUNCTION("GOOGLETRANSLATE(B564,""en"",""ko"")"),"내 제안 가격")</f>
        <v>내 제안 가격</v>
      </c>
      <c r="K564" s="67" t="str">
        <f>IFERROR(__xludf.DUMMYFUNCTION("GOOGLETRANSLATE(B564,""en"",""zh"")"),"我的报价")</f>
        <v>我的报价</v>
      </c>
      <c r="L564" s="67" t="str">
        <f>IFERROR(__xludf.DUMMYFUNCTION("GOOGLETRANSLATE(B564,""en"",""es"")"),"Mi precio ofrecido")</f>
        <v>Mi precio ofrecido</v>
      </c>
      <c r="M564" s="66" t="str">
        <f>IFERROR(__xludf.DUMMYFUNCTION("GOOGLETRANSLATE(B564,""en"",""iw"")"),"המחיר המוצע שלי")</f>
        <v>המחיר המוצע שלי</v>
      </c>
      <c r="N564" s="67" t="str">
        <f>IFERROR(__xludf.DUMMYFUNCTION("GOOGLETRANSLATE(B564,""en"",""bn"")"),"আমার প্রস্তাবিত মূল্য")</f>
        <v>আমার প্রস্তাবিত মূল্য</v>
      </c>
      <c r="O564" s="4" t="str">
        <f>IFERROR(__xludf.DUMMYFUNCTION("GOOGLETRANSLATE(B564,""en"",""pt"")"),"Meu preço oferecido")</f>
        <v>Meu preço oferecido</v>
      </c>
    </row>
    <row r="565">
      <c r="A565" s="89" t="s">
        <v>1341</v>
      </c>
      <c r="B565" s="90" t="s">
        <v>1342</v>
      </c>
      <c r="C565" s="66" t="str">
        <f>IFERROR(__xludf.DUMMYFUNCTION("GOOGLETRANSLATE(B565,""en"",""hi"")"),"यहां परिवहन प्रकार चुनें")</f>
        <v>यहां परिवहन प्रकार चुनें</v>
      </c>
      <c r="D565" s="67" t="str">
        <f>IFERROR(__xludf.DUMMYFUNCTION("GOOGLETRANSLATE(B565,""en"",""ar"")"),"اختر نوع النقل هنا")</f>
        <v>اختر نوع النقل هنا</v>
      </c>
      <c r="E565" s="67" t="str">
        <f>IFERROR(__xludf.DUMMYFUNCTION("GOOGLETRANSLATE(B565,""en"",""fr"")"),"Choisissez le type de transport ici")</f>
        <v>Choisissez le type de transport ici</v>
      </c>
      <c r="F565" s="67" t="str">
        <f>IFERROR(__xludf.DUMMYFUNCTION("GOOGLETRANSLATE(B565,""en"",""tr"")"),"Taşıma Türünü Buradan Seçin")</f>
        <v>Taşıma Türünü Buradan Seçin</v>
      </c>
      <c r="G565" s="67" t="str">
        <f>IFERROR(__xludf.DUMMYFUNCTION("GOOGLETRANSLATE(B565,""en"",""ru"")"),"Выберите тип транспорта здесь")</f>
        <v>Выберите тип транспорта здесь</v>
      </c>
      <c r="H565" s="67" t="str">
        <f>IFERROR(__xludf.DUMMYFUNCTION("GOOGLETRANSLATE(B565,""en"",""it"")"),"Scegli il tipo di trasporto qui")</f>
        <v>Scegli il tipo di trasporto qui</v>
      </c>
      <c r="I565" s="67" t="str">
        <f>IFERROR(__xludf.DUMMYFUNCTION("GOOGLETRANSLATE(B565,""en"",""de"")"),"Wählen Sie hier den Transporttyp")</f>
        <v>Wählen Sie hier den Transporttyp</v>
      </c>
      <c r="J565" s="67" t="str">
        <f>IFERROR(__xludf.DUMMYFUNCTION("GOOGLETRANSLATE(B565,""en"",""ko"")"),"여기서 운송 유형을 선택하세요")</f>
        <v>여기서 운송 유형을 선택하세요</v>
      </c>
      <c r="K565" s="67" t="str">
        <f>IFERROR(__xludf.DUMMYFUNCTION("GOOGLETRANSLATE(B565,""en"",""zh"")"),"在此选择运输类型")</f>
        <v>在此选择运输类型</v>
      </c>
      <c r="L565" s="67" t="str">
        <f>IFERROR(__xludf.DUMMYFUNCTION("GOOGLETRANSLATE(B565,""en"",""es"")"),"Elija el tipo de transporte aquí")</f>
        <v>Elija el tipo de transporte aquí</v>
      </c>
      <c r="M565" s="66" t="str">
        <f>IFERROR(__xludf.DUMMYFUNCTION("GOOGLETRANSLATE(B565,""en"",""iw"")"),"בחר סוג תחבורה כאן")</f>
        <v>בחר סוג תחבורה כאן</v>
      </c>
      <c r="N565" s="67" t="str">
        <f>IFERROR(__xludf.DUMMYFUNCTION("GOOGLETRANSLATE(B565,""en"",""bn"")"),"এখানে পরিবহন প্রকার নির্বাচন করুন")</f>
        <v>এখানে পরিবহন প্রকার নির্বাচন করুন</v>
      </c>
      <c r="O565" s="4" t="str">
        <f>IFERROR(__xludf.DUMMYFUNCTION("GOOGLETRANSLATE(B565,""en"",""pt"")"),"Escolha aqui o tipo de transporte")</f>
        <v>Escolha aqui o tipo de transporte</v>
      </c>
    </row>
    <row r="566">
      <c r="A566" s="89" t="s">
        <v>1343</v>
      </c>
      <c r="B566" s="90" t="s">
        <v>1344</v>
      </c>
      <c r="C566" s="66" t="str">
        <f>IFERROR(__xludf.DUMMYFUNCTION("GOOGLETRANSLATE(B566,""en"",""hi"")"),"एक तरफ़ा रास्ता")</f>
        <v>एक तरफ़ा रास्ता</v>
      </c>
      <c r="D566" s="67" t="str">
        <f>IFERROR(__xludf.DUMMYFUNCTION("GOOGLETRANSLATE(B566,""en"",""ar"")"),"طريقة واحدة")</f>
        <v>طريقة واحدة</v>
      </c>
      <c r="E566" s="67" t="str">
        <f>IFERROR(__xludf.DUMMYFUNCTION("GOOGLETRANSLATE(B566,""en"",""fr"")"),"Sens Unique")</f>
        <v>Sens Unique</v>
      </c>
      <c r="F566" s="67" t="str">
        <f>IFERROR(__xludf.DUMMYFUNCTION("GOOGLETRANSLATE(B566,""en"",""tr"")"),"Tek Yön")</f>
        <v>Tek Yön</v>
      </c>
      <c r="G566" s="67" t="str">
        <f>IFERROR(__xludf.DUMMYFUNCTION("GOOGLETRANSLATE(B566,""en"",""ru"")"),"В одну сторону")</f>
        <v>В одну сторону</v>
      </c>
      <c r="H566" s="67" t="str">
        <f>IFERROR(__xludf.DUMMYFUNCTION("GOOGLETRANSLATE(B566,""en"",""it"")"),"Senso Unico")</f>
        <v>Senso Unico</v>
      </c>
      <c r="I566" s="67" t="str">
        <f>IFERROR(__xludf.DUMMYFUNCTION("GOOGLETRANSLATE(B566,""en"",""de"")"),"Ein Weg")</f>
        <v>Ein Weg</v>
      </c>
      <c r="J566" s="67" t="str">
        <f>IFERROR(__xludf.DUMMYFUNCTION("GOOGLETRANSLATE(B566,""en"",""ko"")"),"일방 통행")</f>
        <v>일방 통행</v>
      </c>
      <c r="K566" s="67" t="str">
        <f>IFERROR(__xludf.DUMMYFUNCTION("GOOGLETRANSLATE(B566,""en"",""zh"")"),"单程")</f>
        <v>单程</v>
      </c>
      <c r="L566" s="67" t="str">
        <f>IFERROR(__xludf.DUMMYFUNCTION("GOOGLETRANSLATE(B566,""en"",""es"")"),"De una sola mano")</f>
        <v>De una sola mano</v>
      </c>
      <c r="M566" s="66" t="str">
        <f>IFERROR(__xludf.DUMMYFUNCTION("GOOGLETRANSLATE(B566,""en"",""iw"")"),"דרך אחת")</f>
        <v>דרך אחת</v>
      </c>
      <c r="N566" s="67" t="str">
        <f>IFERROR(__xludf.DUMMYFUNCTION("GOOGLETRANSLATE(B566,""en"",""bn"")"),"একমুখী")</f>
        <v>একমুখী</v>
      </c>
      <c r="O566" s="4" t="str">
        <f>IFERROR(__xludf.DUMMYFUNCTION("GOOGLETRANSLATE(B566,""en"",""pt"")"),"Mão Única")</f>
        <v>Mão Única</v>
      </c>
    </row>
    <row r="567">
      <c r="A567" s="89" t="s">
        <v>1345</v>
      </c>
      <c r="B567" s="90" t="s">
        <v>1346</v>
      </c>
      <c r="C567" s="66" t="str">
        <f>IFERROR(__xludf.DUMMYFUNCTION("GOOGLETRANSLATE(B567,""en"",""hi"")"),"उतार दो")</f>
        <v>उतार दो</v>
      </c>
      <c r="D567" s="67" t="str">
        <f>IFERROR(__xludf.DUMMYFUNCTION("GOOGLETRANSLATE(B567,""en"",""ar"")"),"الحصول على إسقاط")</f>
        <v>الحصول على إسقاط</v>
      </c>
      <c r="E567" s="67" t="str">
        <f>IFERROR(__xludf.DUMMYFUNCTION("GOOGLETRANSLATE(B567,""en"",""fr"")"),"Se faire déposer")</f>
        <v>Se faire déposer</v>
      </c>
      <c r="F567" s="67" t="str">
        <f>IFERROR(__xludf.DUMMYFUNCTION("GOOGLETRANSLATE(B567,""en"",""tr"")"),"Bırakılmak")</f>
        <v>Bırakılmak</v>
      </c>
      <c r="G567" s="67" t="str">
        <f>IFERROR(__xludf.DUMMYFUNCTION("GOOGLETRANSLATE(B567,""en"",""ru"")"),"Высадиться")</f>
        <v>Высадиться</v>
      </c>
      <c r="H567" s="67" t="str">
        <f>IFERROR(__xludf.DUMMYFUNCTION("GOOGLETRANSLATE(B567,""en"",""it"")"),"Fatti lasciare")</f>
        <v>Fatti lasciare</v>
      </c>
      <c r="I567" s="67" t="str">
        <f>IFERROR(__xludf.DUMMYFUNCTION("GOOGLETRANSLATE(B567,""en"",""de"")"),"Lassen Sie sich absetzen")</f>
        <v>Lassen Sie sich absetzen</v>
      </c>
      <c r="J567" s="67" t="str">
        <f>IFERROR(__xludf.DUMMYFUNCTION("GOOGLETRANSLATE(B567,""en"",""ko"")"),"하차")</f>
        <v>하차</v>
      </c>
      <c r="K567" s="67" t="str">
        <f>IFERROR(__xludf.DUMMYFUNCTION("GOOGLETRANSLATE(B567,""en"",""zh"")"),"下车")</f>
        <v>下车</v>
      </c>
      <c r="L567" s="67" t="str">
        <f>IFERROR(__xludf.DUMMYFUNCTION("GOOGLETRANSLATE(B567,""en"",""es"")"),"Que te dejen")</f>
        <v>Que te dejen</v>
      </c>
      <c r="M567" s="66" t="str">
        <f>IFERROR(__xludf.DUMMYFUNCTION("GOOGLETRANSLATE(B567,""en"",""iw"")"),"תוריד")</f>
        <v>תוריד</v>
      </c>
      <c r="N567" s="67" t="str">
        <f>IFERROR(__xludf.DUMMYFUNCTION("GOOGLETRANSLATE(B567,""en"",""bn"")"),"বাদ পড়ে যান")</f>
        <v>বাদ পড়ে যান</v>
      </c>
      <c r="O567" s="4" t="str">
        <f>IFERROR(__xludf.DUMMYFUNCTION("GOOGLETRANSLATE(B567,""en"",""pt"")"),"Seja deixado")</f>
        <v>Seja deixado</v>
      </c>
    </row>
    <row r="568">
      <c r="A568" s="89" t="s">
        <v>1347</v>
      </c>
      <c r="B568" s="90" t="s">
        <v>1348</v>
      </c>
      <c r="C568" s="66" t="str">
        <f>IFERROR(__xludf.DUMMYFUNCTION("GOOGLETRANSLATE(B568,""en"",""hi"")"),"राउंड ट्रिप")</f>
        <v>राउंड ट्रिप</v>
      </c>
      <c r="D568" s="67" t="str">
        <f>IFERROR(__xludf.DUMMYFUNCTION("GOOGLETRANSLATE(B568,""en"",""ar"")"),"جولة")</f>
        <v>جولة</v>
      </c>
      <c r="E568" s="67" t="str">
        <f>IFERROR(__xludf.DUMMYFUNCTION("GOOGLETRANSLATE(B568,""en"",""fr"")"),"Aller-retour")</f>
        <v>Aller-retour</v>
      </c>
      <c r="F568" s="67" t="str">
        <f>IFERROR(__xludf.DUMMYFUNCTION("GOOGLETRANSLATE(B568,""en"",""tr"")"),"Gidiş")</f>
        <v>Gidiş</v>
      </c>
      <c r="G568" s="67" t="str">
        <f>IFERROR(__xludf.DUMMYFUNCTION("GOOGLETRANSLATE(B568,""en"",""ru"")"),"Поездка туда и обратно")</f>
        <v>Поездка туда и обратно</v>
      </c>
      <c r="H568" s="67" t="str">
        <f>IFERROR(__xludf.DUMMYFUNCTION("GOOGLETRANSLATE(B568,""en"",""it"")"),"Andata e ritorno")</f>
        <v>Andata e ritorno</v>
      </c>
      <c r="I568" s="67" t="str">
        <f>IFERROR(__xludf.DUMMYFUNCTION("GOOGLETRANSLATE(B568,""en"",""de"")"),"Rundfahrt")</f>
        <v>Rundfahrt</v>
      </c>
      <c r="J568" s="67" t="str">
        <f>IFERROR(__xludf.DUMMYFUNCTION("GOOGLETRANSLATE(B568,""en"",""ko"")"),"왕복 여행")</f>
        <v>왕복 여행</v>
      </c>
      <c r="K568" s="67" t="str">
        <f>IFERROR(__xludf.DUMMYFUNCTION("GOOGLETRANSLATE(B568,""en"",""zh"")"),"往返")</f>
        <v>往返</v>
      </c>
      <c r="L568" s="67" t="str">
        <f>IFERROR(__xludf.DUMMYFUNCTION("GOOGLETRANSLATE(B568,""en"",""es"")"),"Ida y vuelta")</f>
        <v>Ida y vuelta</v>
      </c>
      <c r="M568" s="66" t="str">
        <f>IFERROR(__xludf.DUMMYFUNCTION("GOOGLETRANSLATE(B568,""en"",""iw"")"),"נסיעה הלוך ושוב")</f>
        <v>נסיעה הלוך ושוב</v>
      </c>
      <c r="N568" s="67" t="str">
        <f>IFERROR(__xludf.DUMMYFUNCTION("GOOGLETRANSLATE(B568,""en"",""bn"")"),"রাউন্ড ট্রিপ")</f>
        <v>রাউন্ড ট্রিপ</v>
      </c>
      <c r="O568" s="4" t="str">
        <f>IFERROR(__xludf.DUMMYFUNCTION("GOOGLETRANSLATE(B568,""en"",""pt"")"),"Ida e volta")</f>
        <v>Ida e volta</v>
      </c>
    </row>
    <row r="569">
      <c r="A569" s="89" t="s">
        <v>1349</v>
      </c>
      <c r="B569" s="91" t="s">
        <v>1350</v>
      </c>
      <c r="C569" s="66" t="str">
        <f>IFERROR(__xludf.DUMMYFUNCTION("GOOGLETRANSLATE(B569,""en"",""hi"")"),"वापसी तक कार अपने पास रखें")</f>
        <v>वापसी तक कार अपने पास रखें</v>
      </c>
      <c r="D569" s="67" t="str">
        <f>IFERROR(__xludf.DUMMYFUNCTION("GOOGLETRANSLATE(B569,""en"",""ar"")"),"احتفظ بالسيارة حتى العودة")</f>
        <v>احتفظ بالسيارة حتى العودة</v>
      </c>
      <c r="E569" s="67" t="str">
        <f>IFERROR(__xludf.DUMMYFUNCTION("GOOGLETRANSLATE(B569,""en"",""fr"")"),"Gardez la voiture jusqu'au retour")</f>
        <v>Gardez la voiture jusqu'au retour</v>
      </c>
      <c r="F569" s="67" t="str">
        <f>IFERROR(__xludf.DUMMYFUNCTION("GOOGLETRANSLATE(B569,""en"",""tr"")"),"Arabayı Dönüşe Kadar Saklayın")</f>
        <v>Arabayı Dönüşe Kadar Saklayın</v>
      </c>
      <c r="G569" s="67" t="str">
        <f>IFERROR(__xludf.DUMMYFUNCTION("GOOGLETRANSLATE(B569,""en"",""ru"")"),"Держите машину до возвращения")</f>
        <v>Держите машину до возвращения</v>
      </c>
      <c r="H569" s="67" t="str">
        <f>IFERROR(__xludf.DUMMYFUNCTION("GOOGLETRANSLATE(B569,""en"",""it"")"),"Tieni l'auto fino al ritorno")</f>
        <v>Tieni l'auto fino al ritorno</v>
      </c>
      <c r="I569" s="67" t="str">
        <f>IFERROR(__xludf.DUMMYFUNCTION("GOOGLETRANSLATE(B569,""en"",""de"")"),"Behalten Sie das Auto bis zur Rückkehr")</f>
        <v>Behalten Sie das Auto bis zur Rückkehr</v>
      </c>
      <c r="J569" s="67" t="str">
        <f>IFERROR(__xludf.DUMMYFUNCTION("GOOGLETRANSLATE(B569,""en"",""ko"")"),"돌아올 때까지 차를 보관하세요")</f>
        <v>돌아올 때까지 차를 보관하세요</v>
      </c>
      <c r="K569" s="67" t="str">
        <f>IFERROR(__xludf.DUMMYFUNCTION("GOOGLETRANSLATE(B569,""en"",""zh"")"),"保留汽车直到返回")</f>
        <v>保留汽车直到返回</v>
      </c>
      <c r="L569" s="67" t="str">
        <f>IFERROR(__xludf.DUMMYFUNCTION("GOOGLETRANSLATE(B569,""en"",""es"")"),"Mantenga el coche hasta el regreso")</f>
        <v>Mantenga el coche hasta el regreso</v>
      </c>
      <c r="M569" s="66" t="str">
        <f>IFERROR(__xludf.DUMMYFUNCTION("GOOGLETRANSLATE(B569,""en"",""iw"")"),"שמור את המכונית עד החזרה")</f>
        <v>שמור את המכונית עד החזרה</v>
      </c>
      <c r="N569" s="67" t="str">
        <f>IFERROR(__xludf.DUMMYFUNCTION("GOOGLETRANSLATE(B569,""en"",""bn"")"),"ফিরে আসা পর্যন্ত গাড়ি রাখুন")</f>
        <v>ফিরে আসা পর্যন্ত গাড়ি রাখুন</v>
      </c>
      <c r="O569" s="4" t="str">
        <f>IFERROR(__xludf.DUMMYFUNCTION("GOOGLETRANSLATE(B569,""en"",""pt"")"),"Mantenha o carro até o retorno")</f>
        <v>Mantenha o carro até o retorno</v>
      </c>
    </row>
    <row r="570">
      <c r="A570" s="89" t="s">
        <v>1351</v>
      </c>
      <c r="B570" s="92" t="s">
        <v>1352</v>
      </c>
      <c r="C570" s="66" t="str">
        <f>IFERROR(__xludf.DUMMYFUNCTION("GOOGLETRANSLATE(B570,""en"",""hi"")"),"चुनना")</f>
        <v>चुनना</v>
      </c>
      <c r="D570" s="67" t="str">
        <f>IFERROR(__xludf.DUMMYFUNCTION("GOOGLETRANSLATE(B570,""en"",""ar"")"),"يختار")</f>
        <v>يختار</v>
      </c>
      <c r="E570" s="67" t="str">
        <f>IFERROR(__xludf.DUMMYFUNCTION("GOOGLETRANSLATE(B570,""en"",""fr"")"),"Sélectionner")</f>
        <v>Sélectionner</v>
      </c>
      <c r="F570" s="67" t="str">
        <f>IFERROR(__xludf.DUMMYFUNCTION("GOOGLETRANSLATE(B570,""en"",""tr"")"),"Seçme")</f>
        <v>Seçme</v>
      </c>
      <c r="G570" s="67" t="str">
        <f>IFERROR(__xludf.DUMMYFUNCTION("GOOGLETRANSLATE(B570,""en"",""ru"")"),"Выбирать")</f>
        <v>Выбирать</v>
      </c>
      <c r="H570" s="67" t="str">
        <f>IFERROR(__xludf.DUMMYFUNCTION("GOOGLETRANSLATE(B570,""en"",""it"")"),"Selezionare")</f>
        <v>Selezionare</v>
      </c>
      <c r="I570" s="67" t="str">
        <f>IFERROR(__xludf.DUMMYFUNCTION("GOOGLETRANSLATE(B570,""en"",""de"")"),"Wählen")</f>
        <v>Wählen</v>
      </c>
      <c r="J570" s="67" t="str">
        <f>IFERROR(__xludf.DUMMYFUNCTION("GOOGLETRANSLATE(B570,""en"",""ko"")"),"선택하다")</f>
        <v>선택하다</v>
      </c>
      <c r="K570" s="67" t="str">
        <f>IFERROR(__xludf.DUMMYFUNCTION("GOOGLETRANSLATE(B570,""en"",""zh"")"),"选择")</f>
        <v>选择</v>
      </c>
      <c r="L570" s="67" t="str">
        <f>IFERROR(__xludf.DUMMYFUNCTION("GOOGLETRANSLATE(B570,""en"",""es"")"),"Seleccionar")</f>
        <v>Seleccionar</v>
      </c>
      <c r="M570" s="66" t="str">
        <f>IFERROR(__xludf.DUMMYFUNCTION("GOOGLETRANSLATE(B570,""en"",""iw"")"),"בחר")</f>
        <v>בחר</v>
      </c>
      <c r="N570" s="67" t="str">
        <f>IFERROR(__xludf.DUMMYFUNCTION("GOOGLETRANSLATE(B570,""en"",""bn"")"),"নির্বাচন করুন")</f>
        <v>নির্বাচন করুন</v>
      </c>
      <c r="O570" s="4" t="str">
        <f>IFERROR(__xludf.DUMMYFUNCTION("GOOGLETRANSLATE(B570,""en"",""pt"")"),"Selecione")</f>
        <v>Selecione</v>
      </c>
    </row>
    <row r="571">
      <c r="A571" s="89" t="s">
        <v>1353</v>
      </c>
      <c r="B571" s="92" t="s">
        <v>1354</v>
      </c>
      <c r="C571" s="66" t="str">
        <f>IFERROR(__xludf.DUMMYFUNCTION("GOOGLETRANSLATE(B571,""en"",""hi"")"),"एकतरफ़ा यात्रा शेड्यूल करें")</f>
        <v>एकतरफ़ा यात्रा शेड्यूल करें</v>
      </c>
      <c r="D571" s="67" t="str">
        <f>IFERROR(__xludf.DUMMYFUNCTION("GOOGLETRANSLATE(B571,""en"",""ar"")"),"جدولة رحلة في اتجاه واحد")</f>
        <v>جدولة رحلة في اتجاه واحد</v>
      </c>
      <c r="E571" s="67" t="str">
        <f>IFERROR(__xludf.DUMMYFUNCTION("GOOGLETRANSLATE(B571,""en"",""fr"")"),"Programmer un aller simple")</f>
        <v>Programmer un aller simple</v>
      </c>
      <c r="F571" s="67" t="str">
        <f>IFERROR(__xludf.DUMMYFUNCTION("GOOGLETRANSLATE(B571,""en"",""tr"")"),"Tek Yönlü Seyahat Planlayın")</f>
        <v>Tek Yönlü Seyahat Planlayın</v>
      </c>
      <c r="G571" s="67" t="str">
        <f>IFERROR(__xludf.DUMMYFUNCTION("GOOGLETRANSLATE(B571,""en"",""ru"")"),"Запланируйте поездку в один конец")</f>
        <v>Запланируйте поездку в один конец</v>
      </c>
      <c r="H571" s="67" t="str">
        <f>IFERROR(__xludf.DUMMYFUNCTION("GOOGLETRANSLATE(B571,""en"",""it"")"),"Pianifica un viaggio di sola andata")</f>
        <v>Pianifica un viaggio di sola andata</v>
      </c>
      <c r="I571" s="67" t="str">
        <f>IFERROR(__xludf.DUMMYFUNCTION("GOOGLETRANSLATE(B571,""en"",""de"")"),"Planen Sie eine einfache Fahrt")</f>
        <v>Planen Sie eine einfache Fahrt</v>
      </c>
      <c r="J571" s="67" t="str">
        <f>IFERROR(__xludf.DUMMYFUNCTION("GOOGLETRANSLATE(B571,""en"",""ko"")"),"편도 여행 예약")</f>
        <v>편도 여행 예약</v>
      </c>
      <c r="K571" s="67" t="str">
        <f>IFERROR(__xludf.DUMMYFUNCTION("GOOGLETRANSLATE(B571,""en"",""zh"")"),"安排单程旅行")</f>
        <v>安排单程旅行</v>
      </c>
      <c r="L571" s="67" t="str">
        <f>IFERROR(__xludf.DUMMYFUNCTION("GOOGLETRANSLATE(B571,""en"",""es"")"),"Programar viaje de ida")</f>
        <v>Programar viaje de ida</v>
      </c>
      <c r="M571" s="66" t="str">
        <f>IFERROR(__xludf.DUMMYFUNCTION("GOOGLETRANSLATE(B571,""en"",""iw"")"),"קבע מועד טיול בכיוון אחד")</f>
        <v>קבע מועד טיול בכיוון אחד</v>
      </c>
      <c r="N571" s="67" t="str">
        <f>IFERROR(__xludf.DUMMYFUNCTION("GOOGLETRANSLATE(B571,""en"",""bn"")"),"ওয়ান-ওয়ে ট্রিপের সময়সূচী করুন")</f>
        <v>ওয়ান-ওয়ে ট্রিপের সময়সূচী করুন</v>
      </c>
      <c r="O571" s="4" t="str">
        <f>IFERROR(__xludf.DUMMYFUNCTION("GOOGLETRANSLATE(B571,""en"",""pt"")"),"Agendar viagem só de ida")</f>
        <v>Agendar viagem só de ida</v>
      </c>
    </row>
    <row r="572">
      <c r="A572" s="89" t="s">
        <v>1355</v>
      </c>
      <c r="B572" s="92" t="s">
        <v>1356</v>
      </c>
      <c r="C572" s="66" t="str">
        <f>IFERROR(__xludf.DUMMYFUNCTION("GOOGLETRANSLATE(B572,""en"",""hi"")"),"शेड्यूल राउंड - ट्रिप")</f>
        <v>शेड्यूल राउंड - ट्रिप</v>
      </c>
      <c r="D572" s="67" t="str">
        <f>IFERROR(__xludf.DUMMYFUNCTION("GOOGLETRANSLATE(B572,""en"",""ar"")"),"جدول الجولة - الرحلة")</f>
        <v>جدول الجولة - الرحلة</v>
      </c>
      <c r="E572" s="67" t="str">
        <f>IFERROR(__xludf.DUMMYFUNCTION("GOOGLETRANSLATE(B572,""en"",""fr"")"),"Horaires Aller-retour")</f>
        <v>Horaires Aller-retour</v>
      </c>
      <c r="F572" s="67" t="str">
        <f>IFERROR(__xludf.DUMMYFUNCTION("GOOGLETRANSLATE(B572,""en"",""tr"")"),"Gidiş-Dönüş Programla")</f>
        <v>Gidiş-Dönüş Programla</v>
      </c>
      <c r="G572" s="67" t="str">
        <f>IFERROR(__xludf.DUMMYFUNCTION("GOOGLETRANSLATE(B572,""en"",""ru"")"),"Расписание тура - поездки")</f>
        <v>Расписание тура - поездки</v>
      </c>
      <c r="H572" s="67" t="str">
        <f>IFERROR(__xludf.DUMMYFUNCTION("GOOGLETRANSLATE(B572,""en"",""it"")"),"Programma Andata e Ritorno")</f>
        <v>Programma Andata e Ritorno</v>
      </c>
      <c r="I572" s="67" t="str">
        <f>IFERROR(__xludf.DUMMYFUNCTION("GOOGLETRANSLATE(B572,""en"",""de"")"),"Planen Sie Hin- und Rückfahrt")</f>
        <v>Planen Sie Hin- und Rückfahrt</v>
      </c>
      <c r="J572" s="67" t="str">
        <f>IFERROR(__xludf.DUMMYFUNCTION("GOOGLETRANSLATE(B572,""en"",""ko"")"),"왕복 일정 - 여행")</f>
        <v>왕복 일정 - 여행</v>
      </c>
      <c r="K572" s="67" t="str">
        <f>IFERROR(__xludf.DUMMYFUNCTION("GOOGLETRANSLATE(B572,""en"",""zh"")"),"安排往返行程")</f>
        <v>安排往返行程</v>
      </c>
      <c r="L572" s="67" t="str">
        <f>IFERROR(__xludf.DUMMYFUNCTION("GOOGLETRANSLATE(B572,""en"",""es"")"),"Horario ida y vuelta")</f>
        <v>Horario ida y vuelta</v>
      </c>
      <c r="M572" s="66" t="str">
        <f>IFERROR(__xludf.DUMMYFUNCTION("GOOGLETRANSLATE(B572,""en"",""iw"")"),"לוח זמנים הלוך ושוב - טיול")</f>
        <v>לוח זמנים הלוך ושוב - טיול</v>
      </c>
      <c r="N572" s="67" t="str">
        <f>IFERROR(__xludf.DUMMYFUNCTION("GOOGLETRANSLATE(B572,""en"",""bn"")"),"শিডিউল রাউন্ড - ট্রিপ")</f>
        <v>শিডিউল রাউন্ড - ট্রিপ</v>
      </c>
      <c r="O572" s="4" t="str">
        <f>IFERROR(__xludf.DUMMYFUNCTION("GOOGLETRANSLATE(B572,""en"",""pt"")"),"Programação Ida e Volta")</f>
        <v>Programação Ida e Volta</v>
      </c>
    </row>
    <row r="573">
      <c r="A573" s="89" t="s">
        <v>1357</v>
      </c>
      <c r="B573" s="92" t="s">
        <v>1358</v>
      </c>
      <c r="C573" s="66" t="str">
        <f>IFERROR(__xludf.DUMMYFUNCTION("GOOGLETRANSLATE(B573,""en"",""hi"")"),"पर छोड़ दो")</f>
        <v>पर छोड़ दो</v>
      </c>
      <c r="D573" s="67" t="str">
        <f>IFERROR(__xludf.DUMMYFUNCTION("GOOGLETRANSLATE(B573,""en"",""ar"")"),"يغادر يوم")</f>
        <v>يغادر يوم</v>
      </c>
      <c r="E573" s="67" t="str">
        <f>IFERROR(__xludf.DUMMYFUNCTION("GOOGLETRANSLATE(B573,""en"",""fr"")"),"Laisser sur")</f>
        <v>Laisser sur</v>
      </c>
      <c r="F573" s="67" t="str">
        <f>IFERROR(__xludf.DUMMYFUNCTION("GOOGLETRANSLATE(B573,""en"",""tr"")"),"Açık bırakmak")</f>
        <v>Açık bırakmak</v>
      </c>
      <c r="G573" s="67" t="str">
        <f>IFERROR(__xludf.DUMMYFUNCTION("GOOGLETRANSLATE(B573,""en"",""ru"")"),"Выйти на")</f>
        <v>Выйти на</v>
      </c>
      <c r="H573" s="67" t="str">
        <f>IFERROR(__xludf.DUMMYFUNCTION("GOOGLETRANSLATE(B573,""en"",""it"")"),"Lascia acceso")</f>
        <v>Lascia acceso</v>
      </c>
      <c r="I573" s="67" t="str">
        <f>IFERROR(__xludf.DUMMYFUNCTION("GOOGLETRANSLATE(B573,""en"",""de"")"),"Anlassen")</f>
        <v>Anlassen</v>
      </c>
      <c r="J573" s="67" t="str">
        <f>IFERROR(__xludf.DUMMYFUNCTION("GOOGLETRANSLATE(B573,""en"",""ko"")"),"계속 켜두기")</f>
        <v>계속 켜두기</v>
      </c>
      <c r="K573" s="67" t="str">
        <f>IFERROR(__xludf.DUMMYFUNCTION("GOOGLETRANSLATE(B573,""en"",""zh"")"),"离开")</f>
        <v>离开</v>
      </c>
      <c r="L573" s="67" t="str">
        <f>IFERROR(__xludf.DUMMYFUNCTION("GOOGLETRANSLATE(B573,""en"",""es"")"),"Dejar encendido")</f>
        <v>Dejar encendido</v>
      </c>
      <c r="M573" s="66" t="str">
        <f>IFERROR(__xludf.DUMMYFUNCTION("GOOGLETRANSLATE(B573,""en"",""iw"")"),"השאר")</f>
        <v>השאר</v>
      </c>
      <c r="N573" s="67" t="str">
        <f>IFERROR(__xludf.DUMMYFUNCTION("GOOGLETRANSLATE(B573,""en"",""bn"")"),"ছুটি")</f>
        <v>ছুটি</v>
      </c>
      <c r="O573" s="4" t="str">
        <f>IFERROR(__xludf.DUMMYFUNCTION("GOOGLETRANSLATE(B573,""en"",""pt"")"),"Deixe sobre")</f>
        <v>Deixe sobre</v>
      </c>
    </row>
    <row r="574">
      <c r="A574" s="89" t="s">
        <v>1359</v>
      </c>
      <c r="B574" s="92" t="s">
        <v>1360</v>
      </c>
      <c r="C574" s="66" t="str">
        <f>IFERROR(__xludf.DUMMYFUNCTION("GOOGLETRANSLATE(B574,""en"",""hi"")"),"द्वारा वापसी")</f>
        <v>द्वारा वापसी</v>
      </c>
      <c r="D574" s="67" t="str">
        <f>IFERROR(__xludf.DUMMYFUNCTION("GOOGLETRANSLATE(B574,""en"",""ar"")"),"العودة بواسطة")</f>
        <v>العودة بواسطة</v>
      </c>
      <c r="E574" s="67" t="str">
        <f>IFERROR(__xludf.DUMMYFUNCTION("GOOGLETRANSLATE(B574,""en"",""fr"")"),"Retour par")</f>
        <v>Retour par</v>
      </c>
      <c r="F574" s="67" t="str">
        <f>IFERROR(__xludf.DUMMYFUNCTION("GOOGLETRANSLATE(B574,""en"",""tr"")"),"Geri Dönme Tarihi")</f>
        <v>Geri Dönme Tarihi</v>
      </c>
      <c r="G574" s="67" t="str">
        <f>IFERROR(__xludf.DUMMYFUNCTION("GOOGLETRANSLATE(B574,""en"",""ru"")"),"Вернуться к")</f>
        <v>Вернуться к</v>
      </c>
      <c r="H574" s="67" t="str">
        <f>IFERROR(__xludf.DUMMYFUNCTION("GOOGLETRANSLATE(B574,""en"",""it"")"),"Ritorno entro")</f>
        <v>Ritorno entro</v>
      </c>
      <c r="I574" s="67" t="str">
        <f>IFERROR(__xludf.DUMMYFUNCTION("GOOGLETRANSLATE(B574,""en"",""de"")"),"Rückkehr bis")</f>
        <v>Rückkehr bis</v>
      </c>
      <c r="J574" s="67" t="str">
        <f>IFERROR(__xludf.DUMMYFUNCTION("GOOGLETRANSLATE(B574,""en"",""ko"")"),"반품 기한")</f>
        <v>반품 기한</v>
      </c>
      <c r="K574" s="67" t="str">
        <f>IFERROR(__xludf.DUMMYFUNCTION("GOOGLETRANSLATE(B574,""en"",""zh"")"),"返回方式")</f>
        <v>返回方式</v>
      </c>
      <c r="L574" s="67" t="str">
        <f>IFERROR(__xludf.DUMMYFUNCTION("GOOGLETRANSLATE(B574,""en"",""es"")"),"Volver por")</f>
        <v>Volver por</v>
      </c>
      <c r="M574" s="66" t="str">
        <f>IFERROR(__xludf.DUMMYFUNCTION("GOOGLETRANSLATE(B574,""en"",""iw"")"),"חזרה לפי")</f>
        <v>חזרה לפי</v>
      </c>
      <c r="N574" s="67" t="str">
        <f>IFERROR(__xludf.DUMMYFUNCTION("GOOGLETRANSLATE(B574,""en"",""bn"")"),"দ্বারা প্রত্যাবর্তন")</f>
        <v>দ্বারা প্রত্যাবর্তন</v>
      </c>
      <c r="O574" s="4" t="str">
        <f>IFERROR(__xludf.DUMMYFUNCTION("GOOGLETRANSLATE(B574,""en"",""pt"")"),"Retornar por")</f>
        <v>Retornar por</v>
      </c>
    </row>
    <row r="575">
      <c r="A575" s="89" t="s">
        <v>1361</v>
      </c>
      <c r="B575" s="92" t="s">
        <v>1362</v>
      </c>
      <c r="C575" s="66" t="str">
        <f>IFERROR(__xludf.DUMMYFUNCTION("GOOGLETRANSLATE(B575,""en"",""hi"")"),"के लिए बुकिंग")</f>
        <v>के लिए बुकिंग</v>
      </c>
      <c r="D575" s="67" t="str">
        <f>IFERROR(__xludf.DUMMYFUNCTION("GOOGLETRANSLATE(B575,""en"",""ar"")"),"الحجز ل")</f>
        <v>الحجز ل</v>
      </c>
      <c r="E575" s="67" t="str">
        <f>IFERROR(__xludf.DUMMYFUNCTION("GOOGLETRANSLATE(B575,""en"",""fr"")"),"Réservation pour")</f>
        <v>Réservation pour</v>
      </c>
      <c r="F575" s="67" t="str">
        <f>IFERROR(__xludf.DUMMYFUNCTION("GOOGLETRANSLATE(B575,""en"",""tr"")"),"Rezervasyon")</f>
        <v>Rezervasyon</v>
      </c>
      <c r="G575" s="67" t="str">
        <f>IFERROR(__xludf.DUMMYFUNCTION("GOOGLETRANSLATE(B575,""en"",""ru"")"),"Бронирование для")</f>
        <v>Бронирование для</v>
      </c>
      <c r="H575" s="67" t="str">
        <f>IFERROR(__xludf.DUMMYFUNCTION("GOOGLETRANSLATE(B575,""en"",""it"")"),"Prenotazione per")</f>
        <v>Prenotazione per</v>
      </c>
      <c r="I575" s="67" t="str">
        <f>IFERROR(__xludf.DUMMYFUNCTION("GOOGLETRANSLATE(B575,""en"",""de"")"),"Buchung für")</f>
        <v>Buchung für</v>
      </c>
      <c r="J575" s="67" t="str">
        <f>IFERROR(__xludf.DUMMYFUNCTION("GOOGLETRANSLATE(B575,""en"",""ko"")"),"예약대상")</f>
        <v>예약대상</v>
      </c>
      <c r="K575" s="67" t="str">
        <f>IFERROR(__xludf.DUMMYFUNCTION("GOOGLETRANSLATE(B575,""en"",""zh"")"),"预订")</f>
        <v>预订</v>
      </c>
      <c r="L575" s="67" t="str">
        <f>IFERROR(__xludf.DUMMYFUNCTION("GOOGLETRANSLATE(B575,""en"",""es"")"),"Reserva para")</f>
        <v>Reserva para</v>
      </c>
      <c r="M575" s="66" t="str">
        <f>IFERROR(__xludf.DUMMYFUNCTION("GOOGLETRANSLATE(B575,""en"",""iw"")"),"הזמנה עבור")</f>
        <v>הזמנה עבור</v>
      </c>
      <c r="N575" s="67" t="str">
        <f>IFERROR(__xludf.DUMMYFUNCTION("GOOGLETRANSLATE(B575,""en"",""bn"")"),"জন্য বুকিং")</f>
        <v>জন্য বুকিং</v>
      </c>
      <c r="O575" s="4" t="str">
        <f>IFERROR(__xludf.DUMMYFUNCTION("GOOGLETRANSLATE(B575,""en"",""pt"")"),"Reserva para")</f>
        <v>Reserva para</v>
      </c>
    </row>
    <row r="576">
      <c r="A576" s="89" t="s">
        <v>1363</v>
      </c>
      <c r="B576" s="92" t="s">
        <v>1364</v>
      </c>
      <c r="C576" s="66" t="str">
        <f>IFERROR(__xludf.DUMMYFUNCTION("GOOGLETRANSLATE(B576,""en"",""hi"")"),"प्रस्तावित बोलियाँ")</f>
        <v>प्रस्तावित बोलियाँ</v>
      </c>
      <c r="D576" s="67" t="str">
        <f>IFERROR(__xludf.DUMMYFUNCTION("GOOGLETRANSLATE(B576,""en"",""ar"")"),"العطاءات المقدمة")</f>
        <v>العطاءات المقدمة</v>
      </c>
      <c r="E576" s="67" t="str">
        <f>IFERROR(__xludf.DUMMYFUNCTION("GOOGLETRANSLATE(B576,""en"",""fr"")"),"Offres proposées")</f>
        <v>Offres proposées</v>
      </c>
      <c r="F576" s="67" t="str">
        <f>IFERROR(__xludf.DUMMYFUNCTION("GOOGLETRANSLATE(B576,""en"",""tr"")"),"Teklif Edilen Teklifler")</f>
        <v>Teklif Edilen Teklifler</v>
      </c>
      <c r="G576" s="67" t="str">
        <f>IFERROR(__xludf.DUMMYFUNCTION("GOOGLETRANSLATE(B576,""en"",""ru"")"),"Предлагаемые предложения")</f>
        <v>Предлагаемые предложения</v>
      </c>
      <c r="H576" s="67" t="str">
        <f>IFERROR(__xludf.DUMMYFUNCTION("GOOGLETRANSLATE(B576,""en"",""it"")"),"Offerte offerte")</f>
        <v>Offerte offerte</v>
      </c>
      <c r="I576" s="67" t="str">
        <f>IFERROR(__xludf.DUMMYFUNCTION("GOOGLETRANSLATE(B576,""en"",""de"")"),"Angebotene Gebote")</f>
        <v>Angebotene Gebote</v>
      </c>
      <c r="J576" s="67" t="str">
        <f>IFERROR(__xludf.DUMMYFUNCTION("GOOGLETRANSLATE(B576,""en"",""ko"")"),"제안된 입찰")</f>
        <v>제안된 입찰</v>
      </c>
      <c r="K576" s="67" t="str">
        <f>IFERROR(__xludf.DUMMYFUNCTION("GOOGLETRANSLATE(B576,""en"",""zh"")"),"投标报价")</f>
        <v>投标报价</v>
      </c>
      <c r="L576" s="67" t="str">
        <f>IFERROR(__xludf.DUMMYFUNCTION("GOOGLETRANSLATE(B576,""en"",""es"")"),"Ofertas ofrecidas")</f>
        <v>Ofertas ofrecidas</v>
      </c>
      <c r="M576" s="66" t="str">
        <f>IFERROR(__xludf.DUMMYFUNCTION("GOOGLETRANSLATE(B576,""en"",""iw"")"),"הצעות שהוצעו")</f>
        <v>הצעות שהוצעו</v>
      </c>
      <c r="N576" s="67" t="str">
        <f>IFERROR(__xludf.DUMMYFUNCTION("GOOGLETRANSLATE(B576,""en"",""bn"")"),"প্রস্তাবিত বিড")</f>
        <v>প্রস্তাবিত বিড</v>
      </c>
      <c r="O576" s="4" t="str">
        <f>IFERROR(__xludf.DUMMYFUNCTION("GOOGLETRANSLATE(B576,""en"",""pt"")"),"Lances oferecidos")</f>
        <v>Lances oferecidos</v>
      </c>
    </row>
    <row r="577">
      <c r="A577" s="89" t="s">
        <v>1365</v>
      </c>
      <c r="B577" s="92" t="s">
        <v>1366</v>
      </c>
      <c r="C577" s="66" t="str">
        <f>IFERROR(__xludf.DUMMYFUNCTION("GOOGLETRANSLATE(B577,""en"",""hi"")"),"शुरुआत")</f>
        <v>शुरुआत</v>
      </c>
      <c r="D577" s="67" t="str">
        <f>IFERROR(__xludf.DUMMYFUNCTION("GOOGLETRANSLATE(B577,""en"",""ar"")"),"ابتداء")</f>
        <v>ابتداء</v>
      </c>
      <c r="E577" s="67" t="str">
        <f>IFERROR(__xludf.DUMMYFUNCTION("GOOGLETRANSLATE(B577,""en"",""fr"")"),"Départ")</f>
        <v>Départ</v>
      </c>
      <c r="F577" s="67" t="str">
        <f>IFERROR(__xludf.DUMMYFUNCTION("GOOGLETRANSLATE(B577,""en"",""tr"")"),"Başlangıç")</f>
        <v>Başlangıç</v>
      </c>
      <c r="G577" s="67" t="str">
        <f>IFERROR(__xludf.DUMMYFUNCTION("GOOGLETRANSLATE(B577,""en"",""ru"")"),"Начало")</f>
        <v>Начало</v>
      </c>
      <c r="H577" s="67" t="str">
        <f>IFERROR(__xludf.DUMMYFUNCTION("GOOGLETRANSLATE(B577,""en"",""it"")"),"Di partenza")</f>
        <v>Di partenza</v>
      </c>
      <c r="I577" s="67" t="str">
        <f>IFERROR(__xludf.DUMMYFUNCTION("GOOGLETRANSLATE(B577,""en"",""de"")"),"Beginnend")</f>
        <v>Beginnend</v>
      </c>
      <c r="J577" s="67" t="str">
        <f>IFERROR(__xludf.DUMMYFUNCTION("GOOGLETRANSLATE(B577,""en"",""ko"")"),"시작")</f>
        <v>시작</v>
      </c>
      <c r="K577" s="67" t="str">
        <f>IFERROR(__xludf.DUMMYFUNCTION("GOOGLETRANSLATE(B577,""en"",""zh"")"),"开始")</f>
        <v>开始</v>
      </c>
      <c r="L577" s="67" t="str">
        <f>IFERROR(__xludf.DUMMYFUNCTION("GOOGLETRANSLATE(B577,""en"",""es"")"),"A partir de")</f>
        <v>A partir de</v>
      </c>
      <c r="M577" s="66" t="str">
        <f>IFERROR(__xludf.DUMMYFUNCTION("GOOGLETRANSLATE(B577,""en"",""iw"")"),"מתחיל")</f>
        <v>מתחיל</v>
      </c>
      <c r="N577" s="67" t="str">
        <f>IFERROR(__xludf.DUMMYFUNCTION("GOOGLETRANSLATE(B577,""en"",""bn"")"),"শুরু হচ্ছে")</f>
        <v>শুরু হচ্ছে</v>
      </c>
      <c r="O577" s="4" t="str">
        <f>IFERROR(__xludf.DUMMYFUNCTION("GOOGLETRANSLATE(B577,""en"",""pt"")"),"Iniciando")</f>
        <v>Iniciando</v>
      </c>
    </row>
    <row r="578">
      <c r="A578" s="89" t="s">
        <v>1367</v>
      </c>
      <c r="B578" s="92" t="s">
        <v>1368</v>
      </c>
      <c r="C578" s="66" t="str">
        <f>IFERROR(__xludf.DUMMYFUNCTION("GOOGLETRANSLATE(B578,""en"",""hi"")"),"आउट स्टेशन यात्रा")</f>
        <v>आउट स्टेशन यात्रा</v>
      </c>
      <c r="D578" s="67" t="str">
        <f>IFERROR(__xludf.DUMMYFUNCTION("GOOGLETRANSLATE(B578,""en"",""ar"")"),"ركوب المحطة الخارجية")</f>
        <v>ركوب المحطة الخارجية</v>
      </c>
      <c r="E578" s="67" t="str">
        <f>IFERROR(__xludf.DUMMYFUNCTION("GOOGLETRANSLATE(B578,""en"",""fr"")"),"Sortie de la gare")</f>
        <v>Sortie de la gare</v>
      </c>
      <c r="F578" s="67" t="str">
        <f>IFERROR(__xludf.DUMMYFUNCTION("GOOGLETRANSLATE(B578,""en"",""tr"")"),"Çıkış İstasyonu Yolculuğu")</f>
        <v>Çıkış İstasyonu Yolculuğu</v>
      </c>
      <c r="G578" s="67" t="str">
        <f>IFERROR(__xludf.DUMMYFUNCTION("GOOGLETRANSLATE(B578,""en"",""ru"")"),"Поездка на станцию")</f>
        <v>Поездка на станцию</v>
      </c>
      <c r="H578" s="67" t="str">
        <f>IFERROR(__xludf.DUMMYFUNCTION("GOOGLETRANSLATE(B578,""en"",""it"")"),"Giro fuori stazione")</f>
        <v>Giro fuori stazione</v>
      </c>
      <c r="I578" s="67" t="str">
        <f>IFERROR(__xludf.DUMMYFUNCTION("GOOGLETRANSLATE(B578,""en"",""de"")"),"Fahrt zum Bahnhof")</f>
        <v>Fahrt zum Bahnhof</v>
      </c>
      <c r="J578" s="67" t="str">
        <f>IFERROR(__xludf.DUMMYFUNCTION("GOOGLETRANSLATE(B578,""en"",""ko"")"),"아웃 스테이션 라이드")</f>
        <v>아웃 스테이션 라이드</v>
      </c>
      <c r="K578" s="67" t="str">
        <f>IFERROR(__xludf.DUMMYFUNCTION("GOOGLETRANSLATE(B578,""en"",""zh"")"),"出站乘车")</f>
        <v>出站乘车</v>
      </c>
      <c r="L578" s="67" t="str">
        <f>IFERROR(__xludf.DUMMYFUNCTION("GOOGLETRANSLATE(B578,""en"",""es"")"),"Paseo fuera de la estación")</f>
        <v>Paseo fuera de la estación</v>
      </c>
      <c r="M578" s="66" t="str">
        <f>IFERROR(__xludf.DUMMYFUNCTION("GOOGLETRANSLATE(B578,""en"",""iw"")"),"Out Station Ride")</f>
        <v>Out Station Ride</v>
      </c>
      <c r="N578" s="67" t="str">
        <f>IFERROR(__xludf.DUMMYFUNCTION("GOOGLETRANSLATE(B578,""en"",""bn"")"),"আউট স্টেশন রাইড")</f>
        <v>আউট স্টেশন রাইড</v>
      </c>
      <c r="O578" s="4" t="str">
        <f>IFERROR(__xludf.DUMMYFUNCTION("GOOGLETRANSLATE(B578,""en"",""pt"")"),"Passeio fora da estação")</f>
        <v>Passeio fora da estação</v>
      </c>
    </row>
    <row r="579">
      <c r="A579" s="89" t="s">
        <v>1369</v>
      </c>
      <c r="B579" s="92" t="s">
        <v>1370</v>
      </c>
      <c r="C579" s="66" t="str">
        <f>IFERROR(__xludf.DUMMYFUNCTION("GOOGLETRANSLATE(B579,""en"",""hi"")"),"वाहन की जानकारी")</f>
        <v>वाहन की जानकारी</v>
      </c>
      <c r="D579" s="67" t="str">
        <f>IFERROR(__xludf.DUMMYFUNCTION("GOOGLETRANSLATE(B579,""en"",""ar"")"),"معلومات السيارة")</f>
        <v>معلومات السيارة</v>
      </c>
      <c r="E579" s="67" t="str">
        <f>IFERROR(__xludf.DUMMYFUNCTION("GOOGLETRANSLATE(B579,""en"",""fr"")"),"Informations sur le véhicule")</f>
        <v>Informations sur le véhicule</v>
      </c>
      <c r="F579" s="67" t="str">
        <f>IFERROR(__xludf.DUMMYFUNCTION("GOOGLETRANSLATE(B579,""en"",""tr"")"),"Araç bilgisi")</f>
        <v>Araç bilgisi</v>
      </c>
      <c r="G579" s="67" t="str">
        <f>IFERROR(__xludf.DUMMYFUNCTION("GOOGLETRANSLATE(B579,""en"",""ru"")"),"Информация об автомобиле")</f>
        <v>Информация об автомобиле</v>
      </c>
      <c r="H579" s="67" t="str">
        <f>IFERROR(__xludf.DUMMYFUNCTION("GOOGLETRANSLATE(B579,""en"",""it"")"),"Informazioni sul veicolo")</f>
        <v>Informazioni sul veicolo</v>
      </c>
      <c r="I579" s="67" t="str">
        <f>IFERROR(__xludf.DUMMYFUNCTION("GOOGLETRANSLATE(B579,""en"",""de"")"),"Fahrzeuginformationen")</f>
        <v>Fahrzeuginformationen</v>
      </c>
      <c r="J579" s="67" t="str">
        <f>IFERROR(__xludf.DUMMYFUNCTION("GOOGLETRANSLATE(B579,""en"",""ko"")"),"차량정보")</f>
        <v>차량정보</v>
      </c>
      <c r="K579" s="67" t="str">
        <f>IFERROR(__xludf.DUMMYFUNCTION("GOOGLETRANSLATE(B579,""en"",""zh"")"),"车辆信息")</f>
        <v>车辆信息</v>
      </c>
      <c r="L579" s="67" t="str">
        <f>IFERROR(__xludf.DUMMYFUNCTION("GOOGLETRANSLATE(B579,""en"",""es"")"),"Información del vehículo")</f>
        <v>Información del vehículo</v>
      </c>
      <c r="M579" s="66" t="str">
        <f>IFERROR(__xludf.DUMMYFUNCTION("GOOGLETRANSLATE(B579,""en"",""iw"")"),"מידע לגבי הרכב")</f>
        <v>מידע לגבי הרכב</v>
      </c>
      <c r="N579" s="67" t="str">
        <f>IFERROR(__xludf.DUMMYFUNCTION("GOOGLETRANSLATE(B579,""en"",""bn"")"),"যানবাহন তথ্য")</f>
        <v>যানবাহন তথ্য</v>
      </c>
      <c r="O579" s="4" t="str">
        <f>IFERROR(__xludf.DUMMYFUNCTION("GOOGLETRANSLATE(B579,""en"",""pt"")"),"Informações do veículo")</f>
        <v>Informações do veículo</v>
      </c>
    </row>
    <row r="580">
      <c r="A580" s="89" t="s">
        <v>1371</v>
      </c>
      <c r="B580" s="92" t="s">
        <v>1372</v>
      </c>
      <c r="C580" s="66" t="str">
        <f>IFERROR(__xludf.DUMMYFUNCTION("GOOGLETRANSLATE(B580,""en"",""hi"")"),"चल रही सवारी पर")</f>
        <v>चल रही सवारी पर</v>
      </c>
      <c r="D580" s="67" t="str">
        <f>IFERROR(__xludf.DUMMYFUNCTION("GOOGLETRANSLATE(B580,""en"",""ar"")"),"على الذهاب ركوب الخيل")</f>
        <v>على الذهاب ركوب الخيل</v>
      </c>
      <c r="E580" s="67" t="str">
        <f>IFERROR(__xludf.DUMMYFUNCTION("GOOGLETRANSLATE(B580,""en"",""fr"")"),"Promenades en cours")</f>
        <v>Promenades en cours</v>
      </c>
      <c r="F580" s="67" t="str">
        <f>IFERROR(__xludf.DUMMYFUNCTION("GOOGLETRANSLATE(B580,""en"",""tr"")"),"Devam Eden Yolculuklarda")</f>
        <v>Devam Eden Yolculuklarda</v>
      </c>
      <c r="G580" s="67" t="str">
        <f>IFERROR(__xludf.DUMMYFUNCTION("GOOGLETRANSLATE(B580,""en"",""ru"")"),"На поездках")</f>
        <v>На поездках</v>
      </c>
      <c r="H580" s="67" t="str">
        <f>IFERROR(__xludf.DUMMYFUNCTION("GOOGLETRANSLATE(B580,""en"",""it"")"),"In giro")</f>
        <v>In giro</v>
      </c>
      <c r="I580" s="67" t="str">
        <f>IFERROR(__xludf.DUMMYFUNCTION("GOOGLETRANSLATE(B580,""en"",""de"")"),"Auf Fahrten")</f>
        <v>Auf Fahrten</v>
      </c>
      <c r="J580" s="67" t="str">
        <f>IFERROR(__xludf.DUMMYFUNCTION("GOOGLETRANSLATE(B580,""en"",""ko"")"),"진행 중인 차량 서비스")</f>
        <v>진행 중인 차량 서비스</v>
      </c>
      <c r="K580" s="67" t="str">
        <f>IFERROR(__xludf.DUMMYFUNCTION("GOOGLETRANSLATE(B580,""en"",""zh"")"),"正在进行的骑行")</f>
        <v>正在进行的骑行</v>
      </c>
      <c r="L580" s="67" t="str">
        <f>IFERROR(__xludf.DUMMYFUNCTION("GOOGLETRANSLATE(B580,""en"",""es"")"),"Paseos en marcha")</f>
        <v>Paseos en marcha</v>
      </c>
      <c r="M580" s="66" t="str">
        <f>IFERROR(__xludf.DUMMYFUNCTION("GOOGLETRANSLATE(B580,""en"",""iw"")"),"ברכיבה יוצאת")</f>
        <v>ברכיבה יוצאת</v>
      </c>
      <c r="N580" s="67" t="str">
        <f>IFERROR(__xludf.DUMMYFUNCTION("GOOGLETRANSLATE(B580,""en"",""bn"")"),"অন ​​গোয়িং রাইডস")</f>
        <v>অন ​​গোয়িং রাইডস</v>
      </c>
      <c r="O580" s="4" t="str">
        <f>IFERROR(__xludf.DUMMYFUNCTION("GOOGLETRANSLATE(B580,""en"",""pt"")"),"Em passeios")</f>
        <v>Em passeios</v>
      </c>
    </row>
    <row r="581">
      <c r="A581" s="89" t="s">
        <v>1373</v>
      </c>
      <c r="B581" s="92" t="s">
        <v>1374</v>
      </c>
      <c r="C581" s="66" t="str">
        <f>IFERROR(__xludf.DUMMYFUNCTION("GOOGLETRANSLATE(B581,""en"",""hi"")"),"सवारी देखें")</f>
        <v>सवारी देखें</v>
      </c>
      <c r="D581" s="67" t="str">
        <f>IFERROR(__xludf.DUMMYFUNCTION("GOOGLETRANSLATE(B581,""en"",""ar"")"),"عرض الرحلات")</f>
        <v>عرض الرحلات</v>
      </c>
      <c r="E581" s="67" t="str">
        <f>IFERROR(__xludf.DUMMYFUNCTION("GOOGLETRANSLATE(B581,""en"",""fr"")"),"Voir les manèges")</f>
        <v>Voir les manèges</v>
      </c>
      <c r="F581" s="67" t="str">
        <f>IFERROR(__xludf.DUMMYFUNCTION("GOOGLETRANSLATE(B581,""en"",""tr"")"),"Sürüşleri Görüntüle")</f>
        <v>Sürüşleri Görüntüle</v>
      </c>
      <c r="G581" s="67" t="str">
        <f>IFERROR(__xludf.DUMMYFUNCTION("GOOGLETRANSLATE(B581,""en"",""ru"")"),"Посмотреть аттракционы")</f>
        <v>Посмотреть аттракционы</v>
      </c>
      <c r="H581" s="67" t="str">
        <f>IFERROR(__xludf.DUMMYFUNCTION("GOOGLETRANSLATE(B581,""en"",""it"")"),"Visualizza le corse")</f>
        <v>Visualizza le corse</v>
      </c>
      <c r="I581" s="67" t="str">
        <f>IFERROR(__xludf.DUMMYFUNCTION("GOOGLETRANSLATE(B581,""en"",""de"")"),"Fahrten ansehen")</f>
        <v>Fahrten ansehen</v>
      </c>
      <c r="J581" s="67" t="str">
        <f>IFERROR(__xludf.DUMMYFUNCTION("GOOGLETRANSLATE(B581,""en"",""ko"")"),"놀이기구 보기")</f>
        <v>놀이기구 보기</v>
      </c>
      <c r="K581" s="67" t="str">
        <f>IFERROR(__xludf.DUMMYFUNCTION("GOOGLETRANSLATE(B581,""en"",""zh"")"),"查看游乐设施")</f>
        <v>查看游乐设施</v>
      </c>
      <c r="L581" s="67" t="str">
        <f>IFERROR(__xludf.DUMMYFUNCTION("GOOGLETRANSLATE(B581,""en"",""es"")"),"Ver paseos")</f>
        <v>Ver paseos</v>
      </c>
      <c r="M581" s="66" t="str">
        <f>IFERROR(__xludf.DUMMYFUNCTION("GOOGLETRANSLATE(B581,""en"",""iw"")"),"צפה ברכיבות")</f>
        <v>צפה ברכיבות</v>
      </c>
      <c r="N581" s="67" t="str">
        <f>IFERROR(__xludf.DUMMYFUNCTION("GOOGLETRANSLATE(B581,""en"",""bn"")"),"রাইড দেখুন")</f>
        <v>রাইড দেখুন</v>
      </c>
      <c r="O581" s="4" t="str">
        <f>IFERROR(__xludf.DUMMYFUNCTION("GOOGLETRANSLATE(B581,""en"",""pt"")"),"Ver passeios")</f>
        <v>Ver passeios</v>
      </c>
    </row>
    <row r="582">
      <c r="A582" s="89" t="s">
        <v>1375</v>
      </c>
      <c r="B582" s="92" t="s">
        <v>1376</v>
      </c>
      <c r="C582" s="66" t="str">
        <f>IFERROR(__xludf.DUMMYFUNCTION("GOOGLETRANSLATE(B582,""en"",""hi"")"),"अभी शेड्यूल करें")</f>
        <v>अभी शेड्यूल करें</v>
      </c>
      <c r="D582" s="67" t="str">
        <f>IFERROR(__xludf.DUMMYFUNCTION("GOOGLETRANSLATE(B582,""en"",""ar"")"),"الجدول الزمني الآن")</f>
        <v>الجدول الزمني الآن</v>
      </c>
      <c r="E582" s="67" t="str">
        <f>IFERROR(__xludf.DUMMYFUNCTION("GOOGLETRANSLATE(B582,""en"",""fr"")"),"Planifiez maintenant")</f>
        <v>Planifiez maintenant</v>
      </c>
      <c r="F582" s="67" t="str">
        <f>IFERROR(__xludf.DUMMYFUNCTION("GOOGLETRANSLATE(B582,""en"",""tr"")"),"Şimdi Planla")</f>
        <v>Şimdi Planla</v>
      </c>
      <c r="G582" s="67" t="str">
        <f>IFERROR(__xludf.DUMMYFUNCTION("GOOGLETRANSLATE(B582,""en"",""ru"")"),"Запланируйте сейчас")</f>
        <v>Запланируйте сейчас</v>
      </c>
      <c r="H582" s="67" t="str">
        <f>IFERROR(__xludf.DUMMYFUNCTION("GOOGLETRANSLATE(B582,""en"",""it"")"),"Pianifica ora")</f>
        <v>Pianifica ora</v>
      </c>
      <c r="I582" s="67" t="str">
        <f>IFERROR(__xludf.DUMMYFUNCTION("GOOGLETRANSLATE(B582,""en"",""de"")"),"Jetzt planen")</f>
        <v>Jetzt planen</v>
      </c>
      <c r="J582" s="67" t="str">
        <f>IFERROR(__xludf.DUMMYFUNCTION("GOOGLETRANSLATE(B582,""en"",""ko"")"),"지금 예약하세요")</f>
        <v>지금 예약하세요</v>
      </c>
      <c r="K582" s="67" t="str">
        <f>IFERROR(__xludf.DUMMYFUNCTION("GOOGLETRANSLATE(B582,""en"",""zh"")"),"立即安排")</f>
        <v>立即安排</v>
      </c>
      <c r="L582" s="67" t="str">
        <f>IFERROR(__xludf.DUMMYFUNCTION("GOOGLETRANSLATE(B582,""en"",""es"")"),"Programar ahora")</f>
        <v>Programar ahora</v>
      </c>
      <c r="M582" s="66" t="str">
        <f>IFERROR(__xludf.DUMMYFUNCTION("GOOGLETRANSLATE(B582,""en"",""iw"")"),"תזמן עכשיו")</f>
        <v>תזמן עכשיו</v>
      </c>
      <c r="N582" s="67" t="str">
        <f>IFERROR(__xludf.DUMMYFUNCTION("GOOGLETRANSLATE(B582,""en"",""bn"")"),"এখন সময়সূচী")</f>
        <v>এখন সময়সূচী</v>
      </c>
      <c r="O582" s="4" t="str">
        <f>IFERROR(__xludf.DUMMYFUNCTION("GOOGLETRANSLATE(B582,""en"",""pt"")"),"Agende agora")</f>
        <v>Agende agora</v>
      </c>
    </row>
    <row r="583">
      <c r="A583" s="89" t="s">
        <v>1377</v>
      </c>
      <c r="B583" s="92" t="s">
        <v>1378</v>
      </c>
      <c r="C583" s="66" t="str">
        <f>IFERROR(__xludf.DUMMYFUNCTION("GOOGLETRANSLATE(B583,""en"",""hi"")"),"क्या आप कृपया अन्य ऐप्स पर एपेरर के लिए ओवरले अनुमति प्रदान कर सकते हैं")</f>
        <v>क्या आप कृपया अन्य ऐप्स पर एपेरर के लिए ओवरले अनुमति प्रदान कर सकते हैं</v>
      </c>
      <c r="D583" s="67" t="str">
        <f>IFERROR(__xludf.DUMMYFUNCTION("GOOGLETRANSLATE(B583,""en"",""ar"")"),"هل يمكنك من فضلك تقديم إذن التراكب للظهور على التطبيقات الأخرى")</f>
        <v>هل يمكنك من فضلك تقديم إذن التراكب للظهور على التطبيقات الأخرى</v>
      </c>
      <c r="E583" s="67" t="str">
        <f>IFERROR(__xludf.DUMMYFUNCTION("GOOGLETRANSLATE(B583,""en"",""fr"")"),"Pourriez-vous s'il vous plaît fournir un permis de superposition pour apparaître sur les autres applications")</f>
        <v>Pourriez-vous s'il vous plaît fournir un permis de superposition pour apparaître sur les autres applications</v>
      </c>
      <c r="F583" s="67" t="str">
        <f>IFERROR(__xludf.DUMMYFUNCTION("GOOGLETRANSLATE(B583,""en"",""tr"")"),"Lütfen Diğer Uygulamalarda Görünmek İçin Yer Paylaşımı İzni Sağlayabilir misiniz?")</f>
        <v>Lütfen Diğer Uygulamalarda Görünmek İçin Yer Paylaşımı İzni Sağlayabilir misiniz?</v>
      </c>
      <c r="G583" s="67" t="str">
        <f>IFERROR(__xludf.DUMMYFUNCTION("GOOGLETRANSLATE(B583,""en"",""ru"")"),"Не могли бы вы предоставить разрешение на наложение для появления в других приложениях?")</f>
        <v>Не могли бы вы предоставить разрешение на наложение для появления в других приложениях?</v>
      </c>
      <c r="H583" s="67" t="str">
        <f>IFERROR(__xludf.DUMMYFUNCTION("GOOGLETRANSLATE(B583,""en"",""it"")"),"Potresti fornire l'autorizzazione all'overlay per apparire su altre app")</f>
        <v>Potresti fornire l'autorizzazione all'overlay per apparire su altre app</v>
      </c>
      <c r="I583" s="67" t="str">
        <f>IFERROR(__xludf.DUMMYFUNCTION("GOOGLETRANSLATE(B583,""en"",""de"")"),"Könnten Sie bitte eine Overlay-Berechtigung für die Anzeige in anderen Apps erteilen?")</f>
        <v>Könnten Sie bitte eine Overlay-Berechtigung für die Anzeige in anderen Apps erteilen?</v>
      </c>
      <c r="J583" s="67" t="str">
        <f>IFERROR(__xludf.DUMMYFUNCTION("GOOGLETRANSLATE(B583,""en"",""ko"")"),"다른 앱에 Apperar에 대한 오버레이 권한을 제공해 주시겠습니까?")</f>
        <v>다른 앱에 Apperar에 대한 오버레이 권한을 제공해 주시겠습니까?</v>
      </c>
      <c r="K583" s="67" t="str">
        <f>IFERROR(__xludf.DUMMYFUNCTION("GOOGLETRANSLATE(B583,""en"",""zh"")"),"您能否提供在其他应用程序上显示的叠加权限")</f>
        <v>您能否提供在其他应用程序上显示的叠加权限</v>
      </c>
      <c r="L583" s="67" t="str">
        <f>IFERROR(__xludf.DUMMYFUNCTION("GOOGLETRANSLATE(B583,""en"",""es"")"),"¿Podría proporcionar permiso de superposición para aparecer en otras aplicaciones?")</f>
        <v>¿Podría proporcionar permiso de superposición para aparecer en otras aplicaciones?</v>
      </c>
      <c r="M583" s="66" t="str">
        <f>IFERROR(__xludf.DUMMYFUNCTION("GOOGLETRANSLATE(B583,""en"",""iw"")"),"האם תוכל לספק הרשאת שכבת-על עבור Apperar באפליקציות האחרות")</f>
        <v>האם תוכל לספק הרשאת שכבת-על עבור Apperar באפליקציות האחרות</v>
      </c>
      <c r="N583" s="67" t="str">
        <f>IFERROR(__xludf.DUMMYFUNCTION("GOOGLETRANSLATE(B583,""en"",""bn"")"),"আপনি কি অনুগ্রহ করে অন্যান্য অ্যাপে অ্যাপারারের জন্য ওভারলে পারমিসন প্রদান করতে পারেন")</f>
        <v>আপনি কি অনুগ্রহ করে অন্যান্য অ্যাপে অ্যাপারারের জন্য ওভারলে পারমিসন প্রদান করতে পারেন</v>
      </c>
      <c r="O583" s="4" t="str">
        <f>IFERROR(__xludf.DUMMYFUNCTION("GOOGLETRANSLATE(B583,""en"",""pt"")"),"Você poderia fornecer permissão de sobreposição para aparecer em outros aplicativos")</f>
        <v>Você poderia fornecer permissão de sobreposição para aparecer em outros aplicativos</v>
      </c>
    </row>
    <row r="584">
      <c r="A584" s="89" t="s">
        <v>1379</v>
      </c>
      <c r="B584" s="92" t="s">
        <v>1380</v>
      </c>
      <c r="C584" s="66" t="str">
        <f>IFERROR(__xludf.DUMMYFUNCTION("GOOGLETRANSLATE(B584,""en"",""hi"")"),"व्यक्तिगत जानकारी")</f>
        <v>व्यक्तिगत जानकारी</v>
      </c>
      <c r="D584" s="67" t="str">
        <f>IFERROR(__xludf.DUMMYFUNCTION("GOOGLETRANSLATE(B584,""en"",""ar"")"),"معلومات شخصية")</f>
        <v>معلومات شخصية</v>
      </c>
      <c r="E584" s="67" t="str">
        <f>IFERROR(__xludf.DUMMYFUNCTION("GOOGLETRANSLATE(B584,""en"",""fr"")"),"Informations personnelles")</f>
        <v>Informations personnelles</v>
      </c>
      <c r="F584" s="67" t="str">
        <f>IFERROR(__xludf.DUMMYFUNCTION("GOOGLETRANSLATE(B584,""en"",""tr"")"),"Kişisel bilgi")</f>
        <v>Kişisel bilgi</v>
      </c>
      <c r="G584" s="67" t="str">
        <f>IFERROR(__xludf.DUMMYFUNCTION("GOOGLETRANSLATE(B584,""en"",""ru"")"),"Личная информация")</f>
        <v>Личная информация</v>
      </c>
      <c r="H584" s="67" t="str">
        <f>IFERROR(__xludf.DUMMYFUNCTION("GOOGLETRANSLATE(B584,""en"",""it"")"),"Informazioni personali")</f>
        <v>Informazioni personali</v>
      </c>
      <c r="I584" s="67" t="str">
        <f>IFERROR(__xludf.DUMMYFUNCTION("GOOGLETRANSLATE(B584,""en"",""de"")"),"Persönliche Informationen")</f>
        <v>Persönliche Informationen</v>
      </c>
      <c r="J584" s="67" t="str">
        <f>IFERROR(__xludf.DUMMYFUNCTION("GOOGLETRANSLATE(B584,""en"",""ko"")"),"개인적인 정보")</f>
        <v>개인적인 정보</v>
      </c>
      <c r="K584" s="67" t="str">
        <f>IFERROR(__xludf.DUMMYFUNCTION("GOOGLETRANSLATE(B584,""en"",""zh"")"),"个人信息")</f>
        <v>个人信息</v>
      </c>
      <c r="L584" s="67" t="str">
        <f>IFERROR(__xludf.DUMMYFUNCTION("GOOGLETRANSLATE(B584,""en"",""es"")"),"Información personal")</f>
        <v>Información personal</v>
      </c>
      <c r="M584" s="66" t="str">
        <f>IFERROR(__xludf.DUMMYFUNCTION("GOOGLETRANSLATE(B584,""en"",""iw"")"),"מידע אישי")</f>
        <v>מידע אישי</v>
      </c>
      <c r="N584" s="67" t="str">
        <f>IFERROR(__xludf.DUMMYFUNCTION("GOOGLETRANSLATE(B584,""en"",""bn"")"),"ব্যাক্তিগত তথ্য")</f>
        <v>ব্যাক্তিগত তথ্য</v>
      </c>
      <c r="O584" s="4" t="str">
        <f>IFERROR(__xludf.DUMMYFUNCTION("GOOGLETRANSLATE(B584,""en"",""pt"")"),"Informação pessoal")</f>
        <v>Informação pessoal</v>
      </c>
    </row>
    <row r="585">
      <c r="A585" s="89" t="s">
        <v>1381</v>
      </c>
      <c r="B585" s="92" t="s">
        <v>1382</v>
      </c>
      <c r="C585" s="66" t="str">
        <f>IFERROR(__xludf.DUMMYFUNCTION("GOOGLETRANSLATE(B585,""en"",""hi"")"),"अनुमति का अनुरोध करें")</f>
        <v>अनुमति का अनुरोध करें</v>
      </c>
      <c r="D585" s="67" t="str">
        <f>IFERROR(__xludf.DUMMYFUNCTION("GOOGLETRANSLATE(B585,""en"",""ar"")"),"طلب إذن")</f>
        <v>طلب إذن</v>
      </c>
      <c r="E585" s="67" t="str">
        <f>IFERROR(__xludf.DUMMYFUNCTION("GOOGLETRANSLATE(B585,""en"",""fr"")"),"Demander la permission")</f>
        <v>Demander la permission</v>
      </c>
      <c r="F585" s="67" t="str">
        <f>IFERROR(__xludf.DUMMYFUNCTION("GOOGLETRANSLATE(B585,""en"",""tr"")"),"İzin İste")</f>
        <v>İzin İste</v>
      </c>
      <c r="G585" s="67" t="str">
        <f>IFERROR(__xludf.DUMMYFUNCTION("GOOGLETRANSLATE(B585,""en"",""ru"")"),"Просить разрешение")</f>
        <v>Просить разрешение</v>
      </c>
      <c r="H585" s="67" t="str">
        <f>IFERROR(__xludf.DUMMYFUNCTION("GOOGLETRANSLATE(B585,""en"",""it"")"),"Richiesta di permesso")</f>
        <v>Richiesta di permesso</v>
      </c>
      <c r="I585" s="67" t="str">
        <f>IFERROR(__xludf.DUMMYFUNCTION("GOOGLETRANSLATE(B585,""en"",""de"")"),"Um Erlaubnis bitten")</f>
        <v>Um Erlaubnis bitten</v>
      </c>
      <c r="J585" s="67" t="str">
        <f>IFERROR(__xludf.DUMMYFUNCTION("GOOGLETRANSLATE(B585,""en"",""ko"")"),"권한 요청")</f>
        <v>권한 요청</v>
      </c>
      <c r="K585" s="67" t="str">
        <f>IFERROR(__xludf.DUMMYFUNCTION("GOOGLETRANSLATE(B585,""en"",""zh"")"),"请求许可")</f>
        <v>请求许可</v>
      </c>
      <c r="L585" s="67" t="str">
        <f>IFERROR(__xludf.DUMMYFUNCTION("GOOGLETRANSLATE(B585,""en"",""es"")"),"Pedir permiso")</f>
        <v>Pedir permiso</v>
      </c>
      <c r="M585" s="66" t="str">
        <f>IFERROR(__xludf.DUMMYFUNCTION("GOOGLETRANSLATE(B585,""en"",""iw"")"),"בקש רשות")</f>
        <v>בקש רשות</v>
      </c>
      <c r="N585" s="67" t="str">
        <f>IFERROR(__xludf.DUMMYFUNCTION("GOOGLETRANSLATE(B585,""en"",""bn"")"),"অনুমতির অনুরোধ")</f>
        <v>অনুমতির অনুরোধ</v>
      </c>
      <c r="O585" s="4" t="str">
        <f>IFERROR(__xludf.DUMMYFUNCTION("GOOGLETRANSLATE(B585,""en"",""pt"")"),"Solicitar permissão")</f>
        <v>Solicitar permissão</v>
      </c>
    </row>
    <row r="586">
      <c r="A586" s="89" t="s">
        <v>1383</v>
      </c>
      <c r="B586" s="92" t="s">
        <v>1384</v>
      </c>
      <c r="C586" s="66" t="str">
        <f>IFERROR(__xludf.DUMMYFUNCTION("GOOGLETRANSLATE(B586,""en"",""hi"")"),"आगामी सवारी")</f>
        <v>आगामी सवारी</v>
      </c>
      <c r="D586" s="67" t="str">
        <f>IFERROR(__xludf.DUMMYFUNCTION("GOOGLETRANSLATE(B586,""en"",""ar"")"),"الرحلات القادمة")</f>
        <v>الرحلات القادمة</v>
      </c>
      <c r="E586" s="67" t="str">
        <f>IFERROR(__xludf.DUMMYFUNCTION("GOOGLETRANSLATE(B586,""en"",""fr"")"),"Manèges à venir")</f>
        <v>Manèges à venir</v>
      </c>
      <c r="F586" s="67" t="str">
        <f>IFERROR(__xludf.DUMMYFUNCTION("GOOGLETRANSLATE(B586,""en"",""tr"")"),"Yaklaşan Yolculuklar")</f>
        <v>Yaklaşan Yolculuklar</v>
      </c>
      <c r="G586" s="67" t="str">
        <f>IFERROR(__xludf.DUMMYFUNCTION("GOOGLETRANSLATE(B586,""en"",""ru"")"),"Предстоящие поездки")</f>
        <v>Предстоящие поездки</v>
      </c>
      <c r="H586" s="67" t="str">
        <f>IFERROR(__xludf.DUMMYFUNCTION("GOOGLETRANSLATE(B586,""en"",""it"")"),"Prossime corse")</f>
        <v>Prossime corse</v>
      </c>
      <c r="I586" s="67" t="str">
        <f>IFERROR(__xludf.DUMMYFUNCTION("GOOGLETRANSLATE(B586,""en"",""de"")"),"Kommende Fahrten")</f>
        <v>Kommende Fahrten</v>
      </c>
      <c r="J586" s="67" t="str">
        <f>IFERROR(__xludf.DUMMYFUNCTION("GOOGLETRANSLATE(B586,""en"",""ko"")"),"다가오는 차량 서비스")</f>
        <v>다가오는 차량 서비스</v>
      </c>
      <c r="K586" s="67" t="str">
        <f>IFERROR(__xludf.DUMMYFUNCTION("GOOGLETRANSLATE(B586,""en"",""zh"")"),"即将推出的游乐设施")</f>
        <v>即将推出的游乐设施</v>
      </c>
      <c r="L586" s="67" t="str">
        <f>IFERROR(__xludf.DUMMYFUNCTION("GOOGLETRANSLATE(B586,""en"",""es"")"),"Próximos viajes")</f>
        <v>Próximos viajes</v>
      </c>
      <c r="M586" s="66" t="str">
        <f>IFERROR(__xludf.DUMMYFUNCTION("GOOGLETRANSLATE(B586,""en"",""iw"")"),"נסיעות הקרובות")</f>
        <v>נסיעות הקרובות</v>
      </c>
      <c r="N586" s="67" t="str">
        <f>IFERROR(__xludf.DUMMYFUNCTION("GOOGLETRANSLATE(B586,""en"",""bn"")"),"আসন্ন রাইডস")</f>
        <v>আসন্ন রাইডস</v>
      </c>
      <c r="O586" s="4" t="str">
        <f>IFERROR(__xludf.DUMMYFUNCTION("GOOGLETRANSLATE(B586,""en"",""pt"")"),"Próximos passeios")</f>
        <v>Próximos passeios</v>
      </c>
    </row>
    <row r="587">
      <c r="A587" s="89" t="s">
        <v>1385</v>
      </c>
      <c r="B587" s="92" t="s">
        <v>1386</v>
      </c>
      <c r="C587" s="66" t="str">
        <f>IFERROR(__xludf.DUMMYFUNCTION("GOOGLETRANSLATE(B587,""en"",""hi"")"),"पूरी की गई सवारी")</f>
        <v>पूरी की गई सवारी</v>
      </c>
      <c r="D587" s="67" t="str">
        <f>IFERROR(__xludf.DUMMYFUNCTION("GOOGLETRANSLATE(B587,""en"",""ar"")"),"الرحلات المكتملة")</f>
        <v>الرحلات المكتملة</v>
      </c>
      <c r="E587" s="67" t="str">
        <f>IFERROR(__xludf.DUMMYFUNCTION("GOOGLETRANSLATE(B587,""en"",""fr"")"),"Promenades terminées")</f>
        <v>Promenades terminées</v>
      </c>
      <c r="F587" s="67" t="str">
        <f>IFERROR(__xludf.DUMMYFUNCTION("GOOGLETRANSLATE(B587,""en"",""tr"")"),"Tamamlanan Sürüşler")</f>
        <v>Tamamlanan Sürüşler</v>
      </c>
      <c r="G587" s="67" t="str">
        <f>IFERROR(__xludf.DUMMYFUNCTION("GOOGLETRANSLATE(B587,""en"",""ru"")"),"Завершенные поездки")</f>
        <v>Завершенные поездки</v>
      </c>
      <c r="H587" s="67" t="str">
        <f>IFERROR(__xludf.DUMMYFUNCTION("GOOGLETRANSLATE(B587,""en"",""it"")"),"Corse completate")</f>
        <v>Corse completate</v>
      </c>
      <c r="I587" s="67" t="str">
        <f>IFERROR(__xludf.DUMMYFUNCTION("GOOGLETRANSLATE(B587,""en"",""de"")"),"Abgeschlossene Fahrten")</f>
        <v>Abgeschlossene Fahrten</v>
      </c>
      <c r="J587" s="67" t="str">
        <f>IFERROR(__xludf.DUMMYFUNCTION("GOOGLETRANSLATE(B587,""en"",""ko"")"),"완료된 라이드")</f>
        <v>완료된 라이드</v>
      </c>
      <c r="K587" s="67" t="str">
        <f>IFERROR(__xludf.DUMMYFUNCTION("GOOGLETRANSLATE(B587,""en"",""zh"")"),"已完成的游乐设施")</f>
        <v>已完成的游乐设施</v>
      </c>
      <c r="L587" s="67" t="str">
        <f>IFERROR(__xludf.DUMMYFUNCTION("GOOGLETRANSLATE(B587,""en"",""es"")"),"Paseos completados")</f>
        <v>Paseos completados</v>
      </c>
      <c r="M587" s="66" t="str">
        <f>IFERROR(__xludf.DUMMYFUNCTION("GOOGLETRANSLATE(B587,""en"",""iw"")"),"רכיבות שהושלמו")</f>
        <v>רכיבות שהושלמו</v>
      </c>
      <c r="N587" s="67" t="str">
        <f>IFERROR(__xludf.DUMMYFUNCTION("GOOGLETRANSLATE(B587,""en"",""bn"")"),"সম্পূর্ণ রাইড")</f>
        <v>সম্পূর্ণ রাইড</v>
      </c>
      <c r="O587" s="4" t="str">
        <f>IFERROR(__xludf.DUMMYFUNCTION("GOOGLETRANSLATE(B587,""en"",""pt"")"),"Passeios concluídos")</f>
        <v>Passeios concluídos</v>
      </c>
    </row>
    <row r="588">
      <c r="A588" s="89" t="s">
        <v>1387</v>
      </c>
      <c r="B588" s="92" t="s">
        <v>1388</v>
      </c>
      <c r="C588" s="66" t="str">
        <f>IFERROR(__xludf.DUMMYFUNCTION("GOOGLETRANSLATE(B588,""en"",""hi"")"),"रद्द की गई सवारी")</f>
        <v>रद्द की गई सवारी</v>
      </c>
      <c r="D588" s="67" t="str">
        <f>IFERROR(__xludf.DUMMYFUNCTION("GOOGLETRANSLATE(B588,""en"",""ar"")"),"الرحلات الملغاة")</f>
        <v>الرحلات الملغاة</v>
      </c>
      <c r="E588" s="67" t="str">
        <f>IFERROR(__xludf.DUMMYFUNCTION("GOOGLETRANSLATE(B588,""en"",""fr"")"),"Courses annulées")</f>
        <v>Courses annulées</v>
      </c>
      <c r="F588" s="67" t="str">
        <f>IFERROR(__xludf.DUMMYFUNCTION("GOOGLETRANSLATE(B588,""en"",""tr"")"),"İptal Edilen Yolculuklar")</f>
        <v>İptal Edilen Yolculuklar</v>
      </c>
      <c r="G588" s="67" t="str">
        <f>IFERROR(__xludf.DUMMYFUNCTION("GOOGLETRANSLATE(B588,""en"",""ru"")"),"Отмененные поездки")</f>
        <v>Отмененные поездки</v>
      </c>
      <c r="H588" s="67" t="str">
        <f>IFERROR(__xludf.DUMMYFUNCTION("GOOGLETRANSLATE(B588,""en"",""it"")"),"Corse annullate")</f>
        <v>Corse annullate</v>
      </c>
      <c r="I588" s="67" t="str">
        <f>IFERROR(__xludf.DUMMYFUNCTION("GOOGLETRANSLATE(B588,""en"",""de"")"),"Abgesagte Fahrten")</f>
        <v>Abgesagte Fahrten</v>
      </c>
      <c r="J588" s="67" t="str">
        <f>IFERROR(__xludf.DUMMYFUNCTION("GOOGLETRANSLATE(B588,""en"",""ko"")"),"취소된 라이드")</f>
        <v>취소된 라이드</v>
      </c>
      <c r="K588" s="67" t="str">
        <f>IFERROR(__xludf.DUMMYFUNCTION("GOOGLETRANSLATE(B588,""en"",""zh"")"),"取消的游乐设施")</f>
        <v>取消的游乐设施</v>
      </c>
      <c r="L588" s="67" t="str">
        <f>IFERROR(__xludf.DUMMYFUNCTION("GOOGLETRANSLATE(B588,""en"",""es"")"),"Viajes cancelados")</f>
        <v>Viajes cancelados</v>
      </c>
      <c r="M588" s="66" t="str">
        <f>IFERROR(__xludf.DUMMYFUNCTION("GOOGLETRANSLATE(B588,""en"",""iw"")"),"נסיעות שבוטלו")</f>
        <v>נסיעות שבוטלו</v>
      </c>
      <c r="N588" s="67" t="str">
        <f>IFERROR(__xludf.DUMMYFUNCTION("GOOGLETRANSLATE(B588,""en"",""bn"")"),"রাইড বাতিল করা হয়েছে")</f>
        <v>রাইড বাতিল করা হয়েছে</v>
      </c>
      <c r="O588" s="4" t="str">
        <f>IFERROR(__xludf.DUMMYFUNCTION("GOOGLETRANSLATE(B588,""en"",""pt"")"),"Passeios cancelados")</f>
        <v>Passeios cancelados</v>
      </c>
    </row>
    <row r="589">
      <c r="A589" s="89" t="s">
        <v>1389</v>
      </c>
      <c r="B589" s="92" t="s">
        <v>1390</v>
      </c>
      <c r="C589" s="66" t="str">
        <f>IFERROR(__xludf.DUMMYFUNCTION("GOOGLETRANSLATE(B589,""en"",""hi"")"),"कोई पसंदीदा स्थान नहीं मिला")</f>
        <v>कोई पसंदीदा स्थान नहीं मिला</v>
      </c>
      <c r="D589" s="67" t="str">
        <f>IFERROR(__xludf.DUMMYFUNCTION("GOOGLETRANSLATE(B589,""en"",""ar"")"),"لم يتم العثور على الموقع المفضل")</f>
        <v>لم يتم العثور على الموقع المفضل</v>
      </c>
      <c r="E589" s="67" t="str">
        <f>IFERROR(__xludf.DUMMYFUNCTION("GOOGLETRANSLATE(B589,""en"",""fr"")"),"Aucun emplacement favori n'a été trouvé")</f>
        <v>Aucun emplacement favori n'a été trouvé</v>
      </c>
      <c r="F589" s="67" t="str">
        <f>IFERROR(__xludf.DUMMYFUNCTION("GOOGLETRANSLATE(B589,""en"",""tr"")"),"Favori konum bulunamadı")</f>
        <v>Favori konum bulunamadı</v>
      </c>
      <c r="G589" s="67" t="str">
        <f>IFERROR(__xludf.DUMMYFUNCTION("GOOGLETRANSLATE(B589,""en"",""ru"")"),"Любимое место не найдено")</f>
        <v>Любимое место не найдено</v>
      </c>
      <c r="H589" s="67" t="str">
        <f>IFERROR(__xludf.DUMMYFUNCTION("GOOGLETRANSLATE(B589,""en"",""it"")"),"Non è stata trovata alcuna posizione preferita")</f>
        <v>Non è stata trovata alcuna posizione preferita</v>
      </c>
      <c r="I589" s="67" t="str">
        <f>IFERROR(__xludf.DUMMYFUNCTION("GOOGLETRANSLATE(B589,""en"",""de"")"),"Es wurde kein Lieblingsort gefunden")</f>
        <v>Es wurde kein Lieblingsort gefunden</v>
      </c>
      <c r="J589" s="67" t="str">
        <f>IFERROR(__xludf.DUMMYFUNCTION("GOOGLETRANSLATE(B589,""en"",""ko"")"),"즐겨찾는 위치를 찾을 수 없습니다.")</f>
        <v>즐겨찾는 위치를 찾을 수 없습니다.</v>
      </c>
      <c r="K589" s="67" t="str">
        <f>IFERROR(__xludf.DUMMYFUNCTION("GOOGLETRANSLATE(B589,""en"",""zh"")"),"没有找到最喜欢的地点")</f>
        <v>没有找到最喜欢的地点</v>
      </c>
      <c r="L589" s="67" t="str">
        <f>IFERROR(__xludf.DUMMYFUNCTION("GOOGLETRANSLATE(B589,""en"",""es"")"),"No se ha encontrado ninguna ubicación favorita")</f>
        <v>No se ha encontrado ninguna ubicación favorita</v>
      </c>
      <c r="M589" s="66" t="str">
        <f>IFERROR(__xludf.DUMMYFUNCTION("GOOGLETRANSLATE(B589,""en"",""iw"")"),"לא נמצא מיקום מועדף")</f>
        <v>לא נמצא מיקום מועדף</v>
      </c>
      <c r="N589" s="67" t="str">
        <f>IFERROR(__xludf.DUMMYFUNCTION("GOOGLETRANSLATE(B589,""en"",""bn"")"),"কোন প্রিয় স্থান খুঁজে পাওয়া যায় নি")</f>
        <v>কোন প্রিয় স্থান খুঁজে পাওয়া যায় নি</v>
      </c>
      <c r="O589" s="4" t="str">
        <f>IFERROR(__xludf.DUMMYFUNCTION("GOOGLETRANSLATE(B589,""en"",""pt"")"),"Nenhum local favorito foi encontrado")</f>
        <v>Nenhum local favorito foi encontrado</v>
      </c>
    </row>
    <row r="590">
      <c r="A590" s="89" t="s">
        <v>1391</v>
      </c>
      <c r="B590" s="92" t="s">
        <v>1392</v>
      </c>
      <c r="C590" s="66" t="str">
        <f>IFERROR(__xludf.DUMMYFUNCTION("GOOGLETRANSLATE(B590,""en"",""hi"")"),"कोई हालिया लेन-देन नहीं...!")</f>
        <v>कोई हालिया लेन-देन नहीं...!</v>
      </c>
      <c r="D590" s="67" t="str">
        <f>IFERROR(__xludf.DUMMYFUNCTION("GOOGLETRANSLATE(B590,""en"",""ar"")"),"لا توجد معاملات حديثة...!")</f>
        <v>لا توجد معاملات حديثة...!</v>
      </c>
      <c r="E590" s="67" t="str">
        <f>IFERROR(__xludf.DUMMYFUNCTION("GOOGLETRANSLATE(B590,""en"",""fr"")"),"Aucune transaction récente...!")</f>
        <v>Aucune transaction récente...!</v>
      </c>
      <c r="F590" s="67" t="str">
        <f>IFERROR(__xludf.DUMMYFUNCTION("GOOGLETRANSLATE(B590,""en"",""tr"")"),"Güncel işlem yok...!")</f>
        <v>Güncel işlem yok...!</v>
      </c>
      <c r="G590" s="67" t="str">
        <f>IFERROR(__xludf.DUMMYFUNCTION("GOOGLETRANSLATE(B590,""en"",""ru"")"),"Нет недавних транзакций...!")</f>
        <v>Нет недавних транзакций...!</v>
      </c>
      <c r="H590" s="67" t="str">
        <f>IFERROR(__xludf.DUMMYFUNCTION("GOOGLETRANSLATE(B590,""en"",""it"")"),"Nessuna transazione recente...!")</f>
        <v>Nessuna transazione recente...!</v>
      </c>
      <c r="I590" s="67" t="str">
        <f>IFERROR(__xludf.DUMMYFUNCTION("GOOGLETRANSLATE(B590,""en"",""de"")"),"Keine aktuellen Transaktionen...!")</f>
        <v>Keine aktuellen Transaktionen...!</v>
      </c>
      <c r="J590" s="67" t="str">
        <f>IFERROR(__xludf.DUMMYFUNCTION("GOOGLETRANSLATE(B590,""en"",""ko"")"),"최근 거래가 없습니다...!")</f>
        <v>최근 거래가 없습니다...!</v>
      </c>
      <c r="K590" s="67" t="str">
        <f>IFERROR(__xludf.DUMMYFUNCTION("GOOGLETRANSLATE(B590,""en"",""zh"")"),"最近没有交易...！")</f>
        <v>最近没有交易...！</v>
      </c>
      <c r="L590" s="67" t="str">
        <f>IFERROR(__xludf.DUMMYFUNCTION("GOOGLETRANSLATE(B590,""en"",""es"")"),"¡No hay transacciones recientes...!")</f>
        <v>¡No hay transacciones recientes...!</v>
      </c>
      <c r="M590" s="66" t="str">
        <f>IFERROR(__xludf.DUMMYFUNCTION("GOOGLETRANSLATE(B590,""en"",""iw"")"),"אין עסקאות אחרונות...!")</f>
        <v>אין עסקאות אחרונות...!</v>
      </c>
      <c r="N590" s="67" t="str">
        <f>IFERROR(__xludf.DUMMYFUNCTION("GOOGLETRANSLATE(B590,""en"",""bn"")"),"কোনো সাম্প্রতিক লেনদেন নেই...!")</f>
        <v>কোনো সাম্প্রতিক লেনদেন নেই...!</v>
      </c>
      <c r="O590" s="4" t="str">
        <f>IFERROR(__xludf.DUMMYFUNCTION("GOOGLETRANSLATE(B590,""en"",""pt"")"),"Nenhuma transação recente...!")</f>
        <v>Nenhuma transação recente...!</v>
      </c>
    </row>
    <row r="591">
      <c r="A591" s="89" t="s">
        <v>1393</v>
      </c>
      <c r="B591" s="92" t="s">
        <v>1394</v>
      </c>
      <c r="C591" s="66" t="str">
        <f>IFERROR(__xludf.DUMMYFUNCTION("GOOGLETRANSLATE(B591,""en"",""hi"")"),"मानचित्र थीम")</f>
        <v>मानचित्र थीम</v>
      </c>
      <c r="D591" s="67" t="str">
        <f>IFERROR(__xludf.DUMMYFUNCTION("GOOGLETRANSLATE(B591,""en"",""ar"")"),"موضوع الخريطة")</f>
        <v>موضوع الخريطة</v>
      </c>
      <c r="E591" s="67" t="str">
        <f>IFERROR(__xludf.DUMMYFUNCTION("GOOGLETRANSLATE(B591,""en"",""fr"")"),"Thème de la carte")</f>
        <v>Thème de la carte</v>
      </c>
      <c r="F591" s="67" t="str">
        <f>IFERROR(__xludf.DUMMYFUNCTION("GOOGLETRANSLATE(B591,""en"",""tr"")"),"Harita Teması")</f>
        <v>Harita Teması</v>
      </c>
      <c r="G591" s="67" t="str">
        <f>IFERROR(__xludf.DUMMYFUNCTION("GOOGLETRANSLATE(B591,""en"",""ru"")"),"Тема карты")</f>
        <v>Тема карты</v>
      </c>
      <c r="H591" s="67" t="str">
        <f>IFERROR(__xludf.DUMMYFUNCTION("GOOGLETRANSLATE(B591,""en"",""it"")"),"Tema della mappa")</f>
        <v>Tema della mappa</v>
      </c>
      <c r="I591" s="67" t="str">
        <f>IFERROR(__xludf.DUMMYFUNCTION("GOOGLETRANSLATE(B591,""en"",""de"")"),"Kartenthema")</f>
        <v>Kartenthema</v>
      </c>
      <c r="J591" s="67" t="str">
        <f>IFERROR(__xludf.DUMMYFUNCTION("GOOGLETRANSLATE(B591,""en"",""ko"")"),"지도 테마")</f>
        <v>지도 테마</v>
      </c>
      <c r="K591" s="67" t="str">
        <f>IFERROR(__xludf.DUMMYFUNCTION("GOOGLETRANSLATE(B591,""en"",""zh"")"),"地图主题")</f>
        <v>地图主题</v>
      </c>
      <c r="L591" s="67" t="str">
        <f>IFERROR(__xludf.DUMMYFUNCTION("GOOGLETRANSLATE(B591,""en"",""es"")"),"Tema del mapa")</f>
        <v>Tema del mapa</v>
      </c>
      <c r="M591" s="66" t="str">
        <f>IFERROR(__xludf.DUMMYFUNCTION("GOOGLETRANSLATE(B591,""en"",""iw"")"),"נושא המפה")</f>
        <v>נושא המפה</v>
      </c>
      <c r="N591" s="67" t="str">
        <f>IFERROR(__xludf.DUMMYFUNCTION("GOOGLETRANSLATE(B591,""en"",""bn"")"),"মানচিত্র থিম")</f>
        <v>মানচিত্র থিম</v>
      </c>
      <c r="O591" s="4" t="str">
        <f>IFERROR(__xludf.DUMMYFUNCTION("GOOGLETRANSLATE(B591,""en"",""pt"")"),"Tema do mapa")</f>
        <v>Tema do mapa</v>
      </c>
    </row>
    <row r="592">
      <c r="A592" s="89" t="s">
        <v>1395</v>
      </c>
      <c r="B592" s="92" t="s">
        <v>1396</v>
      </c>
      <c r="C592" s="66" t="str">
        <f>IFERROR(__xludf.DUMMYFUNCTION("GOOGLETRANSLATE(B592,""en"",""hi"")"),"वॉलेट में पैसे जोड़ें")</f>
        <v>वॉलेट में पैसे जोड़ें</v>
      </c>
      <c r="D592" s="67" t="str">
        <f>IFERROR(__xludf.DUMMYFUNCTION("GOOGLETRANSLATE(B592,""en"",""ar"")"),"إضافة المال إلى المحفظة")</f>
        <v>إضافة المال إلى المحفظة</v>
      </c>
      <c r="E592" s="67" t="str">
        <f>IFERROR(__xludf.DUMMYFUNCTION("GOOGLETRANSLATE(B592,""en"",""fr"")"),"Ajouter de l'argent au portefeuille")</f>
        <v>Ajouter de l'argent au portefeuille</v>
      </c>
      <c r="F592" s="67" t="str">
        <f>IFERROR(__xludf.DUMMYFUNCTION("GOOGLETRANSLATE(B592,""en"",""tr"")"),"Cüzdana Para Ekle")</f>
        <v>Cüzdana Para Ekle</v>
      </c>
      <c r="G592" s="67" t="str">
        <f>IFERROR(__xludf.DUMMYFUNCTION("GOOGLETRANSLATE(B592,""en"",""ru"")"),"Добавить деньги в кошелек")</f>
        <v>Добавить деньги в кошелек</v>
      </c>
      <c r="H592" s="67" t="str">
        <f>IFERROR(__xludf.DUMMYFUNCTION("GOOGLETRANSLATE(B592,""en"",""it"")"),"Aggiungi denaro al portafoglio")</f>
        <v>Aggiungi denaro al portafoglio</v>
      </c>
      <c r="I592" s="67" t="str">
        <f>IFERROR(__xludf.DUMMYFUNCTION("GOOGLETRANSLATE(B592,""en"",""de"")"),"Geld zur Brieftasche hinzufügen")</f>
        <v>Geld zur Brieftasche hinzufügen</v>
      </c>
      <c r="J592" s="67" t="str">
        <f>IFERROR(__xludf.DUMMYFUNCTION("GOOGLETRANSLATE(B592,""en"",""ko"")"),"지갑에 금액 추가")</f>
        <v>지갑에 금액 추가</v>
      </c>
      <c r="K592" s="67" t="str">
        <f>IFERROR(__xludf.DUMMYFUNCTION("GOOGLETRANSLATE(B592,""en"",""zh"")"),"将钱添加到钱包")</f>
        <v>将钱添加到钱包</v>
      </c>
      <c r="L592" s="67" t="str">
        <f>IFERROR(__xludf.DUMMYFUNCTION("GOOGLETRANSLATE(B592,""en"",""es"")"),"Agregar dinero a la billetera")</f>
        <v>Agregar dinero a la billetera</v>
      </c>
      <c r="M592" s="66" t="str">
        <f>IFERROR(__xludf.DUMMYFUNCTION("GOOGLETRANSLATE(B592,""en"",""iw"")"),"הוסף כסף לארנק")</f>
        <v>הוסף כסף לארנק</v>
      </c>
      <c r="N592" s="67" t="str">
        <f>IFERROR(__xludf.DUMMYFUNCTION("GOOGLETRANSLATE(B592,""en"",""bn"")"),"ওয়ালেটে টাকা যোগ করুন")</f>
        <v>ওয়ালেটে টাকা যোগ করুন</v>
      </c>
      <c r="O592" s="4" t="str">
        <f>IFERROR(__xludf.DUMMYFUNCTION("GOOGLETRANSLATE(B592,""en"",""pt"")"),"Adicionar dinheiro à carteira")</f>
        <v>Adicionar dinheiro à carteira</v>
      </c>
    </row>
    <row r="593">
      <c r="A593" s="89" t="s">
        <v>1397</v>
      </c>
      <c r="B593" s="92" t="s">
        <v>1398</v>
      </c>
      <c r="C593" s="66" t="str">
        <f>IFERROR(__xludf.DUMMYFUNCTION("GOOGLETRANSLATE(B593,""en"",""hi"")"),"गिराने का तरीका")</f>
        <v>गिराने का तरीका</v>
      </c>
      <c r="D593" s="67" t="str">
        <f>IFERROR(__xludf.DUMMYFUNCTION("GOOGLETRANSLATE(B593,""en"",""ar"")"),"طريقة لإسقاط")</f>
        <v>طريقة لإسقاط</v>
      </c>
      <c r="E593" s="67" t="str">
        <f>IFERROR(__xludf.DUMMYFUNCTION("GOOGLETRANSLATE(B593,""en"",""fr"")"),"Façon de laisser tomber")</f>
        <v>Façon de laisser tomber</v>
      </c>
      <c r="F593" s="67" t="str">
        <f>IFERROR(__xludf.DUMMYFUNCTION("GOOGLETRANSLATE(B593,""en"",""tr"")"),"Bırakmanın Yolu")</f>
        <v>Bırakmanın Yolu</v>
      </c>
      <c r="G593" s="67" t="str">
        <f>IFERROR(__xludf.DUMMYFUNCTION("GOOGLETRANSLATE(B593,""en"",""ru"")"),"Способ бросить")</f>
        <v>Способ бросить</v>
      </c>
      <c r="H593" s="67" t="str">
        <f>IFERROR(__xludf.DUMMYFUNCTION("GOOGLETRANSLATE(B593,""en"",""it"")"),"Modo di cadere")</f>
        <v>Modo di cadere</v>
      </c>
      <c r="I593" s="67" t="str">
        <f>IFERROR(__xludf.DUMMYFUNCTION("GOOGLETRANSLATE(B593,""en"",""de"")"),"Weg zum Drop")</f>
        <v>Weg zum Drop</v>
      </c>
      <c r="J593" s="67" t="str">
        <f>IFERROR(__xludf.DUMMYFUNCTION("GOOGLETRANSLATE(B593,""en"",""ko"")"),"드롭 방법")</f>
        <v>드롭 방법</v>
      </c>
      <c r="K593" s="67" t="str">
        <f>IFERROR(__xludf.DUMMYFUNCTION("GOOGLETRANSLATE(B593,""en"",""zh"")"),"掉落方式")</f>
        <v>掉落方式</v>
      </c>
      <c r="L593" s="67" t="str">
        <f>IFERROR(__xludf.DUMMYFUNCTION("GOOGLETRANSLATE(B593,""en"",""es"")"),"Manera de caer")</f>
        <v>Manera de caer</v>
      </c>
      <c r="M593" s="66" t="str">
        <f>IFERROR(__xludf.DUMMYFUNCTION("GOOGLETRANSLATE(B593,""en"",""iw"")"),"דרך לרדת")</f>
        <v>דרך לרדת</v>
      </c>
      <c r="N593" s="67" t="str">
        <f>IFERROR(__xludf.DUMMYFUNCTION("GOOGLETRANSLATE(B593,""en"",""bn"")"),"ড্রপ করার উপায়")</f>
        <v>ড্রপ করার উপায়</v>
      </c>
      <c r="O593" s="4" t="str">
        <f>IFERROR(__xludf.DUMMYFUNCTION("GOOGLETRANSLATE(B593,""en"",""pt"")"),"Maneira de cair")</f>
        <v>Maneira de cair</v>
      </c>
    </row>
    <row r="594">
      <c r="A594" s="89" t="s">
        <v>1399</v>
      </c>
      <c r="B594" s="92" t="s">
        <v>1400</v>
      </c>
      <c r="C594" s="66" t="str">
        <f>IFERROR(__xludf.DUMMYFUNCTION("GOOGLETRANSLATE(B594,""en"",""hi"")"),"5 मिनट के बाद, अतिरिक्त प्रतीक्षा समय के लिए **/मिनट अधिभार लागू होता है।")</f>
        <v>5 मिनट के बाद, अतिरिक्त प्रतीक्षा समय के लिए **/मिनट अधिभार लागू होता है।</v>
      </c>
      <c r="D594" s="67" t="str">
        <f>IFERROR(__xludf.DUMMYFUNCTION("GOOGLETRANSLATE(B594,""en"",""ar"")"),"بعد 5 دقائق، يتم تطبيق تكلفة إضافية **/دقيقة مقابل وقت الانتظار الإضافي.")</f>
        <v>بعد 5 دقائق، يتم تطبيق تكلفة إضافية **/دقيقة مقابل وقت الانتظار الإضافي.</v>
      </c>
      <c r="E594" s="67" t="str">
        <f>IFERROR(__xludf.DUMMYFUNCTION("GOOGLETRANSLATE(B594,""en"",""fr"")"),"Au-delà de 5 minutes, un supplément **/min s'applique pour le temps d'attente supplémentaire.")</f>
        <v>Au-delà de 5 minutes, un supplément **/min s'applique pour le temps d'attente supplémentaire.</v>
      </c>
      <c r="F594" s="67" t="str">
        <f>IFERROR(__xludf.DUMMYFUNCTION("GOOGLETRANSLATE(B594,""en"",""tr"")"),"5 dakikadan sonra ilave bekleme süresi için **/dk ek ücret uygulanır.")</f>
        <v>5 dakikadan sonra ilave bekleme süresi için **/dk ek ücret uygulanır.</v>
      </c>
      <c r="G594" s="67" t="str">
        <f>IFERROR(__xludf.DUMMYFUNCTION("GOOGLETRANSLATE(B594,""en"",""ru"")"),"После 5 минут взимается дополнительная плата **/мин за дополнительное время ожидания.")</f>
        <v>После 5 минут взимается дополнительная плата **/мин за дополнительное время ожидания.</v>
      </c>
      <c r="H594" s="67" t="str">
        <f>IFERROR(__xludf.DUMMYFUNCTION("GOOGLETRANSLATE(B594,""en"",""it"")"),"Dopo 5 minuti si applica un supplemento **/min per ulteriore tempo di attesa.")</f>
        <v>Dopo 5 minuti si applica un supplemento **/min per ulteriore tempo di attesa.</v>
      </c>
      <c r="I594" s="67" t="str">
        <f>IFERROR(__xludf.DUMMYFUNCTION("GOOGLETRANSLATE(B594,""en"",""de"")"),"Nach 5 Minuten wird für die zusätzliche Wartezeit ein **/Min.-Zuschlag erhoben.")</f>
        <v>Nach 5 Minuten wird für die zusätzliche Wartezeit ein **/Min.-Zuschlag erhoben.</v>
      </c>
      <c r="J594" s="67" t="str">
        <f>IFERROR(__xludf.DUMMYFUNCTION("GOOGLETRANSLATE(B594,""en"",""ko"")"),"5분 이후에는 추가 대기 시간에 대해 **/분 추가 요금이 적용됩니다.")</f>
        <v>5분 이후에는 추가 대기 시간에 대해 **/분 추가 요금이 적용됩니다.</v>
      </c>
      <c r="K594" s="67" t="str">
        <f>IFERROR(__xludf.DUMMYFUNCTION("GOOGLETRANSLATE(B594,""en"",""zh"")"),"5 分钟后，额外等待时间将按 **/分钟收取附加费。")</f>
        <v>5 分钟后，额外等待时间将按 **/分钟收取附加费。</v>
      </c>
      <c r="L594" s="67" t="str">
        <f>IFERROR(__xludf.DUMMYFUNCTION("GOOGLETRANSLATE(B594,""en"",""es"")"),"Después de 5 minutos, se aplica un recargo **/min por tiempo de espera adicional.")</f>
        <v>Después de 5 minutos, se aplica un recargo **/min por tiempo de espera adicional.</v>
      </c>
      <c r="M594" s="66" t="str">
        <f>IFERROR(__xludf.DUMMYFUNCTION("GOOGLETRANSLATE(B594,""en"",""iw"")"),"לאחר 5 דקות, חלה תוספת של **/דקה עבור זמן המתנה נוסף.")</f>
        <v>לאחר 5 דקות, חלה תוספת של **/דקה עבור זמן המתנה נוסף.</v>
      </c>
      <c r="N594" s="67" t="str">
        <f>IFERROR(__xludf.DUMMYFUNCTION("GOOGLETRANSLATE(B594,""en"",""bn"")"),"5 মিনিটের পরে, অতিরিক্ত অপেক্ষার সময়ের জন্য একটি **/মিনিট সারচার্জ প্রযোজ্য।")</f>
        <v>5 মিনিটের পরে, অতিরিক্ত অপেক্ষার সময়ের জন্য একটি **/মিনিট সারচার্জ প্রযোজ্য।</v>
      </c>
      <c r="O594" s="4" t="str">
        <f>IFERROR(__xludf.DUMMYFUNCTION("GOOGLETRANSLATE(B594,""en"",""pt"")"),"Após 5 minutos, será aplicada uma sobretaxa de **/min para tempo de espera adicional.")</f>
        <v>Após 5 minutos, será aplicada uma sobretaxa de **/min para tempo de espera adicional.</v>
      </c>
    </row>
    <row r="595">
      <c r="A595" s="89" t="s">
        <v>1401</v>
      </c>
      <c r="B595" s="92" t="s">
        <v>954</v>
      </c>
      <c r="C595" s="66" t="str">
        <f>IFERROR(__xludf.DUMMYFUNCTION("GOOGLETRANSLATE(B595,""en"",""hi"")"),"संपर्क जोड़ना")</f>
        <v>संपर्क जोड़ना</v>
      </c>
      <c r="D595" s="67" t="str">
        <f>IFERROR(__xludf.DUMMYFUNCTION("GOOGLETRANSLATE(B595,""en"",""ar"")"),"أضف جهة اتصال")</f>
        <v>أضف جهة اتصال</v>
      </c>
      <c r="E595" s="67" t="str">
        <f>IFERROR(__xludf.DUMMYFUNCTION("GOOGLETRANSLATE(B595,""en"",""fr"")"),"Ajouter un contact")</f>
        <v>Ajouter un contact</v>
      </c>
      <c r="F595" s="67" t="str">
        <f>IFERROR(__xludf.DUMMYFUNCTION("GOOGLETRANSLATE(B595,""en"",""tr"")"),"Kişi Ekle")</f>
        <v>Kişi Ekle</v>
      </c>
      <c r="G595" s="67" t="str">
        <f>IFERROR(__xludf.DUMMYFUNCTION("GOOGLETRANSLATE(B595,""en"",""ru"")"),"Добавить контакт")</f>
        <v>Добавить контакт</v>
      </c>
      <c r="H595" s="67" t="str">
        <f>IFERROR(__xludf.DUMMYFUNCTION("GOOGLETRANSLATE(B595,""en"",""it"")"),"Aggiungi un contatto")</f>
        <v>Aggiungi un contatto</v>
      </c>
      <c r="I595" s="67" t="str">
        <f>IFERROR(__xludf.DUMMYFUNCTION("GOOGLETRANSLATE(B595,""en"",""de"")"),"Einen Kontakt hinzufügen")</f>
        <v>Einen Kontakt hinzufügen</v>
      </c>
      <c r="J595" s="67" t="str">
        <f>IFERROR(__xludf.DUMMYFUNCTION("GOOGLETRANSLATE(B595,""en"",""ko"")"),"연락처 추가")</f>
        <v>연락처 추가</v>
      </c>
      <c r="K595" s="67" t="str">
        <f>IFERROR(__xludf.DUMMYFUNCTION("GOOGLETRANSLATE(B595,""en"",""zh"")"),"添加联系人")</f>
        <v>添加联系人</v>
      </c>
      <c r="L595" s="67" t="str">
        <f>IFERROR(__xludf.DUMMYFUNCTION("GOOGLETRANSLATE(B595,""en"",""es"")"),"Añade un contacto")</f>
        <v>Añade un contacto</v>
      </c>
      <c r="M595" s="66" t="str">
        <f>IFERROR(__xludf.DUMMYFUNCTION("GOOGLETRANSLATE(B595,""en"",""iw"")"),"הוסף איש קשר")</f>
        <v>הוסף איש קשר</v>
      </c>
      <c r="N595" s="67" t="str">
        <f>IFERROR(__xludf.DUMMYFUNCTION("GOOGLETRANSLATE(B595,""en"",""bn"")"),"যোগাযোগের জন্য নাম সংযুক্ত করুন")</f>
        <v>যোগাযোগের জন্য নাম সংযুক্ত করুন</v>
      </c>
      <c r="O595" s="4" t="str">
        <f>IFERROR(__xludf.DUMMYFUNCTION("GOOGLETRANSLATE(B595,""en"",""pt"")"),"Adicionar um contato")</f>
        <v>Adicionar um contato</v>
      </c>
    </row>
    <row r="596">
      <c r="A596" s="89" t="s">
        <v>1402</v>
      </c>
      <c r="B596" s="92" t="s">
        <v>1403</v>
      </c>
      <c r="C596" s="66" t="str">
        <f>IFERROR(__xludf.DUMMYFUNCTION("GOOGLETRANSLATE(B596,""en"",""hi"")"),"कोई संपर्क नहीं जोड़ा गया..!")</f>
        <v>कोई संपर्क नहीं जोड़ा गया..!</v>
      </c>
      <c r="D596" s="67" t="str">
        <f>IFERROR(__xludf.DUMMYFUNCTION("GOOGLETRANSLATE(B596,""en"",""ar"")"),"لم تتم إضافة أي جهات اتصال..!")</f>
        <v>لم تتم إضافة أي جهات اتصال..!</v>
      </c>
      <c r="E596" s="67" t="str">
        <f>IFERROR(__xludf.DUMMYFUNCTION("GOOGLETRANSLATE(B596,""en"",""fr"")"),"Aucun contact n'a été ajouté..!")</f>
        <v>Aucun contact n'a été ajouté..!</v>
      </c>
      <c r="F596" s="67" t="str">
        <f>IFERROR(__xludf.DUMMYFUNCTION("GOOGLETRANSLATE(B596,""en"",""tr"")"),"Hiçbir kişi eklenmedi..!")</f>
        <v>Hiçbir kişi eklenmedi..!</v>
      </c>
      <c r="G596" s="67" t="str">
        <f>IFERROR(__xludf.DUMMYFUNCTION("GOOGLETRANSLATE(B596,""en"",""ru"")"),"Контакты не добавлены..!")</f>
        <v>Контакты не добавлены..!</v>
      </c>
      <c r="H596" s="67" t="str">
        <f>IFERROR(__xludf.DUMMYFUNCTION("GOOGLETRANSLATE(B596,""en"",""it"")"),"Nessun contatto è stato aggiunto..!")</f>
        <v>Nessun contatto è stato aggiunto..!</v>
      </c>
      <c r="I596" s="67" t="str">
        <f>IFERROR(__xludf.DUMMYFUNCTION("GOOGLETRANSLATE(B596,""en"",""de"")"),"Es wurden keine Kontakte hinzugefügt..!")</f>
        <v>Es wurden keine Kontakte hinzugefügt..!</v>
      </c>
      <c r="J596" s="67" t="str">
        <f>IFERROR(__xludf.DUMMYFUNCTION("GOOGLETRANSLATE(B596,""en"",""ko"")"),"추가된 연락처가 없습니다..!")</f>
        <v>추가된 연락처가 없습니다..!</v>
      </c>
      <c r="K596" s="67" t="str">
        <f>IFERROR(__xludf.DUMMYFUNCTION("GOOGLETRANSLATE(B596,""en"",""zh"")"),"尚未添加联系人..！")</f>
        <v>尚未添加联系人..！</v>
      </c>
      <c r="L596" s="67" t="str">
        <f>IFERROR(__xludf.DUMMYFUNCTION("GOOGLETRANSLATE(B596,""en"",""es"")"),"No se han agregado contactos..!")</f>
        <v>No se han agregado contactos..!</v>
      </c>
      <c r="M596" s="66" t="str">
        <f>IFERROR(__xludf.DUMMYFUNCTION("GOOGLETRANSLATE(B596,""en"",""iw"")"),"לא נוספו אנשי קשר..!")</f>
        <v>לא נוספו אנשי קשר..!</v>
      </c>
      <c r="N596" s="67" t="str">
        <f>IFERROR(__xludf.DUMMYFUNCTION("GOOGLETRANSLATE(B596,""en"",""bn"")"),"কোন পরিচিতি যোগ করা হয়নি..!")</f>
        <v>কোন পরিচিতি যোগ করা হয়নি..!</v>
      </c>
      <c r="O596" s="4" t="str">
        <f>IFERROR(__xludf.DUMMYFUNCTION("GOOGLETRANSLATE(B596,""en"",""pt"")"),"Nenhum contato foi adicionado..!")</f>
        <v>Nenhum contato foi adicionado..!</v>
      </c>
    </row>
    <row r="597">
      <c r="A597" s="89" t="s">
        <v>1404</v>
      </c>
      <c r="B597" s="92" t="s">
        <v>1405</v>
      </c>
      <c r="C597" s="66" t="str">
        <f>IFERROR(__xludf.DUMMYFUNCTION("GOOGLETRANSLATE(B597,""en"",""hi"")"),"कृपया अपनी सुरक्षा सुनिश्चित करने के लिए संपर्क जोड़ें।")</f>
        <v>कृपया अपनी सुरक्षा सुनिश्चित करने के लिए संपर्क जोड़ें।</v>
      </c>
      <c r="D597" s="67" t="str">
        <f>IFERROR(__xludf.DUMMYFUNCTION("GOOGLETRANSLATE(B597,""en"",""ar"")"),"الرجاء إضافة جهات الاتصال لضمان سلامتك.")</f>
        <v>الرجاء إضافة جهات الاتصال لضمان سلامتك.</v>
      </c>
      <c r="E597" s="67" t="str">
        <f>IFERROR(__xludf.DUMMYFUNCTION("GOOGLETRANSLATE(B597,""en"",""fr"")"),"Veuillez ajouter des contacts pour assurer votre sécurité.")</f>
        <v>Veuillez ajouter des contacts pour assurer votre sécurité.</v>
      </c>
      <c r="F597" s="67" t="str">
        <f>IFERROR(__xludf.DUMMYFUNCTION("GOOGLETRANSLATE(B597,""en"",""tr"")"),"Güvenliğinizi sağlamak için lütfen kişileri ekleyin.")</f>
        <v>Güvenliğinizi sağlamak için lütfen kişileri ekleyin.</v>
      </c>
      <c r="G597" s="67" t="str">
        <f>IFERROR(__xludf.DUMMYFUNCTION("GOOGLETRANSLATE(B597,""en"",""ru"")"),"Пожалуйста, добавьте контакты для обеспечения вашей безопасности.")</f>
        <v>Пожалуйста, добавьте контакты для обеспечения вашей безопасности.</v>
      </c>
      <c r="H597" s="67" t="str">
        <f>IFERROR(__xludf.DUMMYFUNCTION("GOOGLETRANSLATE(B597,""en"",""it"")"),"Aggiungi contatti per garantire la tua sicurezza.")</f>
        <v>Aggiungi contatti per garantire la tua sicurezza.</v>
      </c>
      <c r="I597" s="67" t="str">
        <f>IFERROR(__xludf.DUMMYFUNCTION("GOOGLETRANSLATE(B597,""en"",""de"")"),"Bitte fügen Sie Kontakte hinzu, um Ihre Sicherheit zu gewährleisten.")</f>
        <v>Bitte fügen Sie Kontakte hinzu, um Ihre Sicherheit zu gewährleisten.</v>
      </c>
      <c r="J597" s="67" t="str">
        <f>IFERROR(__xludf.DUMMYFUNCTION("GOOGLETRANSLATE(B597,""en"",""ko"")"),"안전을 위해 연락처를 추가해주세요.")</f>
        <v>안전을 위해 연락처를 추가해주세요.</v>
      </c>
      <c r="K597" s="67" t="str">
        <f>IFERROR(__xludf.DUMMYFUNCTION("GOOGLETRANSLATE(B597,""en"",""zh"")"),"请添加联系人以确保您的安全。")</f>
        <v>请添加联系人以确保您的安全。</v>
      </c>
      <c r="L597" s="67" t="str">
        <f>IFERROR(__xludf.DUMMYFUNCTION("GOOGLETRANSLATE(B597,""en"",""es"")"),"Por favor agregue contactos para garantizar su seguridad.")</f>
        <v>Por favor agregue contactos para garantizar su seguridad.</v>
      </c>
      <c r="M597" s="66" t="str">
        <f>IFERROR(__xludf.DUMMYFUNCTION("GOOGLETRANSLATE(B597,""en"",""iw"")"),"אנא הוסף אנשי קשר כדי להבטיח את בטיחותך.")</f>
        <v>אנא הוסף אנשי קשר כדי להבטיח את בטיחותך.</v>
      </c>
      <c r="N597" s="67" t="str">
        <f>IFERROR(__xludf.DUMMYFUNCTION("GOOGLETRANSLATE(B597,""en"",""bn"")"),"আপনার নিরাপত্তা নিশ্চিত করতে পরিচিতি যোগ করুন.")</f>
        <v>আপনার নিরাপত্তা নিশ্চিত করতে পরিচিতি যোগ করুন.</v>
      </c>
      <c r="O597" s="4" t="str">
        <f>IFERROR(__xludf.DUMMYFUNCTION("GOOGLETRANSLATE(B597,""en"",""pt"")"),"Adicione contatos para garantir sua segurança.")</f>
        <v>Adicione contatos para garantir sua segurança.</v>
      </c>
    </row>
    <row r="598">
      <c r="A598" s="89" t="s">
        <v>1406</v>
      </c>
      <c r="B598" s="92" t="s">
        <v>1407</v>
      </c>
      <c r="C598" s="66" t="str">
        <f>IFERROR(__xludf.DUMMYFUNCTION("GOOGLETRANSLATE(B598,""en"",""hi"")"),"मानचित्र सेटिंग")</f>
        <v>मानचित्र सेटिंग</v>
      </c>
      <c r="D598" s="67" t="str">
        <f>IFERROR(__xludf.DUMMYFUNCTION("GOOGLETRANSLATE(B598,""en"",""ar"")"),"إعدادات الخريطة")</f>
        <v>إعدادات الخريطة</v>
      </c>
      <c r="E598" s="67" t="str">
        <f>IFERROR(__xludf.DUMMYFUNCTION("GOOGLETRANSLATE(B598,""en"",""fr"")"),"Paramètres de la carte")</f>
        <v>Paramètres de la carte</v>
      </c>
      <c r="F598" s="67" t="str">
        <f>IFERROR(__xludf.DUMMYFUNCTION("GOOGLETRANSLATE(B598,""en"",""tr"")"),"Harita Ayarları")</f>
        <v>Harita Ayarları</v>
      </c>
      <c r="G598" s="67" t="str">
        <f>IFERROR(__xludf.DUMMYFUNCTION("GOOGLETRANSLATE(B598,""en"",""ru"")"),"Настройки карты")</f>
        <v>Настройки карты</v>
      </c>
      <c r="H598" s="67" t="str">
        <f>IFERROR(__xludf.DUMMYFUNCTION("GOOGLETRANSLATE(B598,""en"",""it"")"),"Impostazioni della mappa")</f>
        <v>Impostazioni della mappa</v>
      </c>
      <c r="I598" s="67" t="str">
        <f>IFERROR(__xludf.DUMMYFUNCTION("GOOGLETRANSLATE(B598,""en"",""de"")"),"Karteneinstellungen")</f>
        <v>Karteneinstellungen</v>
      </c>
      <c r="J598" s="67" t="str">
        <f>IFERROR(__xludf.DUMMYFUNCTION("GOOGLETRANSLATE(B598,""en"",""ko"")"),"지도 설정")</f>
        <v>지도 설정</v>
      </c>
      <c r="K598" s="67" t="str">
        <f>IFERROR(__xludf.DUMMYFUNCTION("GOOGLETRANSLATE(B598,""en"",""zh"")"),"地图设置")</f>
        <v>地图设置</v>
      </c>
      <c r="L598" s="67" t="str">
        <f>IFERROR(__xludf.DUMMYFUNCTION("GOOGLETRANSLATE(B598,""en"",""es"")"),"Configuración del mapa")</f>
        <v>Configuración del mapa</v>
      </c>
      <c r="M598" s="66" t="str">
        <f>IFERROR(__xludf.DUMMYFUNCTION("GOOGLETRANSLATE(B598,""en"",""iw"")"),"הגדרות מפה")</f>
        <v>הגדרות מפה</v>
      </c>
      <c r="N598" s="67" t="str">
        <f>IFERROR(__xludf.DUMMYFUNCTION("GOOGLETRANSLATE(B598,""en"",""bn"")"),"মানচিত্র সেটিংস")</f>
        <v>মানচিত্র সেটিংস</v>
      </c>
      <c r="O598" s="4" t="str">
        <f>IFERROR(__xludf.DUMMYFUNCTION("GOOGLETRANSLATE(B598,""en"",""pt"")"),"Configurações do mapa")</f>
        <v>Configurações do mapa</v>
      </c>
    </row>
    <row r="599">
      <c r="A599" s="89" t="s">
        <v>1408</v>
      </c>
      <c r="B599" s="92" t="s">
        <v>1409</v>
      </c>
      <c r="C599" s="66" t="str">
        <f>IFERROR(__xludf.DUMMYFUNCTION("GOOGLETRANSLATE(B599,""en"",""hi"")"),"अभी पर रीसेट करें")</f>
        <v>अभी पर रीसेट करें</v>
      </c>
      <c r="D599" s="67" t="str">
        <f>IFERROR(__xludf.DUMMYFUNCTION("GOOGLETRANSLATE(B599,""en"",""ar"")"),"إعادة التعيين إلى الآن")</f>
        <v>إعادة التعيين إلى الآن</v>
      </c>
      <c r="E599" s="67" t="str">
        <f>IFERROR(__xludf.DUMMYFUNCTION("GOOGLETRANSLATE(B599,""en"",""fr"")"),"Réinitialiser à maintenant")</f>
        <v>Réinitialiser à maintenant</v>
      </c>
      <c r="F599" s="67" t="str">
        <f>IFERROR(__xludf.DUMMYFUNCTION("GOOGLETRANSLATE(B599,""en"",""tr"")"),"Şimdi'ye Sıfırla")</f>
        <v>Şimdi'ye Sıfırla</v>
      </c>
      <c r="G599" s="67" t="str">
        <f>IFERROR(__xludf.DUMMYFUNCTION("GOOGLETRANSLATE(B599,""en"",""ru"")"),"Сбросить настройки сейчас")</f>
        <v>Сбросить настройки сейчас</v>
      </c>
      <c r="H599" s="67" t="str">
        <f>IFERROR(__xludf.DUMMYFUNCTION("GOOGLETRANSLATE(B599,""en"",""it"")"),"Reimposta su Adesso")</f>
        <v>Reimposta su Adesso</v>
      </c>
      <c r="I599" s="67" t="str">
        <f>IFERROR(__xludf.DUMMYFUNCTION("GOOGLETRANSLATE(B599,""en"",""de"")"),"Auf „Jetzt“ zurücksetzen")</f>
        <v>Auf „Jetzt“ zurücksetzen</v>
      </c>
      <c r="J599" s="67" t="str">
        <f>IFERROR(__xludf.DUMMYFUNCTION("GOOGLETRANSLATE(B599,""en"",""ko"")"),"지금으로 재설정")</f>
        <v>지금으로 재설정</v>
      </c>
      <c r="K599" s="67" t="str">
        <f>IFERROR(__xludf.DUMMYFUNCTION("GOOGLETRANSLATE(B599,""en"",""zh"")"),"重置为现在")</f>
        <v>重置为现在</v>
      </c>
      <c r="L599" s="67" t="str">
        <f>IFERROR(__xludf.DUMMYFUNCTION("GOOGLETRANSLATE(B599,""en"",""es"")"),"Restablecer a ahora")</f>
        <v>Restablecer a ahora</v>
      </c>
      <c r="M599" s="66" t="str">
        <f>IFERROR(__xludf.DUMMYFUNCTION("GOOGLETRANSLATE(B599,""en"",""iw"")"),"אפס לעכשיו")</f>
        <v>אפס לעכשיו</v>
      </c>
      <c r="N599" s="67" t="str">
        <f>IFERROR(__xludf.DUMMYFUNCTION("GOOGLETRANSLATE(B599,""en"",""bn"")"),"এখন রিসেট করুন")</f>
        <v>এখন রিসেট করুন</v>
      </c>
      <c r="O599" s="4" t="str">
        <f>IFERROR(__xludf.DUMMYFUNCTION("GOOGLETRANSLATE(B599,""en"",""pt"")"),"Redefinir para agora")</f>
        <v>Redefinir para agora</v>
      </c>
    </row>
    <row r="600">
      <c r="A600" s="89" t="s">
        <v>1410</v>
      </c>
      <c r="B600" s="92" t="s">
        <v>1411</v>
      </c>
      <c r="C600" s="66" t="str">
        <f>IFERROR(__xludf.DUMMYFUNCTION("GOOGLETRANSLATE(B600,""en"",""hi"")"),"अभी तक कोई बोली नहीं")</f>
        <v>अभी तक कोई बोली नहीं</v>
      </c>
      <c r="D600" s="67" t="str">
        <f>IFERROR(__xludf.DUMMYFUNCTION("GOOGLETRANSLATE(B600,""en"",""ar"")"),"لا يوجد عروض بعد")</f>
        <v>لا يوجد عروض بعد</v>
      </c>
      <c r="E600" s="67" t="str">
        <f>IFERROR(__xludf.DUMMYFUNCTION("GOOGLETRANSLATE(B600,""en"",""fr"")"),"Aucune offre pour l'instant")</f>
        <v>Aucune offre pour l'instant</v>
      </c>
      <c r="F600" s="67" t="str">
        <f>IFERROR(__xludf.DUMMYFUNCTION("GOOGLETRANSLATE(B600,""en"",""tr"")"),"Henüz Teklif Yok")</f>
        <v>Henüz Teklif Yok</v>
      </c>
      <c r="G600" s="67" t="str">
        <f>IFERROR(__xludf.DUMMYFUNCTION("GOOGLETRANSLATE(B600,""en"",""ru"")"),"Ставок пока нет")</f>
        <v>Ставок пока нет</v>
      </c>
      <c r="H600" s="67" t="str">
        <f>IFERROR(__xludf.DUMMYFUNCTION("GOOGLETRANSLATE(B600,""en"",""it"")"),"Nessuna offerta ancora")</f>
        <v>Nessuna offerta ancora</v>
      </c>
      <c r="I600" s="67" t="str">
        <f>IFERROR(__xludf.DUMMYFUNCTION("GOOGLETRANSLATE(B600,""en"",""de"")"),"Noch keine Gebote")</f>
        <v>Noch keine Gebote</v>
      </c>
      <c r="J600" s="67" t="str">
        <f>IFERROR(__xludf.DUMMYFUNCTION("GOOGLETRANSLATE(B600,""en"",""ko"")"),"아직 입찰이 없습니다")</f>
        <v>아직 입찰이 없습니다</v>
      </c>
      <c r="K600" s="67" t="str">
        <f>IFERROR(__xludf.DUMMYFUNCTION("GOOGLETRANSLATE(B600,""en"",""zh"")"),"还没有出价")</f>
        <v>还没有出价</v>
      </c>
      <c r="L600" s="67" t="str">
        <f>IFERROR(__xludf.DUMMYFUNCTION("GOOGLETRANSLATE(B600,""en"",""es"")"),"Aún no hay ofertas")</f>
        <v>Aún no hay ofertas</v>
      </c>
      <c r="M600" s="66" t="str">
        <f>IFERROR(__xludf.DUMMYFUNCTION("GOOGLETRANSLATE(B600,""en"",""iw"")"),"עדיין אין הצעות")</f>
        <v>עדיין אין הצעות</v>
      </c>
      <c r="N600" s="67" t="str">
        <f>IFERROR(__xludf.DUMMYFUNCTION("GOOGLETRANSLATE(B600,""en"",""bn"")"),"এখনও কোন বিড")</f>
        <v>এখনও কোন বিড</v>
      </c>
      <c r="O600" s="4" t="str">
        <f>IFERROR(__xludf.DUMMYFUNCTION("GOOGLETRANSLATE(B600,""en"",""pt"")"),"Ainda não há lances")</f>
        <v>Ainda não há lances</v>
      </c>
    </row>
    <row r="601">
      <c r="A601" s="89" t="s">
        <v>1412</v>
      </c>
      <c r="B601" s="92" t="s">
        <v>1413</v>
      </c>
      <c r="C601" s="66" t="str">
        <f>IFERROR(__xludf.DUMMYFUNCTION("GOOGLETRANSLATE(B601,""en"",""hi"")"),"अपनी शिकायतें चुनें")</f>
        <v>अपनी शिकायतें चुनें</v>
      </c>
      <c r="D601" s="67" t="str">
        <f>IFERROR(__xludf.DUMMYFUNCTION("GOOGLETRANSLATE(B601,""en"",""ar"")"),"اختر شكاويك")</f>
        <v>اختر شكاويك</v>
      </c>
      <c r="E601" s="67" t="str">
        <f>IFERROR(__xludf.DUMMYFUNCTION("GOOGLETRANSLATE(B601,""en"",""fr"")"),"Choisissez vos plaintes")</f>
        <v>Choisissez vos plaintes</v>
      </c>
      <c r="F601" s="67" t="str">
        <f>IFERROR(__xludf.DUMMYFUNCTION("GOOGLETRANSLATE(B601,""en"",""tr"")"),"Şikayetlerinizi Seçin")</f>
        <v>Şikayetlerinizi Seçin</v>
      </c>
      <c r="G601" s="67" t="str">
        <f>IFERROR(__xludf.DUMMYFUNCTION("GOOGLETRANSLATE(B601,""en"",""ru"")"),"Выберите свои жалобы")</f>
        <v>Выберите свои жалобы</v>
      </c>
      <c r="H601" s="67" t="str">
        <f>IFERROR(__xludf.DUMMYFUNCTION("GOOGLETRANSLATE(B601,""en"",""it"")"),"Scegli i tuoi reclami")</f>
        <v>Scegli i tuoi reclami</v>
      </c>
      <c r="I601" s="67" t="str">
        <f>IFERROR(__xludf.DUMMYFUNCTION("GOOGLETRANSLATE(B601,""en"",""de"")"),"Wählen Sie Ihre Beschwerden")</f>
        <v>Wählen Sie Ihre Beschwerden</v>
      </c>
      <c r="J601" s="67" t="str">
        <f>IFERROR(__xludf.DUMMYFUNCTION("GOOGLETRANSLATE(B601,""en"",""ko"")"),"불만사항을 선택하세요")</f>
        <v>불만사항을 선택하세요</v>
      </c>
      <c r="K601" s="67" t="str">
        <f>IFERROR(__xludf.DUMMYFUNCTION("GOOGLETRANSLATE(B601,""en"",""zh"")"),"选择您的投诉")</f>
        <v>选择您的投诉</v>
      </c>
      <c r="L601" s="67" t="str">
        <f>IFERROR(__xludf.DUMMYFUNCTION("GOOGLETRANSLATE(B601,""en"",""es"")"),"Elija sus quejas")</f>
        <v>Elija sus quejas</v>
      </c>
      <c r="M601" s="66" t="str">
        <f>IFERROR(__xludf.DUMMYFUNCTION("GOOGLETRANSLATE(B601,""en"",""iw"")"),"בחר את התלונות שלך")</f>
        <v>בחר את התלונות שלך</v>
      </c>
      <c r="N601" s="67" t="str">
        <f>IFERROR(__xludf.DUMMYFUNCTION("GOOGLETRANSLATE(B601,""en"",""bn"")"),"আপনার অভিযোগ চয়ন করুন")</f>
        <v>আপনার অভিযোগ চয়ন করুন</v>
      </c>
      <c r="O601" s="4" t="str">
        <f>IFERROR(__xludf.DUMMYFUNCTION("GOOGLETRANSLATE(B601,""en"",""pt"")"),"Escolha suas reclamações")</f>
        <v>Escolha suas reclamações</v>
      </c>
    </row>
    <row r="602">
      <c r="A602" s="89" t="s">
        <v>1414</v>
      </c>
      <c r="B602" s="92" t="s">
        <v>1415</v>
      </c>
      <c r="C602" s="66" t="str">
        <f>IFERROR(__xludf.DUMMYFUNCTION("GOOGLETRANSLATE(B602,""en"",""hi"")"),"बीमा")</f>
        <v>बीमा</v>
      </c>
      <c r="D602" s="67" t="str">
        <f>IFERROR(__xludf.DUMMYFUNCTION("GOOGLETRANSLATE(B602,""en"",""ar"")"),"توكيد")</f>
        <v>توكيد</v>
      </c>
      <c r="E602" s="67" t="str">
        <f>IFERROR(__xludf.DUMMYFUNCTION("GOOGLETRANSLATE(B602,""en"",""fr"")"),"ASSURANCE")</f>
        <v>ASSURANCE</v>
      </c>
      <c r="F602" s="67" t="str">
        <f>IFERROR(__xludf.DUMMYFUNCTION("GOOGLETRANSLATE(B602,""en"",""tr"")"),"GÜVENCE")</f>
        <v>GÜVENCE</v>
      </c>
      <c r="G602" s="67" t="str">
        <f>IFERROR(__xludf.DUMMYFUNCTION("GOOGLETRANSLATE(B602,""en"",""ru"")"),"ГАРАНТИЯ")</f>
        <v>ГАРАНТИЯ</v>
      </c>
      <c r="H602" s="67" t="str">
        <f>IFERROR(__xludf.DUMMYFUNCTION("GOOGLETRANSLATE(B602,""en"",""it"")"),"GARANZIA")</f>
        <v>GARANZIA</v>
      </c>
      <c r="I602" s="67" t="str">
        <f>IFERROR(__xludf.DUMMYFUNCTION("GOOGLETRANSLATE(B602,""en"",""de"")"),"SICHERHEIT")</f>
        <v>SICHERHEIT</v>
      </c>
      <c r="J602" s="67" t="str">
        <f>IFERROR(__xludf.DUMMYFUNCTION("GOOGLETRANSLATE(B602,""en"",""ko"")"),"보증")</f>
        <v>보증</v>
      </c>
      <c r="K602" s="67" t="str">
        <f>IFERROR(__xludf.DUMMYFUNCTION("GOOGLETRANSLATE(B602,""en"",""zh"")"),"保证")</f>
        <v>保证</v>
      </c>
      <c r="L602" s="67" t="str">
        <f>IFERROR(__xludf.DUMMYFUNCTION("GOOGLETRANSLATE(B602,""en"",""es"")"),"GARANTÍA")</f>
        <v>GARANTÍA</v>
      </c>
      <c r="M602" s="66" t="str">
        <f>IFERROR(__xludf.DUMMYFUNCTION("GOOGLETRANSLATE(B602,""en"",""iw"")"),"הַבטָחָה")</f>
        <v>הַבטָחָה</v>
      </c>
      <c r="N602" s="67" t="str">
        <f>IFERROR(__xludf.DUMMYFUNCTION("GOOGLETRANSLATE(B602,""en"",""bn"")"),"আশ্বাস")</f>
        <v>আশ্বাস</v>
      </c>
      <c r="O602" s="4" t="str">
        <f>IFERROR(__xludf.DUMMYFUNCTION("GOOGLETRANSLATE(B602,""en"",""pt"")"),"GARANTIA")</f>
        <v>GARANTIA</v>
      </c>
    </row>
    <row r="603">
      <c r="A603" s="89" t="s">
        <v>1416</v>
      </c>
      <c r="B603" s="92" t="s">
        <v>1417</v>
      </c>
      <c r="C603" s="66" t="str">
        <f>IFERROR(__xludf.DUMMYFUNCTION("GOOGLETRANSLATE(B603,""en"",""hi"")"),"हमारे ग्राहकों की सुरक्षा हमेशा और हमेशा के लिए सबसे पहले है")</f>
        <v>हमारे ग्राहकों की सुरक्षा हमेशा और हमेशा के लिए सबसे पहले है</v>
      </c>
      <c r="D603" s="67" t="str">
        <f>IFERROR(__xludf.DUMMYFUNCTION("GOOGLETRANSLATE(B603,""en"",""ar"")"),"سلامة عملائنا أولا دائما وأبدا")</f>
        <v>سلامة عملائنا أولا دائما وأبدا</v>
      </c>
      <c r="E603" s="67" t="str">
        <f>IFERROR(__xludf.DUMMYFUNCTION("GOOGLETRANSLATE(B603,""en"",""fr"")"),"La sécurité de nos clients avant tout Toujours et pour toujours")</f>
        <v>La sécurité de nos clients avant tout Toujours et pour toujours</v>
      </c>
      <c r="F603" s="67" t="str">
        <f>IFERROR(__xludf.DUMMYFUNCTION("GOOGLETRANSLATE(B603,""en"",""tr"")"),"Önce müşterilerimizin güvenliği Her zaman ve sonsuza kadar")</f>
        <v>Önce müşterilerimizin güvenliği Her zaman ve sonsuza kadar</v>
      </c>
      <c r="G603" s="67" t="str">
        <f>IFERROR(__xludf.DUMMYFUNCTION("GOOGLETRANSLATE(B603,""en"",""ru"")"),"Безопасность наших клиентов превыше всего Всегда и навсегда")</f>
        <v>Безопасность наших клиентов превыше всего Всегда и навсегда</v>
      </c>
      <c r="H603" s="67" t="str">
        <f>IFERROR(__xludf.DUMMYFUNCTION("GOOGLETRANSLATE(B603,""en"",""it"")"),"La sicurezza dei nostri clienti prima di tutto Sempre e per sempre")</f>
        <v>La sicurezza dei nostri clienti prima di tutto Sempre e per sempre</v>
      </c>
      <c r="I603" s="67" t="str">
        <f>IFERROR(__xludf.DUMMYFUNCTION("GOOGLETRANSLATE(B603,""en"",""de"")"),"Die Sicherheit unserer Kunden steht immer und für immer an erster Stelle")</f>
        <v>Die Sicherheit unserer Kunden steht immer und für immer an erster Stelle</v>
      </c>
      <c r="J603" s="67" t="str">
        <f>IFERROR(__xludf.DUMMYFUNCTION("GOOGLETRANSLATE(B603,""en"",""ko"")"),"고객의 안전을 최우선으로 항상 &amp; 영원히")</f>
        <v>고객의 안전을 최우선으로 항상 &amp; 영원히</v>
      </c>
      <c r="K603" s="67" t="str">
        <f>IFERROR(__xludf.DUMMYFUNCTION("GOOGLETRANSLATE(B603,""en"",""zh"")"),"我们的客户安全第一 始终如一")</f>
        <v>我们的客户安全第一 始终如一</v>
      </c>
      <c r="L603" s="67" t="str">
        <f>IFERROR(__xludf.DUMMYFUNCTION("GOOGLETRANSLATE(B603,""en"",""es"")"),"La seguridad de nuestros clientes es lo primero. Siempre y para siempre.")</f>
        <v>La seguridad de nuestros clientes es lo primero. Siempre y para siempre.</v>
      </c>
      <c r="M603" s="66" t="str">
        <f>IFERROR(__xludf.DUMMYFUNCTION("GOOGLETRANSLATE(B603,""en"",""iw"")"),"בטיחות הלקוחות שלנו קודם כל תמיד ולתמיד")</f>
        <v>בטיחות הלקוחות שלנו קודם כל תמיד ולתמיד</v>
      </c>
      <c r="N603" s="67" t="str">
        <f>IFERROR(__xludf.DUMMYFUNCTION("GOOGLETRANSLATE(B603,""en"",""bn"")"),"আমাদের গ্রাহকদের নিরাপত্তা প্রথম সর্বদা এবং চিরতরে")</f>
        <v>আমাদের গ্রাহকদের নিরাপত্তা প্রথম সর্বদা এবং চিরতরে</v>
      </c>
      <c r="O603" s="4" t="str">
        <f>IFERROR(__xludf.DUMMYFUNCTION("GOOGLETRANSLATE(B603,""en"",""pt"")"),"Segurança dos nossos clientes em primeiro lugar Sempre e para sempre")</f>
        <v>Segurança dos nossos clientes em primeiro lugar Sempre e para sempre</v>
      </c>
    </row>
    <row r="604">
      <c r="A604" s="89" t="s">
        <v>1418</v>
      </c>
      <c r="B604" s="92" t="s">
        <v>1419</v>
      </c>
      <c r="C604" s="66" t="str">
        <f>IFERROR(__xludf.DUMMYFUNCTION("GOOGLETRANSLATE(B604,""en"",""hi"")"),"स्पष्टता")</f>
        <v>स्पष्टता</v>
      </c>
      <c r="D604" s="67" t="str">
        <f>IFERROR(__xludf.DUMMYFUNCTION("GOOGLETRANSLATE(B604,""en"",""ar"")"),"وضوح")</f>
        <v>وضوح</v>
      </c>
      <c r="E604" s="67" t="str">
        <f>IFERROR(__xludf.DUMMYFUNCTION("GOOGLETRANSLATE(B604,""en"",""fr"")"),"CLARTÉ")</f>
        <v>CLARTÉ</v>
      </c>
      <c r="F604" s="67" t="str">
        <f>IFERROR(__xludf.DUMMYFUNCTION("GOOGLETRANSLATE(B604,""en"",""tr"")"),"NETLİK")</f>
        <v>NETLİK</v>
      </c>
      <c r="G604" s="67" t="str">
        <f>IFERROR(__xludf.DUMMYFUNCTION("GOOGLETRANSLATE(B604,""en"",""ru"")"),"ЯСНОСТЬ")</f>
        <v>ЯСНОСТЬ</v>
      </c>
      <c r="H604" s="67" t="str">
        <f>IFERROR(__xludf.DUMMYFUNCTION("GOOGLETRANSLATE(B604,""en"",""it"")"),"CHIAREZZA")</f>
        <v>CHIAREZZA</v>
      </c>
      <c r="I604" s="67" t="str">
        <f>IFERROR(__xludf.DUMMYFUNCTION("GOOGLETRANSLATE(B604,""en"",""de"")"),"KLARHEIT")</f>
        <v>KLARHEIT</v>
      </c>
      <c r="J604" s="67" t="str">
        <f>IFERROR(__xludf.DUMMYFUNCTION("GOOGLETRANSLATE(B604,""en"",""ko"")"),"명쾌함")</f>
        <v>명쾌함</v>
      </c>
      <c r="K604" s="67" t="str">
        <f>IFERROR(__xludf.DUMMYFUNCTION("GOOGLETRANSLATE(B604,""en"",""zh"")"),"明晰")</f>
        <v>明晰</v>
      </c>
      <c r="L604" s="67" t="str">
        <f>IFERROR(__xludf.DUMMYFUNCTION("GOOGLETRANSLATE(B604,""en"",""es"")"),"CLARIDAD")</f>
        <v>CLARIDAD</v>
      </c>
      <c r="M604" s="66" t="str">
        <f>IFERROR(__xludf.DUMMYFUNCTION("GOOGLETRANSLATE(B604,""en"",""iw"")"),"בְּהִירוּת")</f>
        <v>בְּהִירוּת</v>
      </c>
      <c r="N604" s="67" t="str">
        <f>IFERROR(__xludf.DUMMYFUNCTION("GOOGLETRANSLATE(B604,""en"",""bn"")"),"নির্মলতা")</f>
        <v>নির্মলতা</v>
      </c>
      <c r="O604" s="4" t="str">
        <f>IFERROR(__xludf.DUMMYFUNCTION("GOOGLETRANSLATE(B604,""en"",""pt"")"),"CLAREZA")</f>
        <v>CLAREZA</v>
      </c>
    </row>
    <row r="605">
      <c r="A605" s="89" t="s">
        <v>1420</v>
      </c>
      <c r="B605" s="92" t="s">
        <v>1421</v>
      </c>
      <c r="C605" s="66" t="str">
        <f>IFERROR(__xludf.DUMMYFUNCTION("GOOGLETRANSLATE(B605,""en"",""hi"")"),"उचित मूल्य, क्रिस्टल क्लियर आपका भरोसा, हमारा वादा")</f>
        <v>उचित मूल्य, क्रिस्टल क्लियर आपका भरोसा, हमारा वादा</v>
      </c>
      <c r="D605" s="67" t="str">
        <f>IFERROR(__xludf.DUMMYFUNCTION("GOOGLETRANSLATE(B605,""en"",""ar"")"),"أسعار عادلة، ثقتك واضحة تمامًا، وعدنا")</f>
        <v>أسعار عادلة، ثقتك واضحة تمامًا، وعدنا</v>
      </c>
      <c r="E605" s="67" t="str">
        <f>IFERROR(__xludf.DUMMYFUNCTION("GOOGLETRANSLATE(B605,""en"",""fr"")"),"Des prix équitables, une confiance cristalline, notre promesse")</f>
        <v>Des prix équitables, une confiance cristalline, notre promesse</v>
      </c>
      <c r="F605" s="67" t="str">
        <f>IFERROR(__xludf.DUMMYFUNCTION("GOOGLETRANSLATE(B605,""en"",""tr"")"),"Adil Fiyatlandırma, Kristal Netliğinde Güveniniz, Sözümüz")</f>
        <v>Adil Fiyatlandırma, Kristal Netliğinde Güveniniz, Sözümüz</v>
      </c>
      <c r="G605" s="67" t="str">
        <f>IFERROR(__xludf.DUMMYFUNCTION("GOOGLETRANSLATE(B605,""en"",""ru"")"),"Справедливые цены, кристально чистое ваше доверие, наши обещания")</f>
        <v>Справедливые цены, кристально чистое ваше доверие, наши обещания</v>
      </c>
      <c r="H605" s="67" t="str">
        <f>IFERROR(__xludf.DUMMYFUNCTION("GOOGLETRANSLATE(B605,""en"",""it"")"),"Prezzi equi, cristallina la tua fiducia, la nostra promessa")</f>
        <v>Prezzi equi, cristallina la tua fiducia, la nostra promessa</v>
      </c>
      <c r="I605" s="67" t="str">
        <f>IFERROR(__xludf.DUMMYFUNCTION("GOOGLETRANSLATE(B605,""en"",""de"")"),"Faire Preise, glasklares Vertrauen, unser Versprechen")</f>
        <v>Faire Preise, glasklares Vertrauen, unser Versprechen</v>
      </c>
      <c r="J605" s="67" t="str">
        <f>IFERROR(__xludf.DUMMYFUNCTION("GOOGLETRANSLATE(B605,""en"",""ko"")"),"공정한 가격, 명확한 신뢰, 우리의 약속")</f>
        <v>공정한 가격, 명확한 신뢰, 우리의 약속</v>
      </c>
      <c r="K605" s="67" t="str">
        <f>IFERROR(__xludf.DUMMYFUNCTION("GOOGLETRANSLATE(B605,""en"",""zh"")"),"公平定价，明确您的信任，我们的承诺")</f>
        <v>公平定价，明确您的信任，我们的承诺</v>
      </c>
      <c r="L605" s="67" t="str">
        <f>IFERROR(__xludf.DUMMYFUNCTION("GOOGLETRANSLATE(B605,""en"",""es"")"),"Precios justos, claridad cristalina de su confianza, nuestra promesa")</f>
        <v>Precios justos, claridad cristalina de su confianza, nuestra promesa</v>
      </c>
      <c r="M605" s="66" t="str">
        <f>IFERROR(__xludf.DUMMYFUNCTION("GOOGLETRANSLATE(B605,""en"",""iw"")"),"תמחור הוגן, נקה את האמון שלך, ההבטחה שלנו")</f>
        <v>תמחור הוגן, נקה את האמון שלך, ההבטחה שלנו</v>
      </c>
      <c r="N605" s="67" t="str">
        <f>IFERROR(__xludf.DUMMYFUNCTION("GOOGLETRANSLATE(B605,""en"",""bn"")"),"ন্যায্য মূল্য, ক্রিস্টাল ক্লিয়ার আপনার বিশ্বাস, আমাদের প্রতিশ্রুতি")</f>
        <v>ন্যায্য মূল্য, ক্রিস্টাল ক্লিয়ার আপনার বিশ্বাস, আমাদের প্রতিশ্রুতি</v>
      </c>
      <c r="O605" s="4" t="str">
        <f>IFERROR(__xludf.DUMMYFUNCTION("GOOGLETRANSLATE(B605,""en"",""pt"")"),"Preço justo, sua confiança é cristalina, nossa promessa")</f>
        <v>Preço justo, sua confiança é cristalina, nossa promessa</v>
      </c>
    </row>
    <row r="606">
      <c r="A606" s="89" t="s">
        <v>1422</v>
      </c>
      <c r="B606" s="92" t="s">
        <v>1423</v>
      </c>
      <c r="C606" s="66" t="str">
        <f>IFERROR(__xludf.DUMMYFUNCTION("GOOGLETRANSLATE(B606,""en"",""hi"")"),"सहज ज्ञान युक्त")</f>
        <v>सहज ज्ञान युक्त</v>
      </c>
      <c r="D606" s="67" t="str">
        <f>IFERROR(__xludf.DUMMYFUNCTION("GOOGLETRANSLATE(B606,""en"",""ar"")"),"بديهي")</f>
        <v>بديهي</v>
      </c>
      <c r="E606" s="67" t="str">
        <f>IFERROR(__xludf.DUMMYFUNCTION("GOOGLETRANSLATE(B606,""en"",""fr"")"),"INTUTIF")</f>
        <v>INTUTIF</v>
      </c>
      <c r="F606" s="67" t="str">
        <f>IFERROR(__xludf.DUMMYFUNCTION("GOOGLETRANSLATE(B606,""en"",""tr"")"),"SEZGİSEL")</f>
        <v>SEZGİSEL</v>
      </c>
      <c r="G606" s="67" t="str">
        <f>IFERROR(__xludf.DUMMYFUNCTION("GOOGLETRANSLATE(B606,""en"",""ru"")"),"ИНТУТИВНЫЙ")</f>
        <v>ИНТУТИВНЫЙ</v>
      </c>
      <c r="H606" s="67" t="str">
        <f>IFERROR(__xludf.DUMMYFUNCTION("GOOGLETRANSLATE(B606,""en"",""it"")"),"INTUTIVO")</f>
        <v>INTUTIVO</v>
      </c>
      <c r="I606" s="67" t="str">
        <f>IFERROR(__xludf.DUMMYFUNCTION("GOOGLETRANSLATE(B606,""en"",""de"")"),"Intuitiv")</f>
        <v>Intuitiv</v>
      </c>
      <c r="J606" s="67" t="str">
        <f>IFERROR(__xludf.DUMMYFUNCTION("GOOGLETRANSLATE(B606,""en"",""ko"")"),"직관적")</f>
        <v>직관적</v>
      </c>
      <c r="K606" s="67" t="str">
        <f>IFERROR(__xludf.DUMMYFUNCTION("GOOGLETRANSLATE(B606,""en"",""zh"")"),"直观")</f>
        <v>直观</v>
      </c>
      <c r="L606" s="67" t="str">
        <f>IFERROR(__xludf.DUMMYFUNCTION("GOOGLETRANSLATE(B606,""en"",""es"")"),"INTUTIVO")</f>
        <v>INTUTIVO</v>
      </c>
      <c r="M606" s="66" t="str">
        <f>IFERROR(__xludf.DUMMYFUNCTION("GOOGLETRANSLATE(B606,""en"",""iw"")"),"אינטואיטיבי")</f>
        <v>אינטואיטיבי</v>
      </c>
      <c r="N606" s="67" t="str">
        <f>IFERROR(__xludf.DUMMYFUNCTION("GOOGLETRANSLATE(B606,""en"",""bn"")"),"স্বজ্ঞাত")</f>
        <v>স্বজ্ঞাত</v>
      </c>
      <c r="O606" s="4" t="str">
        <f>IFERROR(__xludf.DUMMYFUNCTION("GOOGLETRANSLATE(B606,""en"",""pt"")"),"INTUTIVO")</f>
        <v>INTUTIVO</v>
      </c>
    </row>
    <row r="607">
      <c r="A607" s="89" t="s">
        <v>1424</v>
      </c>
      <c r="B607" s="92" t="s">
        <v>1425</v>
      </c>
      <c r="C607" s="66" t="str">
        <f>IFERROR(__xludf.DUMMYFUNCTION("GOOGLETRANSLATE(B607,""en"",""hi"")"),"निर्बाध यात्राएँ, एक टैप की दूरी पर")</f>
        <v>निर्बाध यात्राएँ, एक टैप की दूरी पर</v>
      </c>
      <c r="D607" s="67" t="str">
        <f>IFERROR(__xludf.DUMMYFUNCTION("GOOGLETRANSLATE(B607,""en"",""ar"")"),"رحلات سلسة، بنقرة واحدة")</f>
        <v>رحلات سلسة، بنقرة واحدة</v>
      </c>
      <c r="E607" s="67" t="str">
        <f>IFERROR(__xludf.DUMMYFUNCTION("GOOGLETRANSLATE(B607,""en"",""fr"")"),"Des parcours fluides, en un seul clic")</f>
        <v>Des parcours fluides, en un seul clic</v>
      </c>
      <c r="F607" s="67" t="str">
        <f>IFERROR(__xludf.DUMMYFUNCTION("GOOGLETRANSLATE(B607,""en"",""tr"")"),"Kusursuz Yolculuklar, Tek Dokunuş Uzağınızda")</f>
        <v>Kusursuz Yolculuklar, Tek Dokunuş Uzağınızda</v>
      </c>
      <c r="G607" s="67" t="str">
        <f>IFERROR(__xludf.DUMMYFUNCTION("GOOGLETRANSLATE(B607,""en"",""ru"")"),"Бесшовные путешествия в одно касание")</f>
        <v>Бесшовные путешествия в одно касание</v>
      </c>
      <c r="H607" s="67" t="str">
        <f>IFERROR(__xludf.DUMMYFUNCTION("GOOGLETRANSLATE(B607,""en"",""it"")"),"Viaggi senza soluzione di continuità, con un solo tocco")</f>
        <v>Viaggi senza soluzione di continuità, con un solo tocco</v>
      </c>
      <c r="I607" s="67" t="str">
        <f>IFERROR(__xludf.DUMMYFUNCTION("GOOGLETRANSLATE(B607,""en"",""de"")"),"Nahtlose Reisen, nur einen Fingertipp entfernt")</f>
        <v>Nahtlose Reisen, nur einen Fingertipp entfernt</v>
      </c>
      <c r="J607" s="67" t="str">
        <f>IFERROR(__xludf.DUMMYFUNCTION("GOOGLETRANSLATE(B607,""en"",""ko"")"),"탭 한 번으로 원활한 여행")</f>
        <v>탭 한 번으로 원활한 여행</v>
      </c>
      <c r="K607" s="67" t="str">
        <f>IFERROR(__xludf.DUMMYFUNCTION("GOOGLETRANSLATE(B607,""en"",""zh"")"),"无缝旅程，一键完成")</f>
        <v>无缝旅程，一键完成</v>
      </c>
      <c r="L607" s="67" t="str">
        <f>IFERROR(__xludf.DUMMYFUNCTION("GOOGLETRANSLATE(B607,""en"",""es"")"),"Viajes fluidos, a un toque de distancia")</f>
        <v>Viajes fluidos, a un toque de distancia</v>
      </c>
      <c r="M607" s="66" t="str">
        <f>IFERROR(__xludf.DUMMYFUNCTION("GOOGLETRANSLATE(B607,""en"",""iw"")"),"מסעות חלקים, לחיצה אחת משם")</f>
        <v>מסעות חלקים, לחיצה אחת משם</v>
      </c>
      <c r="N607" s="67" t="str">
        <f>IFERROR(__xludf.DUMMYFUNCTION("GOOGLETRANSLATE(B607,""en"",""bn"")"),"বিরামহীন যাত্রা, এক ট্যাপ দূরে")</f>
        <v>বিরামহীন যাত্রা, এক ট্যাপ দূরে</v>
      </c>
      <c r="O607" s="4" t="str">
        <f>IFERROR(__xludf.DUMMYFUNCTION("GOOGLETRANSLATE(B607,""en"",""pt"")"),"Jornadas perfeitas, a um toque de distância")</f>
        <v>Jornadas perfeitas, a um toque de distância</v>
      </c>
    </row>
    <row r="608">
      <c r="A608" s="89" t="s">
        <v>1426</v>
      </c>
      <c r="B608" s="92" t="s">
        <v>1427</v>
      </c>
      <c r="C608" s="66" t="str">
        <f>IFERROR(__xludf.DUMMYFUNCTION("GOOGLETRANSLATE(B608,""en"",""hi"")"),"सहायता")</f>
        <v>सहायता</v>
      </c>
      <c r="D608" s="67" t="str">
        <f>IFERROR(__xludf.DUMMYFUNCTION("GOOGLETRANSLATE(B608,""en"",""ar"")"),"يدعم")</f>
        <v>يدعم</v>
      </c>
      <c r="E608" s="67" t="str">
        <f>IFERROR(__xludf.DUMMYFUNCTION("GOOGLETRANSLATE(B608,""en"",""fr"")"),"SOUTIEN")</f>
        <v>SOUTIEN</v>
      </c>
      <c r="F608" s="67" t="str">
        <f>IFERROR(__xludf.DUMMYFUNCTION("GOOGLETRANSLATE(B608,""en"",""tr"")"),"DESTEK")</f>
        <v>DESTEK</v>
      </c>
      <c r="G608" s="67" t="str">
        <f>IFERROR(__xludf.DUMMYFUNCTION("GOOGLETRANSLATE(B608,""en"",""ru"")"),"ПОДДЕРЖИВАТЬ")</f>
        <v>ПОДДЕРЖИВАТЬ</v>
      </c>
      <c r="H608" s="67" t="str">
        <f>IFERROR(__xludf.DUMMYFUNCTION("GOOGLETRANSLATE(B608,""en"",""it"")"),"SUPPORTO")</f>
        <v>SUPPORTO</v>
      </c>
      <c r="I608" s="67" t="str">
        <f>IFERROR(__xludf.DUMMYFUNCTION("GOOGLETRANSLATE(B608,""en"",""de"")"),"UNTERSTÜTZUNG")</f>
        <v>UNTERSTÜTZUNG</v>
      </c>
      <c r="J608" s="67" t="str">
        <f>IFERROR(__xludf.DUMMYFUNCTION("GOOGLETRANSLATE(B608,""en"",""ko"")"),"지원하다")</f>
        <v>지원하다</v>
      </c>
      <c r="K608" s="67" t="str">
        <f>IFERROR(__xludf.DUMMYFUNCTION("GOOGLETRANSLATE(B608,""en"",""zh"")"),"支持")</f>
        <v>支持</v>
      </c>
      <c r="L608" s="67" t="str">
        <f>IFERROR(__xludf.DUMMYFUNCTION("GOOGLETRANSLATE(B608,""en"",""es"")"),"APOYO")</f>
        <v>APOYO</v>
      </c>
      <c r="M608" s="66" t="str">
        <f>IFERROR(__xludf.DUMMYFUNCTION("GOOGLETRANSLATE(B608,""en"",""iw"")"),"תמיכה")</f>
        <v>תמיכה</v>
      </c>
      <c r="N608" s="67" t="str">
        <f>IFERROR(__xludf.DUMMYFUNCTION("GOOGLETRANSLATE(B608,""en"",""bn"")"),"সমর্থন")</f>
        <v>সমর্থন</v>
      </c>
      <c r="O608" s="4" t="str">
        <f>IFERROR(__xludf.DUMMYFUNCTION("GOOGLETRANSLATE(B608,""en"",""pt"")"),"APOIAR")</f>
        <v>APOIAR</v>
      </c>
    </row>
    <row r="609">
      <c r="A609" s="89" t="s">
        <v>1428</v>
      </c>
      <c r="B609" s="92" t="s">
        <v>1429</v>
      </c>
      <c r="C609" s="66" t="str">
        <f>IFERROR(__xludf.DUMMYFUNCTION("GOOGLETRANSLATE(B609,""en"",""hi"")"),"आपकी यात्रा, हमारी प्रतिबद्धता: चौबीसों घंटे समर्थन")</f>
        <v>आपकी यात्रा, हमारी प्रतिबद्धता: चौबीसों घंटे समर्थन</v>
      </c>
      <c r="D609" s="67" t="str">
        <f>IFERROR(__xludf.DUMMYFUNCTION("GOOGLETRANSLATE(B609,""en"",""ar"")"),"رحلتك، التزامنا: الدعم على مدار الساعة")</f>
        <v>رحلتك، التزامنا: الدعم على مدار الساعة</v>
      </c>
      <c r="E609" s="67" t="str">
        <f>IFERROR(__xludf.DUMMYFUNCTION("GOOGLETRANSLATE(B609,""en"",""fr"")"),"Votre parcours, notre engagement : une assistance 24 heures sur 24")</f>
        <v>Votre parcours, notre engagement : une assistance 24 heures sur 24</v>
      </c>
      <c r="F609" s="67" t="str">
        <f>IFERROR(__xludf.DUMMYFUNCTION("GOOGLETRANSLATE(B609,""en"",""tr"")"),"Yolculuğunuz, Taahhüdümüz: 24 Saat Destek")</f>
        <v>Yolculuğunuz, Taahhüdümüz: 24 Saat Destek</v>
      </c>
      <c r="G609" s="67" t="str">
        <f>IFERROR(__xludf.DUMMYFUNCTION("GOOGLETRANSLATE(B609,""en"",""ru"")"),"Ваше путешествие, наше обязательство: круглосуточная поддержка")</f>
        <v>Ваше путешествие, наше обязательство: круглосуточная поддержка</v>
      </c>
      <c r="H609" s="67" t="str">
        <f>IFERROR(__xludf.DUMMYFUNCTION("GOOGLETRANSLATE(B609,""en"",""it"")"),"Il tuo viaggio, il nostro impegno: supporto 24 ore su 24")</f>
        <v>Il tuo viaggio, il nostro impegno: supporto 24 ore su 24</v>
      </c>
      <c r="I609" s="67" t="str">
        <f>IFERROR(__xludf.DUMMYFUNCTION("GOOGLETRANSLATE(B609,""en"",""de"")"),"Ihre Reise, unser Engagement: Unterstützung rund um die Uhr")</f>
        <v>Ihre Reise, unser Engagement: Unterstützung rund um die Uhr</v>
      </c>
      <c r="J609" s="67" t="str">
        <f>IFERROR(__xludf.DUMMYFUNCTION("GOOGLETRANSLATE(B609,""en"",""ko"")"),"귀하의 여정, 우리의 약속: 24시간 지원")</f>
        <v>귀하의 여정, 우리의 약속: 24시간 지원</v>
      </c>
      <c r="K609" s="67" t="str">
        <f>IFERROR(__xludf.DUMMYFUNCTION("GOOGLETRANSLATE(B609,""en"",""zh"")"),"您的旅程，我们的承诺：全天候支持")</f>
        <v>您的旅程，我们的承诺：全天候支持</v>
      </c>
      <c r="L609" s="67" t="str">
        <f>IFERROR(__xludf.DUMMYFUNCTION("GOOGLETRANSLATE(B609,""en"",""es"")"),"Su viaje, nuestro compromiso: soporte las 24 horas")</f>
        <v>Su viaje, nuestro compromiso: soporte las 24 horas</v>
      </c>
      <c r="M609" s="66" t="str">
        <f>IFERROR(__xludf.DUMMYFUNCTION("GOOGLETRANSLATE(B609,""en"",""iw"")"),"המסע שלך, המחויבות שלנו: תמיכה מסביב לשעון")</f>
        <v>המסע שלך, המחויבות שלנו: תמיכה מסביב לשעון</v>
      </c>
      <c r="N609" s="67" t="str">
        <f>IFERROR(__xludf.DUMMYFUNCTION("GOOGLETRANSLATE(B609,""en"",""bn"")"),"আপনার যাত্রা, আমাদের প্রতিশ্রুতি: ঘড়ির চারপাশে সমর্থন")</f>
        <v>আপনার যাত্রা, আমাদের প্রতিশ্রুতি: ঘড়ির চারপাশে সমর্থন</v>
      </c>
      <c r="O609" s="4" t="str">
        <f>IFERROR(__xludf.DUMMYFUNCTION("GOOGLETRANSLATE(B609,""en"",""pt"")"),"Sua jornada, nosso compromisso: suporte 24 horas por dia")</f>
        <v>Sua jornada, nosso compromisso: suporte 24 horas por dia</v>
      </c>
    </row>
    <row r="610">
      <c r="A610" s="89" t="s">
        <v>1430</v>
      </c>
      <c r="B610" s="92" t="s">
        <v>1431</v>
      </c>
      <c r="C610" s="66" t="str">
        <f>IFERROR(__xludf.DUMMYFUNCTION("GOOGLETRANSLATE(B610,""en"",""hi"")"),"तलाशने के लिए अपनी भूमिका चुनें")</f>
        <v>तलाशने के लिए अपनी भूमिका चुनें</v>
      </c>
      <c r="D610" s="67" t="str">
        <f>IFERROR(__xludf.DUMMYFUNCTION("GOOGLETRANSLATE(B610,""en"",""ar"")"),"اختر دورك للاستكشاف")</f>
        <v>اختر دورك للاستكشاف</v>
      </c>
      <c r="E610" s="67" t="str">
        <f>IFERROR(__xludf.DUMMYFUNCTION("GOOGLETRANSLATE(B610,""en"",""fr"")"),"Choisissez votre rôle à explorer")</f>
        <v>Choisissez votre rôle à explorer</v>
      </c>
      <c r="F610" s="67" t="str">
        <f>IFERROR(__xludf.DUMMYFUNCTION("GOOGLETRANSLATE(B610,""en"",""tr"")"),"Keşfedilecek rolünüzü seçin")</f>
        <v>Keşfedilecek rolünüzü seçin</v>
      </c>
      <c r="G610" s="67" t="str">
        <f>IFERROR(__xludf.DUMMYFUNCTION("GOOGLETRANSLATE(B610,""en"",""ru"")"),"Выберите свою роль для изучения")</f>
        <v>Выберите свою роль для изучения</v>
      </c>
      <c r="H610" s="67" t="str">
        <f>IFERROR(__xludf.DUMMYFUNCTION("GOOGLETRANSLATE(B610,""en"",""it"")"),"Scegli il tuo ruolo da esplorare")</f>
        <v>Scegli il tuo ruolo da esplorare</v>
      </c>
      <c r="I610" s="67" t="str">
        <f>IFERROR(__xludf.DUMMYFUNCTION("GOOGLETRANSLATE(B610,""en"",""de"")"),"Wählen Sie Ihre Rolle aus, die Sie erkunden möchten")</f>
        <v>Wählen Sie Ihre Rolle aus, die Sie erkunden möchten</v>
      </c>
      <c r="J610" s="67" t="str">
        <f>IFERROR(__xludf.DUMMYFUNCTION("GOOGLETRANSLATE(B610,""en"",""ko"")"),"탐색할 역할을 선택하세요")</f>
        <v>탐색할 역할을 선택하세요</v>
      </c>
      <c r="K610" s="67" t="str">
        <f>IFERROR(__xludf.DUMMYFUNCTION("GOOGLETRANSLATE(B610,""en"",""zh"")"),"选择您要探索的角色")</f>
        <v>选择您要探索的角色</v>
      </c>
      <c r="L610" s="67" t="str">
        <f>IFERROR(__xludf.DUMMYFUNCTION("GOOGLETRANSLATE(B610,""en"",""es"")"),"Elige tu rol para explorar")</f>
        <v>Elige tu rol para explorar</v>
      </c>
      <c r="M610" s="66" t="str">
        <f>IFERROR(__xludf.DUMMYFUNCTION("GOOGLETRANSLATE(B610,""en"",""iw"")"),"בחר את התפקיד שלך לחקור")</f>
        <v>בחר את התפקיד שלך לחקור</v>
      </c>
      <c r="N610" s="67" t="str">
        <f>IFERROR(__xludf.DUMMYFUNCTION("GOOGLETRANSLATE(B610,""en"",""bn"")"),"অন্বেষণ করতে আপনার ভূমিকা চয়ন করুন")</f>
        <v>অন্বেষণ করতে আপনার ভূমিকা চয়ন করুন</v>
      </c>
      <c r="O610" s="4" t="str">
        <f>IFERROR(__xludf.DUMMYFUNCTION("GOOGLETRANSLATE(B610,""en"",""pt"")"),"Escolha sua função para explorar")</f>
        <v>Escolha sua função para explorar</v>
      </c>
    </row>
    <row r="611">
      <c r="A611" s="89" t="s">
        <v>1432</v>
      </c>
      <c r="B611" s="92" t="s">
        <v>1433</v>
      </c>
      <c r="C611" s="66" t="str">
        <f>IFERROR(__xludf.DUMMYFUNCTION("GOOGLETRANSLATE(B611,""en"",""hi"")"),"दाखिल करना")</f>
        <v>दाखिल करना</v>
      </c>
      <c r="D611" s="67" t="str">
        <f>IFERROR(__xludf.DUMMYFUNCTION("GOOGLETRANSLATE(B611,""en"",""ar"")"),"تسجيل الدخول")</f>
        <v>تسجيل الدخول</v>
      </c>
      <c r="E611" s="67" t="str">
        <f>IFERROR(__xludf.DUMMYFUNCTION("GOOGLETRANSLATE(B611,""en"",""fr"")"),"Se connecter")</f>
        <v>Se connecter</v>
      </c>
      <c r="F611" s="67" t="str">
        <f>IFERROR(__xludf.DUMMYFUNCTION("GOOGLETRANSLATE(B611,""en"",""tr"")"),"Kayıt olmak")</f>
        <v>Kayıt olmak</v>
      </c>
      <c r="G611" s="67" t="str">
        <f>IFERROR(__xludf.DUMMYFUNCTION("GOOGLETRANSLATE(B611,""en"",""ru"")"),"Войти")</f>
        <v>Войти</v>
      </c>
      <c r="H611" s="67" t="str">
        <f>IFERROR(__xludf.DUMMYFUNCTION("GOOGLETRANSLATE(B611,""en"",""it"")"),"Registrazione")</f>
        <v>Registrazione</v>
      </c>
      <c r="I611" s="67" t="str">
        <f>IFERROR(__xludf.DUMMYFUNCTION("GOOGLETRANSLATE(B611,""en"",""de"")"),"Anmelden")</f>
        <v>Anmelden</v>
      </c>
      <c r="J611" s="67" t="str">
        <f>IFERROR(__xludf.DUMMYFUNCTION("GOOGLETRANSLATE(B611,""en"",""ko"")"),"로그인")</f>
        <v>로그인</v>
      </c>
      <c r="K611" s="67" t="str">
        <f>IFERROR(__xludf.DUMMYFUNCTION("GOOGLETRANSLATE(B611,""en"",""zh"")"),"登入")</f>
        <v>登入</v>
      </c>
      <c r="L611" s="67" t="str">
        <f>IFERROR(__xludf.DUMMYFUNCTION("GOOGLETRANSLATE(B611,""en"",""es"")"),"Iniciar sesión")</f>
        <v>Iniciar sesión</v>
      </c>
      <c r="M611" s="66" t="str">
        <f>IFERROR(__xludf.DUMMYFUNCTION("GOOGLETRANSLATE(B611,""en"",""iw"")"),"להתחבר")</f>
        <v>להתחבר</v>
      </c>
      <c r="N611" s="67" t="str">
        <f>IFERROR(__xludf.DUMMYFUNCTION("GOOGLETRANSLATE(B611,""en"",""bn"")"),"সাইন ইন করুন")</f>
        <v>সাইন ইন করুন</v>
      </c>
      <c r="O611" s="4" t="str">
        <f>IFERROR(__xludf.DUMMYFUNCTION("GOOGLETRANSLATE(B611,""en"",""pt"")"),"Entrar")</f>
        <v>Entrar</v>
      </c>
    </row>
    <row r="612">
      <c r="A612" s="89" t="s">
        <v>1434</v>
      </c>
      <c r="B612" s="92" t="s">
        <v>1435</v>
      </c>
      <c r="C612" s="66" t="str">
        <f>IFERROR(__xludf.DUMMYFUNCTION("GOOGLETRANSLATE(B612,""en"",""hi"")"),"ईमेल/मोबाइल")</f>
        <v>ईमेल/मोबाइल</v>
      </c>
      <c r="D612" s="67" t="str">
        <f>IFERROR(__xludf.DUMMYFUNCTION("GOOGLETRANSLATE(B612,""en"",""ar"")"),"البريد الإلكتروني / الجوال")</f>
        <v>البريد الإلكتروني / الجوال</v>
      </c>
      <c r="E612" s="67" t="str">
        <f>IFERROR(__xludf.DUMMYFUNCTION("GOOGLETRANSLATE(B612,""en"",""fr"")"),"Courriel/Mobile")</f>
        <v>Courriel/Mobile</v>
      </c>
      <c r="F612" s="67" t="str">
        <f>IFERROR(__xludf.DUMMYFUNCTION("GOOGLETRANSLATE(B612,""en"",""tr"")"),"E-posta/Mobil")</f>
        <v>E-posta/Mobil</v>
      </c>
      <c r="G612" s="67" t="str">
        <f>IFERROR(__xludf.DUMMYFUNCTION("GOOGLETRANSLATE(B612,""en"",""ru"")"),"Электронная почта/мобильный телефон")</f>
        <v>Электронная почта/мобильный телефон</v>
      </c>
      <c r="H612" s="67" t="str">
        <f>IFERROR(__xludf.DUMMYFUNCTION("GOOGLETRANSLATE(B612,""en"",""it"")"),"E-mail/Cellulare")</f>
        <v>E-mail/Cellulare</v>
      </c>
      <c r="I612" s="67" t="str">
        <f>IFERROR(__xludf.DUMMYFUNCTION("GOOGLETRANSLATE(B612,""en"",""de"")"),"E-Mail/Mobil")</f>
        <v>E-Mail/Mobil</v>
      </c>
      <c r="J612" s="67" t="str">
        <f>IFERROR(__xludf.DUMMYFUNCTION("GOOGLETRANSLATE(B612,""en"",""ko"")"),"이메일/모바일")</f>
        <v>이메일/모바일</v>
      </c>
      <c r="K612" s="67" t="str">
        <f>IFERROR(__xludf.DUMMYFUNCTION("GOOGLETRANSLATE(B612,""en"",""zh"")"),"电子邮件/手机")</f>
        <v>电子邮件/手机</v>
      </c>
      <c r="L612" s="67" t="str">
        <f>IFERROR(__xludf.DUMMYFUNCTION("GOOGLETRANSLATE(B612,""en"",""es"")"),"Correo electrónico/móvil")</f>
        <v>Correo electrónico/móvil</v>
      </c>
      <c r="M612" s="66" t="str">
        <f>IFERROR(__xludf.DUMMYFUNCTION("GOOGLETRANSLATE(B612,""en"",""iw"")"),"דואר אלקטרוני/נייד")</f>
        <v>דואר אלקטרוני/נייד</v>
      </c>
      <c r="N612" s="67" t="str">
        <f>IFERROR(__xludf.DUMMYFUNCTION("GOOGLETRANSLATE(B612,""en"",""bn"")"),"ইমেইল/ মোবাইল")</f>
        <v>ইমেইল/ মোবাইল</v>
      </c>
      <c r="O612" s="4" t="str">
        <f>IFERROR(__xludf.DUMMYFUNCTION("GOOGLETRANSLATE(B612,""en"",""pt"")"),"E-mail/ Celular")</f>
        <v>E-mail/ Celular</v>
      </c>
    </row>
    <row r="613">
      <c r="A613" s="89" t="s">
        <v>1436</v>
      </c>
      <c r="B613" s="92" t="s">
        <v>1437</v>
      </c>
      <c r="C613" s="66" t="str">
        <f>IFERROR(__xludf.DUMMYFUNCTION("GOOGLETRANSLATE(B613,""en"",""hi"")"),"पास वर्ड दर्ज करें")</f>
        <v>पास वर्ड दर्ज करें</v>
      </c>
      <c r="D613" s="67" t="str">
        <f>IFERROR(__xludf.DUMMYFUNCTION("GOOGLETRANSLATE(B613,""en"",""ar"")"),"أدخل كلمة المرور")</f>
        <v>أدخل كلمة المرور</v>
      </c>
      <c r="E613" s="67" t="str">
        <f>IFERROR(__xludf.DUMMYFUNCTION("GOOGLETRANSLATE(B613,""en"",""fr"")"),"Entrer le mot de passe")</f>
        <v>Entrer le mot de passe</v>
      </c>
      <c r="F613" s="67" t="str">
        <f>IFERROR(__xludf.DUMMYFUNCTION("GOOGLETRANSLATE(B613,""en"",""tr"")"),"Parolanı Gir")</f>
        <v>Parolanı Gir</v>
      </c>
      <c r="G613" s="67" t="str">
        <f>IFERROR(__xludf.DUMMYFUNCTION("GOOGLETRANSLATE(B613,""en"",""ru"")"),"Введите пароль")</f>
        <v>Введите пароль</v>
      </c>
      <c r="H613" s="67" t="str">
        <f>IFERROR(__xludf.DUMMYFUNCTION("GOOGLETRANSLATE(B613,""en"",""it"")"),"Inserire la password")</f>
        <v>Inserire la password</v>
      </c>
      <c r="I613" s="67" t="str">
        <f>IFERROR(__xludf.DUMMYFUNCTION("GOOGLETRANSLATE(B613,""en"",""de"")"),"Passwort eingeben")</f>
        <v>Passwort eingeben</v>
      </c>
      <c r="J613" s="67" t="str">
        <f>IFERROR(__xludf.DUMMYFUNCTION("GOOGLETRANSLATE(B613,""en"",""ko"")"),"암호를 입력")</f>
        <v>암호를 입력</v>
      </c>
      <c r="K613" s="67" t="str">
        <f>IFERROR(__xludf.DUMMYFUNCTION("GOOGLETRANSLATE(B613,""en"",""zh"")"),"输入密码")</f>
        <v>输入密码</v>
      </c>
      <c r="L613" s="67" t="str">
        <f>IFERROR(__xludf.DUMMYFUNCTION("GOOGLETRANSLATE(B613,""en"",""es"")"),"Introducir la contraseña")</f>
        <v>Introducir la contraseña</v>
      </c>
      <c r="M613" s="66" t="str">
        <f>IFERROR(__xludf.DUMMYFUNCTION("GOOGLETRANSLATE(B613,""en"",""iw"")"),"הזן את הסיסמה")</f>
        <v>הזן את הסיסמה</v>
      </c>
      <c r="N613" s="67" t="str">
        <f>IFERROR(__xludf.DUMMYFUNCTION("GOOGLETRANSLATE(B613,""en"",""bn"")"),"পাসওয়ার্ড লিখুন")</f>
        <v>পাসওয়ার্ড লিখুন</v>
      </c>
      <c r="O613" s="4" t="str">
        <f>IFERROR(__xludf.DUMMYFUNCTION("GOOGLETRANSLATE(B613,""en"",""pt"")"),"Digite a senha")</f>
        <v>Digite a senha</v>
      </c>
    </row>
    <row r="614">
      <c r="A614" s="89" t="s">
        <v>1438</v>
      </c>
      <c r="B614" s="92" t="s">
        <v>1439</v>
      </c>
      <c r="C614" s="66" t="str">
        <f>IFERROR(__xludf.DUMMYFUNCTION("GOOGLETRANSLATE(B614,""en"",""hi"")"),"पासवर्ड भूल गए?")</f>
        <v>पासवर्ड भूल गए?</v>
      </c>
      <c r="D614" s="67" t="str">
        <f>IFERROR(__xludf.DUMMYFUNCTION("GOOGLETRANSLATE(B614,""en"",""ar"")"),"هل نسيت كلمة السر؟")</f>
        <v>هل نسيت كلمة السر؟</v>
      </c>
      <c r="E614" s="67" t="str">
        <f>IFERROR(__xludf.DUMMYFUNCTION("GOOGLETRANSLATE(B614,""en"",""fr"")"),"Mot de passe oublié?")</f>
        <v>Mot de passe oublié?</v>
      </c>
      <c r="F614" s="67" t="str">
        <f>IFERROR(__xludf.DUMMYFUNCTION("GOOGLETRANSLATE(B614,""en"",""tr"")"),"Parolanızı mı unuttunuz?")</f>
        <v>Parolanızı mı unuttunuz?</v>
      </c>
      <c r="G614" s="67" t="str">
        <f>IFERROR(__xludf.DUMMYFUNCTION("GOOGLETRANSLATE(B614,""en"",""ru"")"),"Забыли пароль?")</f>
        <v>Забыли пароль?</v>
      </c>
      <c r="H614" s="67" t="str">
        <f>IFERROR(__xludf.DUMMYFUNCTION("GOOGLETRANSLATE(B614,""en"",""it"")"),"Ha dimenticato la password?")</f>
        <v>Ha dimenticato la password?</v>
      </c>
      <c r="I614" s="67" t="str">
        <f>IFERROR(__xludf.DUMMYFUNCTION("GOOGLETRANSLATE(B614,""en"",""de"")"),"Passwort vergessen?")</f>
        <v>Passwort vergessen?</v>
      </c>
      <c r="J614" s="67" t="str">
        <f>IFERROR(__xludf.DUMMYFUNCTION("GOOGLETRANSLATE(B614,""en"",""ko"")"),"비밀번호를 잊으 셨나요?")</f>
        <v>비밀번호를 잊으 셨나요?</v>
      </c>
      <c r="K614" s="67" t="str">
        <f>IFERROR(__xludf.DUMMYFUNCTION("GOOGLETRANSLATE(B614,""en"",""zh"")"),"忘记密码？")</f>
        <v>忘记密码？</v>
      </c>
      <c r="L614" s="67" t="str">
        <f>IFERROR(__xludf.DUMMYFUNCTION("GOOGLETRANSLATE(B614,""en"",""es"")"),"¿Has olvidado tu contraseña?")</f>
        <v>¿Has olvidado tu contraseña?</v>
      </c>
      <c r="M614" s="66" t="str">
        <f>IFERROR(__xludf.DUMMYFUNCTION("GOOGLETRANSLATE(B614,""en"",""iw"")"),"שכחת את הסיסמא?")</f>
        <v>שכחת את הסיסמא?</v>
      </c>
      <c r="N614" s="67" t="str">
        <f>IFERROR(__xludf.DUMMYFUNCTION("GOOGLETRANSLATE(B614,""en"",""bn"")"),"পাসওয়ার্ড ভুলে গেছেন?")</f>
        <v>পাসওয়ার্ড ভুলে গেছেন?</v>
      </c>
      <c r="O614" s="4" t="str">
        <f>IFERROR(__xludf.DUMMYFUNCTION("GOOGLETRANSLATE(B614,""en"",""pt"")"),"Esqueceu sua senha?")</f>
        <v>Esqueceu sua senha?</v>
      </c>
    </row>
    <row r="615">
      <c r="A615" s="89" t="s">
        <v>1440</v>
      </c>
      <c r="B615" s="92" t="s">
        <v>1441</v>
      </c>
      <c r="C615" s="66" t="str">
        <f>IFERROR(__xludf.DUMMYFUNCTION("GOOGLETRANSLATE(B615,""en"",""hi"")"),"ओटीपी के साथ साइन इन करें?")</f>
        <v>ओटीपी के साथ साइन इन करें?</v>
      </c>
      <c r="D615" s="67" t="str">
        <f>IFERROR(__xludf.DUMMYFUNCTION("GOOGLETRANSLATE(B615,""en"",""ar"")"),"تسجيل الدخول باستخدام OTP؟")</f>
        <v>تسجيل الدخول باستخدام OTP؟</v>
      </c>
      <c r="E615" s="67" t="str">
        <f>IFERROR(__xludf.DUMMYFUNCTION("GOOGLETRANSLATE(B615,""en"",""fr"")"),"Vous connecter avec OTP ?")</f>
        <v>Vous connecter avec OTP ?</v>
      </c>
      <c r="F615" s="67" t="str">
        <f>IFERROR(__xludf.DUMMYFUNCTION("GOOGLETRANSLATE(B615,""en"",""tr"")"),"OTP ile oturum açıyor musunuz?")</f>
        <v>OTP ile oturum açıyor musunuz?</v>
      </c>
      <c r="G615" s="67" t="str">
        <f>IFERROR(__xludf.DUMMYFUNCTION("GOOGLETRANSLATE(B615,""en"",""ru"")"),"Войти с помощью OTP?")</f>
        <v>Войти с помощью OTP?</v>
      </c>
      <c r="H615" s="67" t="str">
        <f>IFERROR(__xludf.DUMMYFUNCTION("GOOGLETRANSLATE(B615,""en"",""it"")"),"Accedi con OTP?")</f>
        <v>Accedi con OTP?</v>
      </c>
      <c r="I615" s="67" t="str">
        <f>IFERROR(__xludf.DUMMYFUNCTION("GOOGLETRANSLATE(B615,""en"",""de"")"),"Mit OTP anmelden?")</f>
        <v>Mit OTP anmelden?</v>
      </c>
      <c r="J615" s="67" t="str">
        <f>IFERROR(__xludf.DUMMYFUNCTION("GOOGLETRANSLATE(B615,""en"",""ko"")"),"OTP로 로그인하시겠습니까?")</f>
        <v>OTP로 로그인하시겠습니까?</v>
      </c>
      <c r="K615" s="67" t="str">
        <f>IFERROR(__xludf.DUMMYFUNCTION("GOOGLETRANSLATE(B615,""en"",""zh"")"),"使用 OTP 登录？")</f>
        <v>使用 OTP 登录？</v>
      </c>
      <c r="L615" s="67" t="str">
        <f>IFERROR(__xludf.DUMMYFUNCTION("GOOGLETRANSLATE(B615,""en"",""es"")"),"¿Iniciar sesión con OTP?")</f>
        <v>¿Iniciar sesión con OTP?</v>
      </c>
      <c r="M615" s="66" t="str">
        <f>IFERROR(__xludf.DUMMYFUNCTION("GOOGLETRANSLATE(B615,""en"",""iw"")"),"להיכנס עם OTP?")</f>
        <v>להיכנס עם OTP?</v>
      </c>
      <c r="N615" s="67" t="str">
        <f>IFERROR(__xludf.DUMMYFUNCTION("GOOGLETRANSLATE(B615,""en"",""bn"")"),"OTP দিয়ে সাইন ইন করবেন?")</f>
        <v>OTP দিয়ে সাইন ইন করবেন?</v>
      </c>
      <c r="O615" s="4" t="str">
        <f>IFERROR(__xludf.DUMMYFUNCTION("GOOGLETRANSLATE(B615,""en"",""pt"")"),"Entrar com OTP?")</f>
        <v>Entrar com OTP?</v>
      </c>
    </row>
    <row r="616">
      <c r="A616" s="89" t="s">
        <v>1442</v>
      </c>
      <c r="B616" s="92" t="s">
        <v>1443</v>
      </c>
      <c r="C616" s="66" t="str">
        <f>IFERROR(__xludf.DUMMYFUNCTION("GOOGLETRANSLATE(B616,""en"",""hi"")"),"पासवर्ड से साइन इन करें?")</f>
        <v>पासवर्ड से साइन इन करें?</v>
      </c>
      <c r="D616" s="67" t="str">
        <f>IFERROR(__xludf.DUMMYFUNCTION("GOOGLETRANSLATE(B616,""en"",""ar"")"),"تسجيل الدخول بكلمة المرور؟")</f>
        <v>تسجيل الدخول بكلمة المرور؟</v>
      </c>
      <c r="E616" s="67" t="str">
        <f>IFERROR(__xludf.DUMMYFUNCTION("GOOGLETRANSLATE(B616,""en"",""fr"")"),"Connexion avec mot de passe ?")</f>
        <v>Connexion avec mot de passe ?</v>
      </c>
      <c r="F616" s="67" t="str">
        <f>IFERROR(__xludf.DUMMYFUNCTION("GOOGLETRANSLATE(B616,""en"",""tr"")"),"Şifre ile giriş yapılıyor mu?")</f>
        <v>Şifre ile giriş yapılıyor mu?</v>
      </c>
      <c r="G616" s="67" t="str">
        <f>IFERROR(__xludf.DUMMYFUNCTION("GOOGLETRANSLATE(B616,""en"",""ru"")"),"Войти с паролем?")</f>
        <v>Войти с паролем?</v>
      </c>
      <c r="H616" s="67" t="str">
        <f>IFERROR(__xludf.DUMMYFUNCTION("GOOGLETRANSLATE(B616,""en"",""it"")"),"Accedi con password?")</f>
        <v>Accedi con password?</v>
      </c>
      <c r="I616" s="67" t="str">
        <f>IFERROR(__xludf.DUMMYFUNCTION("GOOGLETRANSLATE(B616,""en"",""de"")"),"Mit Passwort anmelden?")</f>
        <v>Mit Passwort anmelden?</v>
      </c>
      <c r="J616" s="67" t="str">
        <f>IFERROR(__xludf.DUMMYFUNCTION("GOOGLETRANSLATE(B616,""en"",""ko"")"),"비밀번호로 로그인하시겠습니까?")</f>
        <v>비밀번호로 로그인하시겠습니까?</v>
      </c>
      <c r="K616" s="67" t="str">
        <f>IFERROR(__xludf.DUMMYFUNCTION("GOOGLETRANSLATE(B616,""en"",""zh"")"),"使用密码登录？")</f>
        <v>使用密码登录？</v>
      </c>
      <c r="L616" s="67" t="str">
        <f>IFERROR(__xludf.DUMMYFUNCTION("GOOGLETRANSLATE(B616,""en"",""es"")"),"¿Iniciar sesión con contraseña?")</f>
        <v>¿Iniciar sesión con contraseña?</v>
      </c>
      <c r="M616" s="66" t="str">
        <f>IFERROR(__xludf.DUMMYFUNCTION("GOOGLETRANSLATE(B616,""en"",""iw"")"),"כניסה עם סיסמה?")</f>
        <v>כניסה עם סיסמה?</v>
      </c>
      <c r="N616" s="67" t="str">
        <f>IFERROR(__xludf.DUMMYFUNCTION("GOOGLETRANSLATE(B616,""en"",""bn"")"),"পাসওয়ার্ড দিয়ে সাইন ইন করবেন?")</f>
        <v>পাসওয়ার্ড দিয়ে সাইন ইন করবেন?</v>
      </c>
      <c r="O616" s="4" t="str">
        <f>IFERROR(__xludf.DUMMYFUNCTION("GOOGLETRANSLATE(B616,""en"",""pt"")"),"Entrar com senha?")</f>
        <v>Entrar com senha?</v>
      </c>
    </row>
    <row r="617">
      <c r="A617" s="89" t="s">
        <v>1444</v>
      </c>
      <c r="B617" s="92" t="s">
        <v>1445</v>
      </c>
      <c r="C617" s="66" t="str">
        <f>IFERROR(__xludf.DUMMYFUNCTION("GOOGLETRANSLATE(B617,""en"",""hi"")"),"ओटीपी प्राप्त करें")</f>
        <v>ओटीपी प्राप्त करें</v>
      </c>
      <c r="D617" s="67" t="str">
        <f>IFERROR(__xludf.DUMMYFUNCTION("GOOGLETRANSLATE(B617,""en"",""ar"")"),"احصل على كلمة مرور لمرة واحدة")</f>
        <v>احصل على كلمة مرور لمرة واحدة</v>
      </c>
      <c r="E617" s="67" t="str">
        <f>IFERROR(__xludf.DUMMYFUNCTION("GOOGLETRANSLATE(B617,""en"",""fr"")"),"Obtenir OTP")</f>
        <v>Obtenir OTP</v>
      </c>
      <c r="F617" s="67" t="str">
        <f>IFERROR(__xludf.DUMMYFUNCTION("GOOGLETRANSLATE(B617,""en"",""tr"")"),"OTP'yi al")</f>
        <v>OTP'yi al</v>
      </c>
      <c r="G617" s="67" t="str">
        <f>IFERROR(__xludf.DUMMYFUNCTION("GOOGLETRANSLATE(B617,""en"",""ru"")"),"Получить одноразовый код")</f>
        <v>Получить одноразовый код</v>
      </c>
      <c r="H617" s="67" t="str">
        <f>IFERROR(__xludf.DUMMYFUNCTION("GOOGLETRANSLATE(B617,""en"",""it"")"),"Ottieni l'OTP")</f>
        <v>Ottieni l'OTP</v>
      </c>
      <c r="I617" s="67" t="str">
        <f>IFERROR(__xludf.DUMMYFUNCTION("GOOGLETRANSLATE(B617,""en"",""de"")"),"Holen Sie sich OTP")</f>
        <v>Holen Sie sich OTP</v>
      </c>
      <c r="J617" s="67" t="str">
        <f>IFERROR(__xludf.DUMMYFUNCTION("GOOGLETRANSLATE(B617,""en"",""ko"")"),"OTP 받기")</f>
        <v>OTP 받기</v>
      </c>
      <c r="K617" s="67" t="str">
        <f>IFERROR(__xludf.DUMMYFUNCTION("GOOGLETRANSLATE(B617,""en"",""zh"")"),"获取一次性密码")</f>
        <v>获取一次性密码</v>
      </c>
      <c r="L617" s="67" t="str">
        <f>IFERROR(__xludf.DUMMYFUNCTION("GOOGLETRANSLATE(B617,""en"",""es"")"),"Obtener OTP")</f>
        <v>Obtener OTP</v>
      </c>
      <c r="M617" s="66" t="str">
        <f>IFERROR(__xludf.DUMMYFUNCTION("GOOGLETRANSLATE(B617,""en"",""iw"")"),"קבל OTP")</f>
        <v>קבל OTP</v>
      </c>
      <c r="N617" s="67" t="str">
        <f>IFERROR(__xludf.DUMMYFUNCTION("GOOGLETRANSLATE(B617,""en"",""bn"")"),"OTP পান")</f>
        <v>OTP পান</v>
      </c>
      <c r="O617" s="4" t="str">
        <f>IFERROR(__xludf.DUMMYFUNCTION("GOOGLETRANSLATE(B617,""en"",""pt"")"),"Obter OTP")</f>
        <v>Obter OTP</v>
      </c>
    </row>
    <row r="618">
      <c r="A618" s="89" t="s">
        <v>1446</v>
      </c>
      <c r="B618" s="92" t="s">
        <v>1447</v>
      </c>
      <c r="C618" s="66" t="str">
        <f>IFERROR(__xludf.DUMMYFUNCTION("GOOGLETRANSLATE(B618,""en"",""hi"")"),"ओटीपी सत्यापित करें")</f>
        <v>ओटीपी सत्यापित करें</v>
      </c>
      <c r="D618" s="67" t="str">
        <f>IFERROR(__xludf.DUMMYFUNCTION("GOOGLETRANSLATE(B618,""en"",""ar"")"),"التحقق من كلمة المرور لمرة واحدة (OTP).")</f>
        <v>التحقق من كلمة المرور لمرة واحدة (OTP).</v>
      </c>
      <c r="E618" s="67" t="str">
        <f>IFERROR(__xludf.DUMMYFUNCTION("GOOGLETRANSLATE(B618,""en"",""fr"")"),"Vérifier OTP")</f>
        <v>Vérifier OTP</v>
      </c>
      <c r="F618" s="67" t="str">
        <f>IFERROR(__xludf.DUMMYFUNCTION("GOOGLETRANSLATE(B618,""en"",""tr"")"),"OTP'yi doğrulayın")</f>
        <v>OTP'yi doğrulayın</v>
      </c>
      <c r="G618" s="67" t="str">
        <f>IFERROR(__xludf.DUMMYFUNCTION("GOOGLETRANSLATE(B618,""en"",""ru"")"),"Подтвердить одноразовый код")</f>
        <v>Подтвердить одноразовый код</v>
      </c>
      <c r="H618" s="67" t="str">
        <f>IFERROR(__xludf.DUMMYFUNCTION("GOOGLETRANSLATE(B618,""en"",""it"")"),"Verificare l'OTP")</f>
        <v>Verificare l'OTP</v>
      </c>
      <c r="I618" s="67" t="str">
        <f>IFERROR(__xludf.DUMMYFUNCTION("GOOGLETRANSLATE(B618,""en"",""de"")"),"OTP überprüfen")</f>
        <v>OTP überprüfen</v>
      </c>
      <c r="J618" s="67" t="str">
        <f>IFERROR(__xludf.DUMMYFUNCTION("GOOGLETRANSLATE(B618,""en"",""ko"")"),"OTP 확인")</f>
        <v>OTP 확인</v>
      </c>
      <c r="K618" s="67" t="str">
        <f>IFERROR(__xludf.DUMMYFUNCTION("GOOGLETRANSLATE(B618,""en"",""zh"")"),"验证一次性密码")</f>
        <v>验证一次性密码</v>
      </c>
      <c r="L618" s="67" t="str">
        <f>IFERROR(__xludf.DUMMYFUNCTION("GOOGLETRANSLATE(B618,""en"",""es"")"),"Verificar OTP")</f>
        <v>Verificar OTP</v>
      </c>
      <c r="M618" s="66" t="str">
        <f>IFERROR(__xludf.DUMMYFUNCTION("GOOGLETRANSLATE(B618,""en"",""iw"")"),"אמת OTP")</f>
        <v>אמת OTP</v>
      </c>
      <c r="N618" s="67" t="str">
        <f>IFERROR(__xludf.DUMMYFUNCTION("GOOGLETRANSLATE(B618,""en"",""bn"")"),"OTP যাচাই করুন")</f>
        <v>OTP যাচাই করুন</v>
      </c>
      <c r="O618" s="4" t="str">
        <f>IFERROR(__xludf.DUMMYFUNCTION("GOOGLETRANSLATE(B618,""en"",""pt"")"),"Verifique OTP")</f>
        <v>Verifique OTP</v>
      </c>
    </row>
    <row r="619">
      <c r="A619" s="89" t="s">
        <v>1448</v>
      </c>
      <c r="B619" s="92" t="s">
        <v>1449</v>
      </c>
      <c r="C619" s="66" t="str">
        <f>IFERROR(__xludf.DUMMYFUNCTION("GOOGLETRANSLATE(B619,""en"",""hi"")"),"मोबाइल सत्यापित करें")</f>
        <v>मोबाइल सत्यापित करें</v>
      </c>
      <c r="D619" s="67" t="str">
        <f>IFERROR(__xludf.DUMMYFUNCTION("GOOGLETRANSLATE(B619,""en"",""ar"")"),"التحقق من الجوال")</f>
        <v>التحقق من الجوال</v>
      </c>
      <c r="E619" s="67" t="str">
        <f>IFERROR(__xludf.DUMMYFUNCTION("GOOGLETRANSLATE(B619,""en"",""fr"")"),"Vérifier le mobile")</f>
        <v>Vérifier le mobile</v>
      </c>
      <c r="F619" s="67" t="str">
        <f>IFERROR(__xludf.DUMMYFUNCTION("GOOGLETRANSLATE(B619,""en"",""tr"")"),"Mobil Cihazı Doğrula")</f>
        <v>Mobil Cihazı Doğrula</v>
      </c>
      <c r="G619" s="67" t="str">
        <f>IFERROR(__xludf.DUMMYFUNCTION("GOOGLETRANSLATE(B619,""en"",""ru"")"),"Подтвердить мобильный телефон")</f>
        <v>Подтвердить мобильный телефон</v>
      </c>
      <c r="H619" s="67" t="str">
        <f>IFERROR(__xludf.DUMMYFUNCTION("GOOGLETRANSLATE(B619,""en"",""it"")"),"Verifica cellulare")</f>
        <v>Verifica cellulare</v>
      </c>
      <c r="I619" s="67" t="str">
        <f>IFERROR(__xludf.DUMMYFUNCTION("GOOGLETRANSLATE(B619,""en"",""de"")"),"Mobilgerät überprüfen")</f>
        <v>Mobilgerät überprüfen</v>
      </c>
      <c r="J619" s="67" t="str">
        <f>IFERROR(__xludf.DUMMYFUNCTION("GOOGLETRANSLATE(B619,""en"",""ko"")"),"모바일 인증")</f>
        <v>모바일 인증</v>
      </c>
      <c r="K619" s="67" t="str">
        <f>IFERROR(__xludf.DUMMYFUNCTION("GOOGLETRANSLATE(B619,""en"",""zh"")"),"验证手机")</f>
        <v>验证手机</v>
      </c>
      <c r="L619" s="67" t="str">
        <f>IFERROR(__xludf.DUMMYFUNCTION("GOOGLETRANSLATE(B619,""en"",""es"")"),"Verificar móvil")</f>
        <v>Verificar móvil</v>
      </c>
      <c r="M619" s="66" t="str">
        <f>IFERROR(__xludf.DUMMYFUNCTION("GOOGLETRANSLATE(B619,""en"",""iw"")"),"אמת נייד")</f>
        <v>אמת נייד</v>
      </c>
      <c r="N619" s="67" t="str">
        <f>IFERROR(__xludf.DUMMYFUNCTION("GOOGLETRANSLATE(B619,""en"",""bn"")"),"মোবাইল যাচাই করুন")</f>
        <v>মোবাইল যাচাই করুন</v>
      </c>
      <c r="O619" s="4" t="str">
        <f>IFERROR(__xludf.DUMMYFUNCTION("GOOGLETRANSLATE(B619,""en"",""pt"")"),"Verifique o celular")</f>
        <v>Verifique o celular</v>
      </c>
    </row>
    <row r="620">
      <c r="A620" s="89" t="s">
        <v>1450</v>
      </c>
      <c r="B620" s="92" t="s">
        <v>1451</v>
      </c>
      <c r="C620" s="66" t="str">
        <f>IFERROR(__xludf.DUMMYFUNCTION("GOOGLETRANSLATE(B620,""en"",""hi"")"),"1111 पर ओटीपी पुनः भेजें")</f>
        <v>1111 पर ओटीपी पुनः भेजें</v>
      </c>
      <c r="D620" s="67" t="str">
        <f>IFERROR(__xludf.DUMMYFUNCTION("GOOGLETRANSLATE(B620,""en"",""ar"")"),"إعادة إرسال كلمة المرور لمرة واحدة في 1111")</f>
        <v>إعادة إرسال كلمة المرور لمرة واحدة في 1111</v>
      </c>
      <c r="E620" s="67" t="str">
        <f>IFERROR(__xludf.DUMMYFUNCTION("GOOGLETRANSLATE(B620,""en"",""fr"")"),"Renvoyer OTP au 1111")</f>
        <v>Renvoyer OTP au 1111</v>
      </c>
      <c r="F620" s="67" t="str">
        <f>IFERROR(__xludf.DUMMYFUNCTION("GOOGLETRANSLATE(B620,""en"",""tr"")"),"1111'de OTP'yi yeniden gönder")</f>
        <v>1111'de OTP'yi yeniden gönder</v>
      </c>
      <c r="G620" s="67" t="str">
        <f>IFERROR(__xludf.DUMMYFUNCTION("GOOGLETRANSLATE(B620,""en"",""ru"")"),"Повторно отправить OTP на номер 1111.")</f>
        <v>Повторно отправить OTP на номер 1111.</v>
      </c>
      <c r="H620" s="67" t="str">
        <f>IFERROR(__xludf.DUMMYFUNCTION("GOOGLETRANSLATE(B620,""en"",""it"")"),"Invia nuovamente OTP nel 1111")</f>
        <v>Invia nuovamente OTP nel 1111</v>
      </c>
      <c r="I620" s="67" t="str">
        <f>IFERROR(__xludf.DUMMYFUNCTION("GOOGLETRANSLATE(B620,""en"",""de"")"),"Senden Sie das OTP erneut an 1111")</f>
        <v>Senden Sie das OTP erneut an 1111</v>
      </c>
      <c r="J620" s="67" t="str">
        <f>IFERROR(__xludf.DUMMYFUNCTION("GOOGLETRANSLATE(B620,""en"",""ko"")"),"1111로 OTP 재전송")</f>
        <v>1111로 OTP 재전송</v>
      </c>
      <c r="K620" s="67" t="str">
        <f>IFERROR(__xludf.DUMMYFUNCTION("GOOGLETRANSLATE(B620,""en"",""zh"")"),"在 1111 中重新发送 OTP")</f>
        <v>在 1111 中重新发送 OTP</v>
      </c>
      <c r="L620" s="67" t="str">
        <f>IFERROR(__xludf.DUMMYFUNCTION("GOOGLETRANSLATE(B620,""en"",""es"")"),"Reenviar OTP en 1111")</f>
        <v>Reenviar OTP en 1111</v>
      </c>
      <c r="M620" s="66" t="str">
        <f>IFERROR(__xludf.DUMMYFUNCTION("GOOGLETRANSLATE(B620,""en"",""iw"")"),"שלח שוב OTP ב-1111")</f>
        <v>שלח שוב OTP ב-1111</v>
      </c>
      <c r="N620" s="67" t="str">
        <f>IFERROR(__xludf.DUMMYFUNCTION("GOOGLETRANSLATE(B620,""en"",""bn"")"),"1111 এ আবার ওটিপি পাঠান")</f>
        <v>1111 এ আবার ওটিপি পাঠান</v>
      </c>
      <c r="O620" s="4" t="str">
        <f>IFERROR(__xludf.DUMMYFUNCTION("GOOGLETRANSLATE(B620,""en"",""pt"")"),"Reenviar OTP em 1111")</f>
        <v>Reenviar OTP em 1111</v>
      </c>
    </row>
    <row r="621">
      <c r="A621" s="89" t="s">
        <v>1452</v>
      </c>
      <c r="B621" s="92" t="s">
        <v>1453</v>
      </c>
      <c r="C621" s="66" t="str">
        <f>IFERROR(__xludf.DUMMYFUNCTION("GOOGLETRANSLATE(B621,""en"",""hi"")"),"5555 में आपका स्वागत है!")</f>
        <v>5555 में आपका स्वागत है!</v>
      </c>
      <c r="D621" s="67" t="str">
        <f>IFERROR(__xludf.DUMMYFUNCTION("GOOGLETRANSLATE(B621,""en"",""ar"")"),"مرحبا بكم في 5555!")</f>
        <v>مرحبا بكم في 5555!</v>
      </c>
      <c r="E621" s="67" t="str">
        <f>IFERROR(__xludf.DUMMYFUNCTION("GOOGLETRANSLATE(B621,""en"",""fr"")"),"Bienvenue au 5555 !")</f>
        <v>Bienvenue au 5555 !</v>
      </c>
      <c r="F621" s="67" t="str">
        <f>IFERROR(__xludf.DUMMYFUNCTION("GOOGLETRANSLATE(B621,""en"",""tr"")"),"5555'e hoş geldiniz!")</f>
        <v>5555'e hoş geldiniz!</v>
      </c>
      <c r="G621" s="67" t="str">
        <f>IFERROR(__xludf.DUMMYFUNCTION("GOOGLETRANSLATE(B621,""en"",""ru"")"),"Добро пожаловать в 5555!")</f>
        <v>Добро пожаловать в 5555!</v>
      </c>
      <c r="H621" s="67" t="str">
        <f>IFERROR(__xludf.DUMMYFUNCTION("GOOGLETRANSLATE(B621,""en"",""it"")"),"Benvenuti nel 5555!")</f>
        <v>Benvenuti nel 5555!</v>
      </c>
      <c r="I621" s="67" t="str">
        <f>IFERROR(__xludf.DUMMYFUNCTION("GOOGLETRANSLATE(B621,""en"",""de"")"),"Willkommen bei 5555!")</f>
        <v>Willkommen bei 5555!</v>
      </c>
      <c r="J621" s="67" t="str">
        <f>IFERROR(__xludf.DUMMYFUNCTION("GOOGLETRANSLATE(B621,""en"",""ko"")"),"5555에 오신 것을 환영합니다!")</f>
        <v>5555에 오신 것을 환영합니다!</v>
      </c>
      <c r="K621" s="67" t="str">
        <f>IFERROR(__xludf.DUMMYFUNCTION("GOOGLETRANSLATE(B621,""en"",""zh"")"),"欢迎来到5555！")</f>
        <v>欢迎来到5555！</v>
      </c>
      <c r="L621" s="67" t="str">
        <f>IFERROR(__xludf.DUMMYFUNCTION("GOOGLETRANSLATE(B621,""en"",""es"")"),"¡Bienvenido a 5555!")</f>
        <v>¡Bienvenido a 5555!</v>
      </c>
      <c r="M621" s="66" t="str">
        <f>IFERROR(__xludf.DUMMYFUNCTION("GOOGLETRANSLATE(B621,""en"",""iw"")"),"ברוכים הבאים ל-5555!")</f>
        <v>ברוכים הבאים ל-5555!</v>
      </c>
      <c r="N621" s="67" t="str">
        <f>IFERROR(__xludf.DUMMYFUNCTION("GOOGLETRANSLATE(B621,""en"",""bn"")"),"5555 এ স্বাগতম!")</f>
        <v>5555 এ স্বাগতম!</v>
      </c>
      <c r="O621" s="4" t="str">
        <f>IFERROR(__xludf.DUMMYFUNCTION("GOOGLETRANSLATE(B621,""en"",""pt"")"),"Bem-vindo ao 5555!")</f>
        <v>Bem-vindo ao 5555!</v>
      </c>
    </row>
    <row r="622">
      <c r="A622" s="89" t="s">
        <v>1454</v>
      </c>
      <c r="B622" s="92" t="s">
        <v>1455</v>
      </c>
      <c r="C622" s="66" t="str">
        <f>IFERROR(__xludf.DUMMYFUNCTION("GOOGLETRANSLATE(B622,""en"",""hi"")"),"कैप्टन 2 मिनट में आ जायेंगे और उनसे मिलने के लिए तैयार हो जाइये")</f>
        <v>कैप्टन 2 मिनट में आ जायेंगे और उनसे मिलने के लिए तैयार हो जाइये</v>
      </c>
      <c r="D622" s="67" t="str">
        <f>IFERROR(__xludf.DUMMYFUNCTION("GOOGLETRANSLATE(B622,""en"",""ar"")"),"سيصل الكابتن خلال دقيقتين وكن جاهزًا لمقابلته")</f>
        <v>سيصل الكابتن خلال دقيقتين وكن جاهزًا لمقابلته</v>
      </c>
      <c r="E622" s="67" t="str">
        <f>IFERROR(__xludf.DUMMYFUNCTION("GOOGLETRANSLATE(B622,""en"",""fr"")"),"Le capitaine arrivera dans 2 minutes, soyez prêt à le rencontrer")</f>
        <v>Le capitaine arrivera dans 2 minutes, soyez prêt à le rencontrer</v>
      </c>
      <c r="F622" s="67" t="str">
        <f>IFERROR(__xludf.DUMMYFUNCTION("GOOGLETRANSLATE(B622,""en"",""tr"")"),"Kaptan 2 dakika içinde gelecek, onunla buluşmaya hazır olun")</f>
        <v>Kaptan 2 dakika içinde gelecek, onunla buluşmaya hazır olun</v>
      </c>
      <c r="G622" s="67" t="str">
        <f>IFERROR(__xludf.DUMMYFUNCTION("GOOGLETRANSLATE(B622,""en"",""ru"")"),"Капитан приедет в течение 2 минут будьте готовы его встретить")</f>
        <v>Капитан приедет в течение 2 минут будьте готовы его встретить</v>
      </c>
      <c r="H622" s="67" t="str">
        <f>IFERROR(__xludf.DUMMYFUNCTION("GOOGLETRANSLATE(B622,""en"",""it"")"),"Il capitano arriverà entro 2 minuti, pronto ad incontrarlo")</f>
        <v>Il capitano arriverà entro 2 minuti, pronto ad incontrarlo</v>
      </c>
      <c r="I622" s="67" t="str">
        <f>IFERROR(__xludf.DUMMYFUNCTION("GOOGLETRANSLATE(B622,""en"",""de"")"),"Der Kapitän wird innerhalb von 2 Minuten eintreffen und bereit sein, ihn zu treffen")</f>
        <v>Der Kapitän wird innerhalb von 2 Minuten eintreffen und bereit sein, ihn zu treffen</v>
      </c>
      <c r="J622" s="67" t="str">
        <f>IFERROR(__xludf.DUMMYFUNCTION("GOOGLETRANSLATE(B622,""en"",""ko"")"),"선장은 2분 이내에 도착하여 그를 만날 준비를 합니다.")</f>
        <v>선장은 2분 이내에 도착하여 그를 만날 준비를 합니다.</v>
      </c>
      <c r="K622" s="67" t="str">
        <f>IFERROR(__xludf.DUMMYFUNCTION("GOOGLETRANSLATE(B622,""en"",""zh"")"),"船长将在 2 分钟内到达准备迎接他")</f>
        <v>船长将在 2 分钟内到达准备迎接他</v>
      </c>
      <c r="L622" s="67" t="str">
        <f>IFERROR(__xludf.DUMMYFUNCTION("GOOGLETRANSLATE(B622,""en"",""es"")"),"El capitán llegará en 2 minutos y prepárate para recibirlo.")</f>
        <v>El capitán llegará en 2 minutos y prepárate para recibirlo.</v>
      </c>
      <c r="M622" s="66" t="str">
        <f>IFERROR(__xludf.DUMMYFUNCTION("GOOGLETRANSLATE(B622,""en"",""iw"")"),"הקפטן יגיע תוך 2 דקות מוכן לפגוש אותו")</f>
        <v>הקפטן יגיע תוך 2 דקות מוכן לפגוש אותו</v>
      </c>
      <c r="N622" s="67" t="str">
        <f>IFERROR(__xludf.DUMMYFUNCTION("GOOGLETRANSLATE(B622,""en"",""bn"")"),"2 মিনিটের মধ্যে ক্যাপ্টেন আসবেন তার সাথে দেখা করার জন্য প্রস্তুত থাকুন")</f>
        <v>2 মিনিটের মধ্যে ক্যাপ্টেন আসবেন তার সাথে দেখা করার জন্য প্রস্তুত থাকুন</v>
      </c>
      <c r="O622" s="4" t="str">
        <f>IFERROR(__xludf.DUMMYFUNCTION("GOOGLETRANSLATE(B622,""en"",""pt"")"),"O capitão chegará em 2 minutos e estará pronto para recebê-lo")</f>
        <v>O capitão chegará em 2 minutos e estará pronto para recebê-lo</v>
      </c>
    </row>
    <row r="623">
      <c r="A623" s="89" t="s">
        <v>1456</v>
      </c>
      <c r="B623" s="92" t="s">
        <v>1457</v>
      </c>
      <c r="C623" s="66" t="str">
        <f>IFERROR(__xludf.DUMMYFUNCTION("GOOGLETRANSLATE(B623,""en"",""hi"")"),"1111 मिनट में गंतव्य तक पहुंचना")</f>
        <v>1111 मिनट में गंतव्य तक पहुंचना</v>
      </c>
      <c r="D623" s="67" t="str">
        <f>IFERROR(__xludf.DUMMYFUNCTION("GOOGLETRANSLATE(B623,""en"",""ar"")"),"الوصول إلى الوجهة في 1111 دقيقة")</f>
        <v>الوصول إلى الوجهة في 1111 دقيقة</v>
      </c>
      <c r="E623" s="67" t="str">
        <f>IFERROR(__xludf.DUMMYFUNCTION("GOOGLETRANSLATE(B623,""en"",""fr"")"),"Atteindre la destination en 1 111 minutes")</f>
        <v>Atteindre la destination en 1 111 minutes</v>
      </c>
      <c r="F623" s="67" t="str">
        <f>IFERROR(__xludf.DUMMYFUNCTION("GOOGLETRANSLATE(B623,""en"",""tr"")"),"Hedefe 1111 dakikada varılıyor")</f>
        <v>Hedefe 1111 dakikada varılıyor</v>
      </c>
      <c r="G623" s="67" t="str">
        <f>IFERROR(__xludf.DUMMYFUNCTION("GOOGLETRANSLATE(B623,""en"",""ru"")"),"Достижение пункта назначения за 1111 минут.")</f>
        <v>Достижение пункта назначения за 1111 минут.</v>
      </c>
      <c r="H623" s="67" t="str">
        <f>IFERROR(__xludf.DUMMYFUNCTION("GOOGLETRANSLATE(B623,""en"",""it"")"),"Raggiungere la destinazione in 1111 minuti")</f>
        <v>Raggiungere la destinazione in 1111 minuti</v>
      </c>
      <c r="I623" s="67" t="str">
        <f>IFERROR(__xludf.DUMMYFUNCTION("GOOGLETRANSLATE(B623,""en"",""de"")"),"Erreichen des Ziels in 1111 Minuten")</f>
        <v>Erreichen des Ziels in 1111 Minuten</v>
      </c>
      <c r="J623" s="67" t="str">
        <f>IFERROR(__xludf.DUMMYFUNCTION("GOOGLETRANSLATE(B623,""en"",""ko"")"),"1111분 만에 목적지 도착")</f>
        <v>1111분 만에 목적지 도착</v>
      </c>
      <c r="K623" s="67" t="str">
        <f>IFERROR(__xludf.DUMMYFUNCTION("GOOGLETRANSLATE(B623,""en"",""zh"")"),"1111分钟到达目的地")</f>
        <v>1111分钟到达目的地</v>
      </c>
      <c r="L623" s="67" t="str">
        <f>IFERROR(__xludf.DUMMYFUNCTION("GOOGLETRANSLATE(B623,""en"",""es"")"),"Llegando al destino en 1111 minutos")</f>
        <v>Llegando al destino en 1111 minutos</v>
      </c>
      <c r="M623" s="66" t="str">
        <f>IFERROR(__xludf.DUMMYFUNCTION("GOOGLETRANSLATE(B623,""en"",""iw"")"),"הגעה ליעד תוך 1111 דקות")</f>
        <v>הגעה ליעד תוך 1111 דקות</v>
      </c>
      <c r="N623" s="67" t="str">
        <f>IFERROR(__xludf.DUMMYFUNCTION("GOOGLETRANSLATE(B623,""en"",""bn"")"),"1111 মিনিটে গন্তব্যে পৌঁছানো")</f>
        <v>1111 মিনিটে গন্তব্যে পৌঁছানো</v>
      </c>
      <c r="O623" s="4" t="str">
        <f>IFERROR(__xludf.DUMMYFUNCTION("GOOGLETRANSLATE(B623,""en"",""pt"")"),"Alcançando o destino em 1111 minutos")</f>
        <v>Alcançando o destino em 1111 minutos</v>
      </c>
    </row>
    <row r="624">
      <c r="A624" s="89" t="s">
        <v>1458</v>
      </c>
      <c r="B624" s="92" t="s">
        <v>1459</v>
      </c>
      <c r="C624" s="66" t="str">
        <f>IFERROR(__xludf.DUMMYFUNCTION("GOOGLETRANSLATE(B624,""en"",""hi"")"),"मेरा नाम और मोबाइल नंबर का प्रयोग करें")</f>
        <v>मेरा नाम और मोबाइल नंबर का प्रयोग करें</v>
      </c>
      <c r="D624" s="67" t="str">
        <f>IFERROR(__xludf.DUMMYFUNCTION("GOOGLETRANSLATE(B624,""en"",""ar"")"),"استخدم اسمي ورقم الجوال")</f>
        <v>استخدم اسمي ورقم الجوال</v>
      </c>
      <c r="E624" s="67" t="str">
        <f>IFERROR(__xludf.DUMMYFUNCTION("GOOGLETRANSLATE(B624,""en"",""fr"")"),"Utiliser mon nom et mon numéro de portable")</f>
        <v>Utiliser mon nom et mon numéro de portable</v>
      </c>
      <c r="F624" s="67" t="str">
        <f>IFERROR(__xludf.DUMMYFUNCTION("GOOGLETRANSLATE(B624,""en"",""tr"")"),"Adımı ve Cep Numaramı Kullan")</f>
        <v>Adımı ve Cep Numaramı Kullan</v>
      </c>
      <c r="G624" s="67" t="str">
        <f>IFERROR(__xludf.DUMMYFUNCTION("GOOGLETRANSLATE(B624,""en"",""ru"")"),"Используйте мое имя и номер мобильного телефона")</f>
        <v>Используйте мое имя и номер мобильного телефона</v>
      </c>
      <c r="H624" s="67" t="str">
        <f>IFERROR(__xludf.DUMMYFUNCTION("GOOGLETRANSLATE(B624,""en"",""it"")"),"Utilizza il mio nome e numero di cellulare")</f>
        <v>Utilizza il mio nome e numero di cellulare</v>
      </c>
      <c r="I624" s="67" t="str">
        <f>IFERROR(__xludf.DUMMYFUNCTION("GOOGLETRANSLATE(B624,""en"",""de"")"),"Verwenden Sie meinen Namen und meine Handynummer")</f>
        <v>Verwenden Sie meinen Namen und meine Handynummer</v>
      </c>
      <c r="J624" s="67" t="str">
        <f>IFERROR(__xludf.DUMMYFUNCTION("GOOGLETRANSLATE(B624,""en"",""ko"")"),"내 이름과 휴대폰 번호를 사용하세요")</f>
        <v>내 이름과 휴대폰 번호를 사용하세요</v>
      </c>
      <c r="K624" s="67" t="str">
        <f>IFERROR(__xludf.DUMMYFUNCTION("GOOGLETRANSLATE(B624,""en"",""zh"")"),"使用我的姓名和手机号码")</f>
        <v>使用我的姓名和手机号码</v>
      </c>
      <c r="L624" s="67" t="str">
        <f>IFERROR(__xludf.DUMMYFUNCTION("GOOGLETRANSLATE(B624,""en"",""es"")"),"Usar mi nombre y número de móvil")</f>
        <v>Usar mi nombre y número de móvil</v>
      </c>
      <c r="M624" s="66" t="str">
        <f>IFERROR(__xludf.DUMMYFUNCTION("GOOGLETRANSLATE(B624,""en"",""iw"")"),"השתמש בשם ובמספר הנייד שלי")</f>
        <v>השתמש בשם ובמספר הנייד שלי</v>
      </c>
      <c r="N624" s="67" t="str">
        <f>IFERROR(__xludf.DUMMYFUNCTION("GOOGLETRANSLATE(B624,""en"",""bn"")"),"আমার নাম এবং মোবাইল নম্বর ব্যবহার করুন")</f>
        <v>আমার নাম এবং মোবাইল নম্বর ব্যবহার করুন</v>
      </c>
      <c r="O624" s="4" t="str">
        <f>IFERROR(__xludf.DUMMYFUNCTION("GOOGLETRANSLATE(B624,""en"",""pt"")"),"Use meu nome e número de celular")</f>
        <v>Use meu nome e número de celular</v>
      </c>
    </row>
    <row r="625">
      <c r="A625" s="89" t="s">
        <v>1460</v>
      </c>
      <c r="B625" s="92" t="s">
        <v>1461</v>
      </c>
      <c r="C625" s="66" t="str">
        <f>IFERROR(__xludf.DUMMYFUNCTION("GOOGLETRANSLATE(B625,""en"",""hi"")"),"उपयोगकर्ता डेटा दें")</f>
        <v>उपयोगकर्ता डेटा दें</v>
      </c>
      <c r="D625" s="67" t="str">
        <f>IFERROR(__xludf.DUMMYFUNCTION("GOOGLETRANSLATE(B625,""en"",""ar"")"),"إعطاء بيانات المستخدم")</f>
        <v>إعطاء بيانات المستخدم</v>
      </c>
      <c r="E625" s="67" t="str">
        <f>IFERROR(__xludf.DUMMYFUNCTION("GOOGLETRANSLATE(B625,""en"",""fr"")"),"Donner des données utilisateur")</f>
        <v>Donner des données utilisateur</v>
      </c>
      <c r="F625" s="67" t="str">
        <f>IFERROR(__xludf.DUMMYFUNCTION("GOOGLETRANSLATE(B625,""en"",""tr"")"),"Kullanıcı Verilerini Verin")</f>
        <v>Kullanıcı Verilerini Verin</v>
      </c>
      <c r="G625" s="67" t="str">
        <f>IFERROR(__xludf.DUMMYFUNCTION("GOOGLETRANSLATE(B625,""en"",""ru"")"),"Предоставить данные пользователя")</f>
        <v>Предоставить данные пользователя</v>
      </c>
      <c r="H625" s="67" t="str">
        <f>IFERROR(__xludf.DUMMYFUNCTION("GOOGLETRANSLATE(B625,""en"",""it"")"),"Fornisci i dati dell'utente")</f>
        <v>Fornisci i dati dell'utente</v>
      </c>
      <c r="I625" s="67" t="str">
        <f>IFERROR(__xludf.DUMMYFUNCTION("GOOGLETRANSLATE(B625,""en"",""de"")"),"Geben Sie Benutzerdaten an")</f>
        <v>Geben Sie Benutzerdaten an</v>
      </c>
      <c r="J625" s="67" t="str">
        <f>IFERROR(__xludf.DUMMYFUNCTION("GOOGLETRANSLATE(B625,""en"",""ko"")"),"사용자 데이터 제공")</f>
        <v>사용자 데이터 제공</v>
      </c>
      <c r="K625" s="67" t="str">
        <f>IFERROR(__xludf.DUMMYFUNCTION("GOOGLETRANSLATE(B625,""en"",""zh"")"),"提供用户数据")</f>
        <v>提供用户数据</v>
      </c>
      <c r="L625" s="67" t="str">
        <f>IFERROR(__xludf.DUMMYFUNCTION("GOOGLETRANSLATE(B625,""en"",""es"")"),"Dar datos de usuario")</f>
        <v>Dar datos de usuario</v>
      </c>
      <c r="M625" s="66" t="str">
        <f>IFERROR(__xludf.DUMMYFUNCTION("GOOGLETRANSLATE(B625,""en"",""iw"")"),"תן נתוני משתמש")</f>
        <v>תן נתוני משתמש</v>
      </c>
      <c r="N625" s="67" t="str">
        <f>IFERROR(__xludf.DUMMYFUNCTION("GOOGLETRANSLATE(B625,""en"",""bn"")"),"ব্যবহারকারীর ডেটা দিন")</f>
        <v>ব্যবহারকারীর ডেটা দিন</v>
      </c>
      <c r="O625" s="4" t="str">
        <f>IFERROR(__xludf.DUMMYFUNCTION("GOOGLETRANSLATE(B625,""en"",""pt"")"),"Forneça dados do usuário")</f>
        <v>Forneça dados do usuário</v>
      </c>
    </row>
    <row r="626">
      <c r="A626" s="89" t="s">
        <v>1462</v>
      </c>
      <c r="B626" s="92" t="s">
        <v>1463</v>
      </c>
      <c r="C626" s="66" t="str">
        <f>IFERROR(__xludf.DUMMYFUNCTION("GOOGLETRANSLATE(B626,""en"",""hi"")"),"पैकेज चुनें")</f>
        <v>पैकेज चुनें</v>
      </c>
      <c r="D626" s="67" t="str">
        <f>IFERROR(__xludf.DUMMYFUNCTION("GOOGLETRANSLATE(B626,""en"",""ar"")"),"حدد الحزمة")</f>
        <v>حدد الحزمة</v>
      </c>
      <c r="E626" s="67" t="str">
        <f>IFERROR(__xludf.DUMMYFUNCTION("GOOGLETRANSLATE(B626,""en"",""fr"")"),"Sélectionnez le forfait")</f>
        <v>Sélectionnez le forfait</v>
      </c>
      <c r="F626" s="67" t="str">
        <f>IFERROR(__xludf.DUMMYFUNCTION("GOOGLETRANSLATE(B626,""en"",""tr"")"),"Paket Seçin")</f>
        <v>Paket Seçin</v>
      </c>
      <c r="G626" s="67" t="str">
        <f>IFERROR(__xludf.DUMMYFUNCTION("GOOGLETRANSLATE(B626,""en"",""ru"")"),"Выберите пакет")</f>
        <v>Выберите пакет</v>
      </c>
      <c r="H626" s="67" t="str">
        <f>IFERROR(__xludf.DUMMYFUNCTION("GOOGLETRANSLATE(B626,""en"",""it"")"),"Seleziona Pacchetto")</f>
        <v>Seleziona Pacchetto</v>
      </c>
      <c r="I626" s="67" t="str">
        <f>IFERROR(__xludf.DUMMYFUNCTION("GOOGLETRANSLATE(B626,""en"",""de"")"),"Wählen Sie Paket aus")</f>
        <v>Wählen Sie Paket aus</v>
      </c>
      <c r="J626" s="67" t="str">
        <f>IFERROR(__xludf.DUMMYFUNCTION("GOOGLETRANSLATE(B626,""en"",""ko"")"),"패키지 선택")</f>
        <v>패키지 선택</v>
      </c>
      <c r="K626" s="67" t="str">
        <f>IFERROR(__xludf.DUMMYFUNCTION("GOOGLETRANSLATE(B626,""en"",""zh"")"),"选择套餐")</f>
        <v>选择套餐</v>
      </c>
      <c r="L626" s="67" t="str">
        <f>IFERROR(__xludf.DUMMYFUNCTION("GOOGLETRANSLATE(B626,""en"",""es"")"),"Seleccionar paquete")</f>
        <v>Seleccionar paquete</v>
      </c>
      <c r="M626" s="66" t="str">
        <f>IFERROR(__xludf.DUMMYFUNCTION("GOOGLETRANSLATE(B626,""en"",""iw"")"),"בחר חבילה")</f>
        <v>בחר חבילה</v>
      </c>
      <c r="N626" s="67" t="str">
        <f>IFERROR(__xludf.DUMMYFUNCTION("GOOGLETRANSLATE(B626,""en"",""bn"")"),"প্যাকেজ নির্বাচন করুন")</f>
        <v>প্যাকেজ নির্বাচন করুন</v>
      </c>
      <c r="O626" s="4" t="str">
        <f>IFERROR(__xludf.DUMMYFUNCTION("GOOGLETRANSLATE(B626,""en"",""pt"")"),"Selecione o pacote")</f>
        <v>Selecione o pacote</v>
      </c>
    </row>
    <row r="627">
      <c r="A627" s="89" t="s">
        <v>1464</v>
      </c>
      <c r="B627" s="92" t="s">
        <v>1465</v>
      </c>
      <c r="C627" s="66" t="str">
        <f>IFERROR(__xludf.DUMMYFUNCTION("GOOGLETRANSLATE(B627,""en"",""hi"")"),"नया पासवर्ड दर्ज करें")</f>
        <v>नया पासवर्ड दर्ज करें</v>
      </c>
      <c r="D627" s="67" t="str">
        <f>IFERROR(__xludf.DUMMYFUNCTION("GOOGLETRANSLATE(B627,""en"",""ar"")"),"أدخل كلمة المرور الجديدة")</f>
        <v>أدخل كلمة المرور الجديدة</v>
      </c>
      <c r="E627" s="67" t="str">
        <f>IFERROR(__xludf.DUMMYFUNCTION("GOOGLETRANSLATE(B627,""en"",""fr"")"),"Entrez un nouveau mot de passe")</f>
        <v>Entrez un nouveau mot de passe</v>
      </c>
      <c r="F627" s="67" t="str">
        <f>IFERROR(__xludf.DUMMYFUNCTION("GOOGLETRANSLATE(B627,""en"",""tr"")"),"Yeni Şifreyi Girin")</f>
        <v>Yeni Şifreyi Girin</v>
      </c>
      <c r="G627" s="67" t="str">
        <f>IFERROR(__xludf.DUMMYFUNCTION("GOOGLETRANSLATE(B627,""en"",""ru"")"),"Введите новый пароль")</f>
        <v>Введите новый пароль</v>
      </c>
      <c r="H627" s="67" t="str">
        <f>IFERROR(__xludf.DUMMYFUNCTION("GOOGLETRANSLATE(B627,""en"",""it"")"),"Inserire una nuova password")</f>
        <v>Inserire una nuova password</v>
      </c>
      <c r="I627" s="67" t="str">
        <f>IFERROR(__xludf.DUMMYFUNCTION("GOOGLETRANSLATE(B627,""en"",""de"")"),"Neues Passwort eingeben")</f>
        <v>Neues Passwort eingeben</v>
      </c>
      <c r="J627" s="67" t="str">
        <f>IFERROR(__xludf.DUMMYFUNCTION("GOOGLETRANSLATE(B627,""en"",""ko"")"),"새 비밀번호를 입력하십시오")</f>
        <v>새 비밀번호를 입력하십시오</v>
      </c>
      <c r="K627" s="67" t="str">
        <f>IFERROR(__xludf.DUMMYFUNCTION("GOOGLETRANSLATE(B627,""en"",""zh"")"),"输入新密码")</f>
        <v>输入新密码</v>
      </c>
      <c r="L627" s="67" t="str">
        <f>IFERROR(__xludf.DUMMYFUNCTION("GOOGLETRANSLATE(B627,""en"",""es"")"),"Ingrese nueva clave")</f>
        <v>Ingrese nueva clave</v>
      </c>
      <c r="M627" s="66" t="str">
        <f>IFERROR(__xludf.DUMMYFUNCTION("GOOGLETRANSLATE(B627,""en"",""iw"")"),"הכנס סיסמה חדשה")</f>
        <v>הכנס סיסמה חדשה</v>
      </c>
      <c r="N627" s="67" t="str">
        <f>IFERROR(__xludf.DUMMYFUNCTION("GOOGLETRANSLATE(B627,""en"",""bn"")"),"নতুন পাসওয়ার্ড লিখুন")</f>
        <v>নতুন পাসওয়ার্ড লিখুন</v>
      </c>
      <c r="O627" s="4" t="str">
        <f>IFERROR(__xludf.DUMMYFUNCTION("GOOGLETRANSLATE(B627,""en"",""pt"")"),"Insira a nova senha")</f>
        <v>Insira a nova senha</v>
      </c>
    </row>
    <row r="628">
      <c r="A628" s="89" t="s">
        <v>1466</v>
      </c>
      <c r="B628" s="92" t="s">
        <v>1467</v>
      </c>
      <c r="C628" s="66" t="str">
        <f>IFERROR(__xludf.DUMMYFUNCTION("GOOGLETRANSLATE(B628,""en"",""hi"")"),"पासवर्ड सफलतापूर्वक अपडेट किया गया")</f>
        <v>पासवर्ड सफलतापूर्वक अपडेट किया गया</v>
      </c>
      <c r="D628" s="67" t="str">
        <f>IFERROR(__xludf.DUMMYFUNCTION("GOOGLETRANSLATE(B628,""en"",""ar"")"),"تم تحديث كلمة المرور بنجاح")</f>
        <v>تم تحديث كلمة المرور بنجاح</v>
      </c>
      <c r="E628" s="67" t="str">
        <f>IFERROR(__xludf.DUMMYFUNCTION("GOOGLETRANSLATE(B628,""en"",""fr"")"),"Mot de passe mis à jour avec succès")</f>
        <v>Mot de passe mis à jour avec succès</v>
      </c>
      <c r="F628" s="67" t="str">
        <f>IFERROR(__xludf.DUMMYFUNCTION("GOOGLETRANSLATE(B628,""en"",""tr"")"),"Şifre başarıyla güncellendi")</f>
        <v>Şifre başarıyla güncellendi</v>
      </c>
      <c r="G628" s="67" t="str">
        <f>IFERROR(__xludf.DUMMYFUNCTION("GOOGLETRANSLATE(B628,""en"",""ru"")"),"Пароль успешно обновлен")</f>
        <v>Пароль успешно обновлен</v>
      </c>
      <c r="H628" s="67" t="str">
        <f>IFERROR(__xludf.DUMMYFUNCTION("GOOGLETRANSLATE(B628,""en"",""it"")"),"Password aggiornata con successo")</f>
        <v>Password aggiornata con successo</v>
      </c>
      <c r="I628" s="67" t="str">
        <f>IFERROR(__xludf.DUMMYFUNCTION("GOOGLETRANSLATE(B628,""en"",""de"")"),"Passwort erfolgreich aktualisiert")</f>
        <v>Passwort erfolgreich aktualisiert</v>
      </c>
      <c r="J628" s="67" t="str">
        <f>IFERROR(__xludf.DUMMYFUNCTION("GOOGLETRANSLATE(B628,""en"",""ko"")"),"비밀번호가 성공적으로 업데이트되었습니다.")</f>
        <v>비밀번호가 성공적으로 업데이트되었습니다.</v>
      </c>
      <c r="K628" s="67" t="str">
        <f>IFERROR(__xludf.DUMMYFUNCTION("GOOGLETRANSLATE(B628,""en"",""zh"")"),"密码更新成功")</f>
        <v>密码更新成功</v>
      </c>
      <c r="L628" s="67" t="str">
        <f>IFERROR(__xludf.DUMMYFUNCTION("GOOGLETRANSLATE(B628,""en"",""es"")"),"Contraseña actualizada con éxito")</f>
        <v>Contraseña actualizada con éxito</v>
      </c>
      <c r="M628" s="66" t="str">
        <f>IFERROR(__xludf.DUMMYFUNCTION("GOOGLETRANSLATE(B628,""en"",""iw"")"),"הסיסמה עודכנה בהצלחה")</f>
        <v>הסיסמה עודכנה בהצלחה</v>
      </c>
      <c r="N628" s="67" t="str">
        <f>IFERROR(__xludf.DUMMYFUNCTION("GOOGLETRANSLATE(B628,""en"",""bn"")"),"পাসওয়ার্ড সফলভাবে আপডেট হয়েছে")</f>
        <v>পাসওয়ার্ড সফলভাবে আপডেট হয়েছে</v>
      </c>
      <c r="O628" s="4" t="str">
        <f>IFERROR(__xludf.DUMMYFUNCTION("GOOGLETRANSLATE(B628,""en"",""pt"")"),"Senha atualizada com sucesso")</f>
        <v>Senha atualizada com sucesso</v>
      </c>
    </row>
    <row r="629">
      <c r="A629" s="89" t="s">
        <v>1468</v>
      </c>
      <c r="B629" s="92" t="s">
        <v>1469</v>
      </c>
      <c r="C629" s="66" t="str">
        <f>IFERROR(__xludf.DUMMYFUNCTION("GOOGLETRANSLATE(B629,""en"",""hi"")"),"पासवर्ड 8 अक्षर का होना चाहिए")</f>
        <v>पासवर्ड 8 अक्षर का होना चाहिए</v>
      </c>
      <c r="D629" s="67" t="str">
        <f>IFERROR(__xludf.DUMMYFUNCTION("GOOGLETRANSLATE(B629,""en"",""ar"")"),"يجب أن تتكون كلمة المرور من 8 أحرف")</f>
        <v>يجب أن تتكون كلمة المرور من 8 أحرف</v>
      </c>
      <c r="E629" s="67" t="str">
        <f>IFERROR(__xludf.DUMMYFUNCTION("GOOGLETRANSLATE(B629,""en"",""fr"")"),"Le mot de passe doit comporter 8 caractères")</f>
        <v>Le mot de passe doit comporter 8 caractères</v>
      </c>
      <c r="F629" s="67" t="str">
        <f>IFERROR(__xludf.DUMMYFUNCTION("GOOGLETRANSLATE(B629,""en"",""tr"")"),"Şifre 8 karakter uzunluğunda olmalıdır")</f>
        <v>Şifre 8 karakter uzunluğunda olmalıdır</v>
      </c>
      <c r="G629" s="67" t="str">
        <f>IFERROR(__xludf.DUMMYFUNCTION("GOOGLETRANSLATE(B629,""en"",""ru"")"),"Пароль должен состоять из 8 символов.")</f>
        <v>Пароль должен состоять из 8 символов.</v>
      </c>
      <c r="H629" s="67" t="str">
        <f>IFERROR(__xludf.DUMMYFUNCTION("GOOGLETRANSLATE(B629,""en"",""it"")"),"La password deve contenere 8 caratteri")</f>
        <v>La password deve contenere 8 caratteri</v>
      </c>
      <c r="I629" s="67" t="str">
        <f>IFERROR(__xludf.DUMMYFUNCTION("GOOGLETRANSLATE(B629,""en"",""de"")"),"Das Passwort muss 8 Zeichen lang sein")</f>
        <v>Das Passwort muss 8 Zeichen lang sein</v>
      </c>
      <c r="J629" s="67" t="str">
        <f>IFERROR(__xludf.DUMMYFUNCTION("GOOGLETRANSLATE(B629,""en"",""ko"")"),"비밀번호는 8자여야 합니다.")</f>
        <v>비밀번호는 8자여야 합니다.</v>
      </c>
      <c r="K629" s="67" t="str">
        <f>IFERROR(__xludf.DUMMYFUNCTION("GOOGLETRANSLATE(B629,""en"",""zh"")"),"密码长度必须为 8 个字符")</f>
        <v>密码长度必须为 8 个字符</v>
      </c>
      <c r="L629" s="67" t="str">
        <f>IFERROR(__xludf.DUMMYFUNCTION("GOOGLETRANSLATE(B629,""en"",""es"")"),"La contraseña debe tener 8 caracteres de longitud.")</f>
        <v>La contraseña debe tener 8 caracteres de longitud.</v>
      </c>
      <c r="M629" s="66" t="str">
        <f>IFERROR(__xludf.DUMMYFUNCTION("GOOGLETRANSLATE(B629,""en"",""iw"")"),"הסיסמה חייבת להיות באורך 8 תווים")</f>
        <v>הסיסמה חייבת להיות באורך 8 תווים</v>
      </c>
      <c r="N629" s="67" t="str">
        <f>IFERROR(__xludf.DUMMYFUNCTION("GOOGLETRANSLATE(B629,""en"",""bn"")"),"পাসওয়ার্ড অবশ্যই 8 অক্ষরের দৈর্ঘ্যের হতে হবে")</f>
        <v>পাসওয়ার্ড অবশ্যই 8 অক্ষরের দৈর্ঘ্যের হতে হবে</v>
      </c>
      <c r="O629" s="4" t="str">
        <f>IFERROR(__xludf.DUMMYFUNCTION("GOOGLETRANSLATE(B629,""en"",""pt"")"),"A senha deve ter 8 caracteres")</f>
        <v>A senha deve ter 8 caracteres</v>
      </c>
    </row>
    <row r="630">
      <c r="A630" s="89" t="s">
        <v>1470</v>
      </c>
      <c r="B630" s="92" t="s">
        <v>1471</v>
      </c>
      <c r="C630" s="66" t="str">
        <f>IFERROR(__xludf.DUMMYFUNCTION("GOOGLETRANSLATE(B630,""en"",""hi"")"),"कृपया सही ओटीपी दर्ज करें")</f>
        <v>कृपया सही ओटीपी दर्ज करें</v>
      </c>
      <c r="D630" s="67" t="str">
        <f>IFERROR(__xludf.DUMMYFUNCTION("GOOGLETRANSLATE(B630,""en"",""ar"")"),"الرجاء إدخال كلمة المرور الصحيحة")</f>
        <v>الرجاء إدخال كلمة المرور الصحيحة</v>
      </c>
      <c r="E630" s="67" t="str">
        <f>IFERROR(__xludf.DUMMYFUNCTION("GOOGLETRANSLATE(B630,""en"",""fr"")"),"Veuillez saisir le bon mot de passe")</f>
        <v>Veuillez saisir le bon mot de passe</v>
      </c>
      <c r="F630" s="67" t="str">
        <f>IFERROR(__xludf.DUMMYFUNCTION("GOOGLETRANSLATE(B630,""en"",""tr"")"),"Lütfen doğru otp'yi girin")</f>
        <v>Lütfen doğru otp'yi girin</v>
      </c>
      <c r="G630" s="67" t="str">
        <f>IFERROR(__xludf.DUMMYFUNCTION("GOOGLETRANSLATE(B630,""en"",""ru"")"),"Пожалуйста, введите правильный код")</f>
        <v>Пожалуйста, введите правильный код</v>
      </c>
      <c r="H630" s="67" t="str">
        <f>IFERROR(__xludf.DUMMYFUNCTION("GOOGLETRANSLATE(B630,""en"",""it"")"),"Inserisci l'OTP corretto")</f>
        <v>Inserisci l'OTP corretto</v>
      </c>
      <c r="I630" s="67" t="str">
        <f>IFERROR(__xludf.DUMMYFUNCTION("GOOGLETRANSLATE(B630,""en"",""de"")"),"Bitte geben Sie das korrekte OTP ein")</f>
        <v>Bitte geben Sie das korrekte OTP ein</v>
      </c>
      <c r="J630" s="67" t="str">
        <f>IFERROR(__xludf.DUMMYFUNCTION("GOOGLETRANSLATE(B630,""en"",""ko"")"),"올바른 OTP를 입력해주세요")</f>
        <v>올바른 OTP를 입력해주세요</v>
      </c>
      <c r="K630" s="67" t="str">
        <f>IFERROR(__xludf.DUMMYFUNCTION("GOOGLETRANSLATE(B630,""en"",""zh"")"),"请输入正确的密码")</f>
        <v>请输入正确的密码</v>
      </c>
      <c r="L630" s="67" t="str">
        <f>IFERROR(__xludf.DUMMYFUNCTION("GOOGLETRANSLATE(B630,""en"",""es"")"),"Por favor ingrese la opción correcta")</f>
        <v>Por favor ingrese la opción correcta</v>
      </c>
      <c r="M630" s="66" t="str">
        <f>IFERROR(__xludf.DUMMYFUNCTION("GOOGLETRANSLATE(B630,""en"",""iw"")"),"נא להזין otp נכון")</f>
        <v>נא להזין otp נכון</v>
      </c>
      <c r="N630" s="67" t="str">
        <f>IFERROR(__xludf.DUMMYFUNCTION("GOOGLETRANSLATE(B630,""en"",""bn"")"),"সঠিক otp লিখুন")</f>
        <v>সঠিক otp লিখুন</v>
      </c>
      <c r="O630" s="4" t="str">
        <f>IFERROR(__xludf.DUMMYFUNCTION("GOOGLETRANSLATE(B630,""en"",""pt"")"),"Por favor insira otp correto")</f>
        <v>Por favor insira otp correto</v>
      </c>
    </row>
    <row r="631">
      <c r="A631" s="89" t="s">
        <v>1472</v>
      </c>
      <c r="B631" s="92" t="s">
        <v>1473</v>
      </c>
      <c r="C631" s="66" t="str">
        <f>IFERROR(__xludf.DUMMYFUNCTION("GOOGLETRANSLATE(B631,""en"",""hi"")"),"कृपया ओटीपी दर्ज करें")</f>
        <v>कृपया ओटीपी दर्ज करें</v>
      </c>
      <c r="D631" s="67" t="str">
        <f>IFERROR(__xludf.DUMMYFUNCTION("GOOGLETRANSLATE(B631,""en"",""ar"")"),"الرجاء إدخال كلمة المرور")</f>
        <v>الرجاء إدخال كلمة المرور</v>
      </c>
      <c r="E631" s="67" t="str">
        <f>IFERROR(__xludf.DUMMYFUNCTION("GOOGLETRANSLATE(B631,""en"",""fr"")"),"Veuillez entrer OTP")</f>
        <v>Veuillez entrer OTP</v>
      </c>
      <c r="F631" s="67" t="str">
        <f>IFERROR(__xludf.DUMMYFUNCTION("GOOGLETRANSLATE(B631,""en"",""tr"")"),"Lütfen otp'yi girin")</f>
        <v>Lütfen otp'yi girin</v>
      </c>
      <c r="G631" s="67" t="str">
        <f>IFERROR(__xludf.DUMMYFUNCTION("GOOGLETRANSLATE(B631,""en"",""ru"")"),"Пожалуйста, введите отп")</f>
        <v>Пожалуйста, введите отп</v>
      </c>
      <c r="H631" s="67" t="str">
        <f>IFERROR(__xludf.DUMMYFUNCTION("GOOGLETRANSLATE(B631,""en"",""it"")"),"Per favore inserisci otp")</f>
        <v>Per favore inserisci otp</v>
      </c>
      <c r="I631" s="67" t="str">
        <f>IFERROR(__xludf.DUMMYFUNCTION("GOOGLETRANSLATE(B631,""en"",""de"")"),"Bitte geben Sie otp ein")</f>
        <v>Bitte geben Sie otp ein</v>
      </c>
      <c r="J631" s="67" t="str">
        <f>IFERROR(__xludf.DUMMYFUNCTION("GOOGLETRANSLATE(B631,""en"",""ko"")"),"OTP를 입력해주세요")</f>
        <v>OTP를 입력해주세요</v>
      </c>
      <c r="K631" s="67" t="str">
        <f>IFERROR(__xludf.DUMMYFUNCTION("GOOGLETRANSLATE(B631,""en"",""zh"")"),"请输入密码")</f>
        <v>请输入密码</v>
      </c>
      <c r="L631" s="67" t="str">
        <f>IFERROR(__xludf.DUMMYFUNCTION("GOOGLETRANSLATE(B631,""en"",""es"")"),"Por favor ingresa otp")</f>
        <v>Por favor ingresa otp</v>
      </c>
      <c r="M631" s="66" t="str">
        <f>IFERROR(__xludf.DUMMYFUNCTION("GOOGLETRANSLATE(B631,""en"",""iw"")"),"נא להזין otp")</f>
        <v>נא להזין otp</v>
      </c>
      <c r="N631" s="67" t="str">
        <f>IFERROR(__xludf.DUMMYFUNCTION("GOOGLETRANSLATE(B631,""en"",""bn"")"),"অনুগ্রহ করে ওটিপি লিখুন")</f>
        <v>অনুগ্রহ করে ওটিপি লিখুন</v>
      </c>
      <c r="O631" s="4" t="str">
        <f>IFERROR(__xludf.DUMMYFUNCTION("GOOGLETRANSLATE(B631,""en"",""pt"")"),"Por favor insira otp")</f>
        <v>Por favor insira otp</v>
      </c>
    </row>
    <row r="632">
      <c r="A632" s="89" t="s">
        <v>1474</v>
      </c>
      <c r="B632" s="92" t="s">
        <v>1475</v>
      </c>
      <c r="C632" s="66" t="str">
        <f>IFERROR(__xludf.DUMMYFUNCTION("GOOGLETRANSLATE(B632,""en"",""hi"")"),"कृपया वैध मोबाइल नंबर दर्ज करें")</f>
        <v>कृपया वैध मोबाइल नंबर दर्ज करें</v>
      </c>
      <c r="D632" s="67" t="str">
        <f>IFERROR(__xludf.DUMMYFUNCTION("GOOGLETRANSLATE(B632,""en"",""ar"")"),"الرجاء إدخال رقم جوال صالح")</f>
        <v>الرجاء إدخال رقم جوال صالح</v>
      </c>
      <c r="E632" s="67" t="str">
        <f>IFERROR(__xludf.DUMMYFUNCTION("GOOGLETRANSLATE(B632,""en"",""fr"")"),"Veuillez entrer un numéro de mobile valide")</f>
        <v>Veuillez entrer un numéro de mobile valide</v>
      </c>
      <c r="F632" s="67" t="str">
        <f>IFERROR(__xludf.DUMMYFUNCTION("GOOGLETRANSLATE(B632,""en"",""tr"")"),"Lütfen geçerli bir cep telefonu numarası girin")</f>
        <v>Lütfen geçerli bir cep telefonu numarası girin</v>
      </c>
      <c r="G632" s="67" t="str">
        <f>IFERROR(__xludf.DUMMYFUNCTION("GOOGLETRANSLATE(B632,""en"",""ru"")"),"Пожалуйста, введите действительный номер мобильного телефона")</f>
        <v>Пожалуйста, введите действительный номер мобильного телефона</v>
      </c>
      <c r="H632" s="67" t="str">
        <f>IFERROR(__xludf.DUMMYFUNCTION("GOOGLETRANSLATE(B632,""en"",""it"")"),"Inserisci un numero di cellulare valido")</f>
        <v>Inserisci un numero di cellulare valido</v>
      </c>
      <c r="I632" s="67" t="str">
        <f>IFERROR(__xludf.DUMMYFUNCTION("GOOGLETRANSLATE(B632,""en"",""de"")"),"Bitte geben Sie eine gültige Handynummer ein")</f>
        <v>Bitte geben Sie eine gültige Handynummer ein</v>
      </c>
      <c r="J632" s="67" t="str">
        <f>IFERROR(__xludf.DUMMYFUNCTION("GOOGLETRANSLATE(B632,""en"",""ko"")"),"유효한 휴대폰 번호를 입력해주세요")</f>
        <v>유효한 휴대폰 번호를 입력해주세요</v>
      </c>
      <c r="K632" s="67" t="str">
        <f>IFERROR(__xludf.DUMMYFUNCTION("GOOGLETRANSLATE(B632,""en"",""zh"")"),"请输入有效的手机号码")</f>
        <v>请输入有效的手机号码</v>
      </c>
      <c r="L632" s="67" t="str">
        <f>IFERROR(__xludf.DUMMYFUNCTION("GOOGLETRANSLATE(B632,""en"",""es"")"),"Por favor introduce un número de móvil válido")</f>
        <v>Por favor introduce un número de móvil válido</v>
      </c>
      <c r="M632" s="66" t="str">
        <f>IFERROR(__xludf.DUMMYFUNCTION("GOOGLETRANSLATE(B632,""en"",""iw"")"),"נא להזין מספר נייד חוקי")</f>
        <v>נא להזין מספר נייד חוקי</v>
      </c>
      <c r="N632" s="67" t="str">
        <f>IFERROR(__xludf.DUMMYFUNCTION("GOOGLETRANSLATE(B632,""en"",""bn"")"),"বৈধ মোবাইল নম্বর লিখুন")</f>
        <v>বৈধ মোবাইল নম্বর লিখুন</v>
      </c>
      <c r="O632" s="4" t="str">
        <f>IFERROR(__xludf.DUMMYFUNCTION("GOOGLETRANSLATE(B632,""en"",""pt"")"),"Por favor insira um número de celular válido")</f>
        <v>Por favor insira um número de celular válido</v>
      </c>
    </row>
    <row r="633">
      <c r="A633" s="89" t="s">
        <v>1476</v>
      </c>
      <c r="B633" s="92" t="s">
        <v>829</v>
      </c>
      <c r="C633" s="66" t="str">
        <f>IFERROR(__xludf.DUMMYFUNCTION("GOOGLETRANSLATE(B633,""en"",""hi"")"),"कृपया सही ईमेल पता दें")</f>
        <v>कृपया सही ईमेल पता दें</v>
      </c>
      <c r="D633" s="67" t="str">
        <f>IFERROR(__xludf.DUMMYFUNCTION("GOOGLETRANSLATE(B633,""en"",""ar"")"),"الرجاء إدخال عنوان بريد إلكتروني صالح")</f>
        <v>الرجاء إدخال عنوان بريد إلكتروني صالح</v>
      </c>
      <c r="E633" s="67" t="str">
        <f>IFERROR(__xludf.DUMMYFUNCTION("GOOGLETRANSLATE(B633,""en"",""fr"")"),"Veuillez entrer une adresse e-mail valide")</f>
        <v>Veuillez entrer une adresse e-mail valide</v>
      </c>
      <c r="F633" s="67" t="str">
        <f>IFERROR(__xludf.DUMMYFUNCTION("GOOGLETRANSLATE(B633,""en"",""tr"")"),"Lütfen geçerli bir e-posta adresi girin")</f>
        <v>Lütfen geçerli bir e-posta adresi girin</v>
      </c>
      <c r="G633" s="67" t="str">
        <f>IFERROR(__xludf.DUMMYFUNCTION("GOOGLETRANSLATE(B633,""en"",""ru"")"),"Пожалуйста введите верный адрес электронной почты")</f>
        <v>Пожалуйста введите верный адрес электронной почты</v>
      </c>
      <c r="H633" s="67" t="str">
        <f>IFERROR(__xludf.DUMMYFUNCTION("GOOGLETRANSLATE(B633,""en"",""it"")"),"Inserisci indirizzo email valido")</f>
        <v>Inserisci indirizzo email valido</v>
      </c>
      <c r="I633" s="67" t="str">
        <f>IFERROR(__xludf.DUMMYFUNCTION("GOOGLETRANSLATE(B633,""en"",""de"")"),"Bitte geben Sie eine gültige Email Adresse an")</f>
        <v>Bitte geben Sie eine gültige Email Adresse an</v>
      </c>
      <c r="J633" s="67" t="str">
        <f>IFERROR(__xludf.DUMMYFUNCTION("GOOGLETRANSLATE(B633,""en"",""ko"")"),"유효한 이메일 주소를 입력해주세요")</f>
        <v>유효한 이메일 주소를 입력해주세요</v>
      </c>
      <c r="K633" s="67" t="str">
        <f>IFERROR(__xludf.DUMMYFUNCTION("GOOGLETRANSLATE(B633,""en"",""zh"")"),"请输入有效的电子邮件地址")</f>
        <v>请输入有效的电子邮件地址</v>
      </c>
      <c r="L633" s="67" t="str">
        <f>IFERROR(__xludf.DUMMYFUNCTION("GOOGLETRANSLATE(B633,""en"",""es"")"),"Por favor ingrese una dirección de correo electrónico válida")</f>
        <v>Por favor ingrese una dirección de correo electrónico válida</v>
      </c>
      <c r="M633" s="66" t="str">
        <f>IFERROR(__xludf.DUMMYFUNCTION("GOOGLETRANSLATE(B633,""en"",""iw"")"),"נא להזין כתובת אימייל חוקית")</f>
        <v>נא להזין כתובת אימייל חוקית</v>
      </c>
      <c r="N633" s="67" t="str">
        <f>IFERROR(__xludf.DUMMYFUNCTION("GOOGLETRANSLATE(B633,""en"",""bn"")"),"বৈধ ইমেইল ঠিকানা লিখুন")</f>
        <v>বৈধ ইমেইল ঠিকানা লিখুন</v>
      </c>
      <c r="O633" s="4" t="str">
        <f>IFERROR(__xludf.DUMMYFUNCTION("GOOGLETRANSLATE(B633,""en"",""pt"")"),"Por favor insira o endereço de e-mail válido")</f>
        <v>Por favor insira o endereço de e-mail válido</v>
      </c>
    </row>
    <row r="634">
      <c r="A634" s="89" t="s">
        <v>1477</v>
      </c>
      <c r="B634" s="92" t="s">
        <v>1478</v>
      </c>
      <c r="C634" s="66" t="str">
        <f>IFERROR(__xludf.DUMMYFUNCTION("GOOGLETRANSLATE(B634,""en"",""hi"")"),"मोबाइल नंबर मौजूद नहीं है")</f>
        <v>मोबाइल नंबर मौजूद नहीं है</v>
      </c>
      <c r="D634" s="67" t="str">
        <f>IFERROR(__xludf.DUMMYFUNCTION("GOOGLETRANSLATE(B634,""en"",""ar"")"),"رقم الجوال غير موجود")</f>
        <v>رقم الجوال غير موجود</v>
      </c>
      <c r="E634" s="67" t="str">
        <f>IFERROR(__xludf.DUMMYFUNCTION("GOOGLETRANSLATE(B634,""en"",""fr"")"),"Le numéro de portable n'existe pas")</f>
        <v>Le numéro de portable n'existe pas</v>
      </c>
      <c r="F634" s="67" t="str">
        <f>IFERROR(__xludf.DUMMYFUNCTION("GOOGLETRANSLATE(B634,""en"",""tr"")"),"Cep Numarası mevcut değil")</f>
        <v>Cep Numarası mevcut değil</v>
      </c>
      <c r="G634" s="67" t="str">
        <f>IFERROR(__xludf.DUMMYFUNCTION("GOOGLETRANSLATE(B634,""en"",""ru"")"),"Номер мобильного телефона не существует")</f>
        <v>Номер мобильного телефона не существует</v>
      </c>
      <c r="H634" s="67" t="str">
        <f>IFERROR(__xludf.DUMMYFUNCTION("GOOGLETRANSLATE(B634,""en"",""it"")"),"Il numero di cellulare non esiste")</f>
        <v>Il numero di cellulare non esiste</v>
      </c>
      <c r="I634" s="67" t="str">
        <f>IFERROR(__xludf.DUMMYFUNCTION("GOOGLETRANSLATE(B634,""en"",""de"")"),"Handynummer existiert nicht")</f>
        <v>Handynummer existiert nicht</v>
      </c>
      <c r="J634" s="67" t="str">
        <f>IFERROR(__xludf.DUMMYFUNCTION("GOOGLETRANSLATE(B634,""en"",""ko"")"),"휴대폰 번호가 존재하지 않습니다")</f>
        <v>휴대폰 번호가 존재하지 않습니다</v>
      </c>
      <c r="K634" s="67" t="str">
        <f>IFERROR(__xludf.DUMMYFUNCTION("GOOGLETRANSLATE(B634,""en"",""zh"")"),"手机号码不存在")</f>
        <v>手机号码不存在</v>
      </c>
      <c r="L634" s="67" t="str">
        <f>IFERROR(__xludf.DUMMYFUNCTION("GOOGLETRANSLATE(B634,""en"",""es"")"),"El número de móvil no existe")</f>
        <v>El número de móvil no existe</v>
      </c>
      <c r="M634" s="66" t="str">
        <f>IFERROR(__xludf.DUMMYFUNCTION("GOOGLETRANSLATE(B634,""en"",""iw"")"),"מספר נייד לא קיים")</f>
        <v>מספר נייד לא קיים</v>
      </c>
      <c r="N634" s="67" t="str">
        <f>IFERROR(__xludf.DUMMYFUNCTION("GOOGLETRANSLATE(B634,""en"",""bn"")"),"মোবাইল নম্বর বিদ্যমান নেই")</f>
        <v>মোবাইল নম্বর বিদ্যমান নেই</v>
      </c>
      <c r="O634" s="4" t="str">
        <f>IFERROR(__xludf.DUMMYFUNCTION("GOOGLETRANSLATE(B634,""en"",""pt"")"),"O número do celular não existe")</f>
        <v>O número do celular não existe</v>
      </c>
    </row>
    <row r="635">
      <c r="A635" s="89" t="s">
        <v>1479</v>
      </c>
      <c r="B635" s="92" t="s">
        <v>1480</v>
      </c>
      <c r="C635" s="66" t="str">
        <f>IFERROR(__xludf.DUMMYFUNCTION("GOOGLETRANSLATE(B635,""en"",""hi"")"),"ईमेल मौजूद नहीं है")</f>
        <v>ईमेल मौजूद नहीं है</v>
      </c>
      <c r="D635" s="67" t="str">
        <f>IFERROR(__xludf.DUMMYFUNCTION("GOOGLETRANSLATE(B635,""en"",""ar"")"),"البريد الإلكتروني غير موجود")</f>
        <v>البريد الإلكتروني غير موجود</v>
      </c>
      <c r="E635" s="67" t="str">
        <f>IFERROR(__xludf.DUMMYFUNCTION("GOOGLETRANSLATE(B635,""en"",""fr"")"),"L'e-mail n'existe pas")</f>
        <v>L'e-mail n'existe pas</v>
      </c>
      <c r="F635" s="67" t="str">
        <f>IFERROR(__xludf.DUMMYFUNCTION("GOOGLETRANSLATE(B635,""en"",""tr"")"),"E-posta mevcut değil")</f>
        <v>E-posta mevcut değil</v>
      </c>
      <c r="G635" s="67" t="str">
        <f>IFERROR(__xludf.DUMMYFUNCTION("GOOGLETRANSLATE(B635,""en"",""ru"")"),"Электронная почта не существует")</f>
        <v>Электронная почта не существует</v>
      </c>
      <c r="H635" s="67" t="str">
        <f>IFERROR(__xludf.DUMMYFUNCTION("GOOGLETRANSLATE(B635,""en"",""it"")"),"L'e-mail non esiste")</f>
        <v>L'e-mail non esiste</v>
      </c>
      <c r="I635" s="67" t="str">
        <f>IFERROR(__xludf.DUMMYFUNCTION("GOOGLETRANSLATE(B635,""en"",""de"")"),"E-Mail existiert nicht")</f>
        <v>E-Mail existiert nicht</v>
      </c>
      <c r="J635" s="67" t="str">
        <f>IFERROR(__xludf.DUMMYFUNCTION("GOOGLETRANSLATE(B635,""en"",""ko"")"),"이메일이 존재하지 않습니다")</f>
        <v>이메일이 존재하지 않습니다</v>
      </c>
      <c r="K635" s="67" t="str">
        <f>IFERROR(__xludf.DUMMYFUNCTION("GOOGLETRANSLATE(B635,""en"",""zh"")"),"电子邮件不存在")</f>
        <v>电子邮件不存在</v>
      </c>
      <c r="L635" s="67" t="str">
        <f>IFERROR(__xludf.DUMMYFUNCTION("GOOGLETRANSLATE(B635,""en"",""es"")"),"El correo electrónico no existe.")</f>
        <v>El correo electrónico no existe.</v>
      </c>
      <c r="M635" s="66" t="str">
        <f>IFERROR(__xludf.DUMMYFUNCTION("GOOGLETRANSLATE(B635,""en"",""iw"")"),"אימייל לא קיים")</f>
        <v>אימייל לא קיים</v>
      </c>
      <c r="N635" s="67" t="str">
        <f>IFERROR(__xludf.DUMMYFUNCTION("GOOGLETRANSLATE(B635,""en"",""bn"")"),"ইমেল বিদ্যমান নেই")</f>
        <v>ইমেল বিদ্যমান নেই</v>
      </c>
      <c r="O635" s="4" t="str">
        <f>IFERROR(__xludf.DUMMYFUNCTION("GOOGLETRANSLATE(B635,""en"",""pt"")"),"E-mail não existe")</f>
        <v>E-mail não existe</v>
      </c>
    </row>
    <row r="636">
      <c r="A636" s="89" t="s">
        <v>1481</v>
      </c>
      <c r="B636" s="92" t="s">
        <v>1482</v>
      </c>
      <c r="C636" s="66" t="str">
        <f>IFERROR(__xludf.DUMMYFUNCTION("GOOGLETRANSLATE(B636,""en"",""hi"")"),"कृपया आगे बढ़ने के लिए सभी फ़ील्ड दर्ज करें")</f>
        <v>कृपया आगे बढ़ने के लिए सभी फ़ील्ड दर्ज करें</v>
      </c>
      <c r="D636" s="67" t="str">
        <f>IFERROR(__xludf.DUMMYFUNCTION("GOOGLETRANSLATE(B636,""en"",""ar"")"),"الرجاء إدخال جميع الحقول للمتابعة")</f>
        <v>الرجاء إدخال جميع الحقول للمتابعة</v>
      </c>
      <c r="E636" s="67" t="str">
        <f>IFERROR(__xludf.DUMMYFUNCTION("GOOGLETRANSLATE(B636,""en"",""fr"")"),"veuillez entrer tous les champs pour continuer")</f>
        <v>veuillez entrer tous les champs pour continuer</v>
      </c>
      <c r="F636" s="67" t="str">
        <f>IFERROR(__xludf.DUMMYFUNCTION("GOOGLETRANSLATE(B636,""en"",""tr"")"),"Devam etmek için lütfen tüm alanları girin")</f>
        <v>Devam etmek için lütfen tüm alanları girin</v>
      </c>
      <c r="G636" s="67" t="str">
        <f>IFERROR(__xludf.DUMMYFUNCTION("GOOGLETRANSLATE(B636,""en"",""ru"")"),"пожалуйста, введите все поля, чтобы продолжить")</f>
        <v>пожалуйста, введите все поля, чтобы продолжить</v>
      </c>
      <c r="H636" s="67" t="str">
        <f>IFERROR(__xludf.DUMMYFUNCTION("GOOGLETRANSLATE(B636,""en"",""it"")"),"si prega di compilare tutti i campi per procedere")</f>
        <v>si prega di compilare tutti i campi per procedere</v>
      </c>
      <c r="I636" s="67" t="str">
        <f>IFERROR(__xludf.DUMMYFUNCTION("GOOGLETRANSLATE(B636,""en"",""de"")"),"Bitte füllen Sie alle Felder aus, um fortzufahren")</f>
        <v>Bitte füllen Sie alle Felder aus, um fortzufahren</v>
      </c>
      <c r="J636" s="67" t="str">
        <f>IFERROR(__xludf.DUMMYFUNCTION("GOOGLETRANSLATE(B636,""en"",""ko"")"),"계속하려면 모든 필드를 입력하세요.")</f>
        <v>계속하려면 모든 필드를 입력하세요.</v>
      </c>
      <c r="K636" s="67" t="str">
        <f>IFERROR(__xludf.DUMMYFUNCTION("GOOGLETRANSLATE(B636,""en"",""zh"")"),"请输入所有字段以继续")</f>
        <v>请输入所有字段以继续</v>
      </c>
      <c r="L636" s="67" t="str">
        <f>IFERROR(__xludf.DUMMYFUNCTION("GOOGLETRANSLATE(B636,""en"",""es"")"),"por favor ingrese todos los campos para continuar")</f>
        <v>por favor ingrese todos los campos para continuar</v>
      </c>
      <c r="M636" s="66" t="str">
        <f>IFERROR(__xludf.DUMMYFUNCTION("GOOGLETRANSLATE(B636,""en"",""iw"")"),"אנא הזן את כל השדות כדי להמשיך")</f>
        <v>אנא הזן את כל השדות כדי להמשיך</v>
      </c>
      <c r="N636" s="67" t="str">
        <f>IFERROR(__xludf.DUMMYFUNCTION("GOOGLETRANSLATE(B636,""en"",""bn"")"),"এগিয়ে যেতে সব ক্ষেত্র লিখুন দয়া করে")</f>
        <v>এগিয়ে যেতে সব ক্ষেত্র লিখুন দয়া করে</v>
      </c>
      <c r="O636" s="4" t="str">
        <f>IFERROR(__xludf.DUMMYFUNCTION("GOOGLETRANSLATE(B636,""en"",""pt"")"),"por favor insira todos os campos para prosseguir")</f>
        <v>por favor insira todos os campos para prosseguir</v>
      </c>
    </row>
    <row r="637">
      <c r="A637" s="89" t="s">
        <v>1483</v>
      </c>
      <c r="B637" s="92" t="s">
        <v>1484</v>
      </c>
      <c r="C637" s="66" t="str">
        <f>IFERROR(__xludf.DUMMYFUNCTION("GOOGLETRANSLATE(B637,""en"",""hi"")"),"पासवर्ड अपडेट करें")</f>
        <v>पासवर्ड अपडेट करें</v>
      </c>
      <c r="D637" s="67" t="str">
        <f>IFERROR(__xludf.DUMMYFUNCTION("GOOGLETRANSLATE(B637,""en"",""ar"")"),"تطوير كلمة السر")</f>
        <v>تطوير كلمة السر</v>
      </c>
      <c r="E637" s="67" t="str">
        <f>IFERROR(__xludf.DUMMYFUNCTION("GOOGLETRANSLATE(B637,""en"",""fr"")"),"Mettre à jour le mot de passe")</f>
        <v>Mettre à jour le mot de passe</v>
      </c>
      <c r="F637" s="67" t="str">
        <f>IFERROR(__xludf.DUMMYFUNCTION("GOOGLETRANSLATE(B637,""en"",""tr"")"),"Şifre güncelle")</f>
        <v>Şifre güncelle</v>
      </c>
      <c r="G637" s="67" t="str">
        <f>IFERROR(__xludf.DUMMYFUNCTION("GOOGLETRANSLATE(B637,""en"",""ru"")"),"Обновить пароль")</f>
        <v>Обновить пароль</v>
      </c>
      <c r="H637" s="67" t="str">
        <f>IFERROR(__xludf.DUMMYFUNCTION("GOOGLETRANSLATE(B637,""en"",""it"")"),"Aggiorna password")</f>
        <v>Aggiorna password</v>
      </c>
      <c r="I637" s="67" t="str">
        <f>IFERROR(__xludf.DUMMYFUNCTION("GOOGLETRANSLATE(B637,""en"",""de"")"),"Kennwort aktualisieren")</f>
        <v>Kennwort aktualisieren</v>
      </c>
      <c r="J637" s="67" t="str">
        <f>IFERROR(__xludf.DUMMYFUNCTION("GOOGLETRANSLATE(B637,""en"",""ko"")"),"비밀번호 업데이트")</f>
        <v>비밀번호 업데이트</v>
      </c>
      <c r="K637" s="67" t="str">
        <f>IFERROR(__xludf.DUMMYFUNCTION("GOOGLETRANSLATE(B637,""en"",""zh"")"),"更新密码")</f>
        <v>更新密码</v>
      </c>
      <c r="L637" s="67" t="str">
        <f>IFERROR(__xludf.DUMMYFUNCTION("GOOGLETRANSLATE(B637,""en"",""es"")"),"Actualiza contraseña")</f>
        <v>Actualiza contraseña</v>
      </c>
      <c r="M637" s="66" t="str">
        <f>IFERROR(__xludf.DUMMYFUNCTION("GOOGLETRANSLATE(B637,""en"",""iw"")"),"עדכן סיסמה")</f>
        <v>עדכן סיסמה</v>
      </c>
      <c r="N637" s="67" t="str">
        <f>IFERROR(__xludf.DUMMYFUNCTION("GOOGLETRANSLATE(B637,""en"",""bn"")"),"পাসওয়ার্ড আপডেট করুন")</f>
        <v>পাসওয়ার্ড আপডেট করুন</v>
      </c>
      <c r="O637" s="4" t="str">
        <f>IFERROR(__xludf.DUMMYFUNCTION("GOOGLETRANSLATE(B637,""en"",""pt"")"),"Atualizar senha")</f>
        <v>Atualizar senha</v>
      </c>
    </row>
    <row r="638">
      <c r="A638" s="89" t="s">
        <v>1485</v>
      </c>
      <c r="B638" s="92" t="s">
        <v>1486</v>
      </c>
      <c r="C638" s="66" t="str">
        <f>IFERROR(__xludf.DUMMYFUNCTION("GOOGLETRANSLATE(B638,""en"",""hi"")"),"उपयोगकर्ता इस नंबर के साथ मौजूद नहीं है, जारी रखने के लिए कृपया साइनअप करें")</f>
        <v>उपयोगकर्ता इस नंबर के साथ मौजूद नहीं है, जारी रखने के लिए कृपया साइनअप करें</v>
      </c>
      <c r="D638" s="67" t="str">
        <f>IFERROR(__xludf.DUMMYFUNCTION("GOOGLETRANSLATE(B638,""en"",""ar"")"),"المستخدم غير موجود بهذا الرقم، يرجى التسجيل للمتابعة")</f>
        <v>المستخدم غير موجود بهذا الرقم، يرجى التسجيل للمتابعة</v>
      </c>
      <c r="E638" s="67" t="str">
        <f>IFERROR(__xludf.DUMMYFUNCTION("GOOGLETRANSLATE(B638,""en"",""fr"")"),"L'utilisateur n'existe pas avec ce numéro, veuillez vous inscrire pour continuer")</f>
        <v>L'utilisateur n'existe pas avec ce numéro, veuillez vous inscrire pour continuer</v>
      </c>
      <c r="F638" s="67" t="str">
        <f>IFERROR(__xludf.DUMMYFUNCTION("GOOGLETRANSLATE(B638,""en"",""tr"")"),"Bu numarada Kullanıcı mevcut değil, lütfen devam etmek için kaydolun")</f>
        <v>Bu numarada Kullanıcı mevcut değil, lütfen devam etmek için kaydolun</v>
      </c>
      <c r="G638" s="67" t="str">
        <f>IFERROR(__xludf.DUMMYFUNCTION("GOOGLETRANSLATE(B638,""en"",""ru"")"),"Пользователь с таким номером не существует. Зарегистрируйтесь, чтобы продолжить.")</f>
        <v>Пользователь с таким номером не существует. Зарегистрируйтесь, чтобы продолжить.</v>
      </c>
      <c r="H638" s="67" t="str">
        <f>IFERROR(__xludf.DUMMYFUNCTION("GOOGLETRANSLATE(B638,""en"",""it"")"),"L'utente non esiste con questo numero, registrati per continuare")</f>
        <v>L'utente non esiste con questo numero, registrati per continuare</v>
      </c>
      <c r="I638" s="67" t="str">
        <f>IFERROR(__xludf.DUMMYFUNCTION("GOOGLETRANSLATE(B638,""en"",""de"")"),"Der Benutzer ist mit dieser Nummer nicht vorhanden. Bitte registrieren Sie sich, um fortzufahren")</f>
        <v>Der Benutzer ist mit dieser Nummer nicht vorhanden. Bitte registrieren Sie sich, um fortzufahren</v>
      </c>
      <c r="J638" s="67" t="str">
        <f>IFERROR(__xludf.DUMMYFUNCTION("GOOGLETRANSLATE(B638,""en"",""ko"")"),"이 번호를 가진 사용자가 존재하지 않습니다. 계속하려면 가입하세요.")</f>
        <v>이 번호를 가진 사용자가 존재하지 않습니다. 계속하려면 가입하세요.</v>
      </c>
      <c r="K638" s="67" t="str">
        <f>IFERROR(__xludf.DUMMYFUNCTION("GOOGLETRANSLATE(B638,""en"",""zh"")"),"此号码不存在，请注册以继续")</f>
        <v>此号码不存在，请注册以继续</v>
      </c>
      <c r="L638" s="67" t="str">
        <f>IFERROR(__xludf.DUMMYFUNCTION("GOOGLETRANSLATE(B638,""en"",""es"")"),"El usuario no existe con este número, regístrese para continuar")</f>
        <v>El usuario no existe con este número, regístrese para continuar</v>
      </c>
      <c r="M638" s="66" t="str">
        <f>IFERROR(__xludf.DUMMYFUNCTION("GOOGLETRANSLATE(B638,""en"",""iw"")"),"המשתמש לא קיים עם המספר הזה, אנא הירשם כדי להמשיך")</f>
        <v>המשתמש לא קיים עם המספר הזה, אנא הירשם כדי להמשיך</v>
      </c>
      <c r="N638" s="67" t="str">
        <f>IFERROR(__xludf.DUMMYFUNCTION("GOOGLETRANSLATE(B638,""en"",""bn"")"),"এই নম্বরের সাথে ব্যবহারকারীর অস্তিত্ব নেই, অনুগ্রহ করে চালিয়ে যেতে সাইন আপ করুন")</f>
        <v>এই নম্বরের সাথে ব্যবহারকারীর অস্তিত্ব নেই, অনুগ্রহ করে চালিয়ে যেতে সাইন আপ করুন</v>
      </c>
      <c r="O638" s="4" t="str">
        <f>IFERROR(__xludf.DUMMYFUNCTION("GOOGLETRANSLATE(B638,""en"",""pt"")"),"O usuário não existe com este número. Cadastre-se para continuar")</f>
        <v>O usuário não existe com este número. Cadastre-se para continuar</v>
      </c>
    </row>
    <row r="639">
      <c r="A639" s="89" t="s">
        <v>1487</v>
      </c>
      <c r="B639" s="92" t="s">
        <v>1488</v>
      </c>
      <c r="C639" s="66" t="str">
        <f>IFERROR(__xludf.DUMMYFUNCTION("GOOGLETRANSLATE(B639,""en"",""hi"")"),"- 1111 के लिए पंजीकृत")</f>
        <v>- 1111 के लिए पंजीकृत</v>
      </c>
      <c r="D639" s="67" t="str">
        <f>IFERROR(__xludf.DUMMYFUNCTION("GOOGLETRANSLATE(B639,""en"",""ar"")"),"مسجل ل- 1111")</f>
        <v>مسجل ل- 1111</v>
      </c>
      <c r="E639" s="67" t="str">
        <f>IFERROR(__xludf.DUMMYFUNCTION("GOOGLETRANSLATE(B639,""en"",""fr"")"),"Inscrit pour - 1111")</f>
        <v>Inscrit pour - 1111</v>
      </c>
      <c r="F639" s="67" t="str">
        <f>IFERROR(__xludf.DUMMYFUNCTION("GOOGLETRANSLATE(B639,""en"",""tr"")"),"Kayıtlı - 1111")</f>
        <v>Kayıtlı - 1111</v>
      </c>
      <c r="G639" s="67" t="str">
        <f>IFERROR(__xludf.DUMMYFUNCTION("GOOGLETRANSLATE(B639,""en"",""ru"")"),"Зарегистрирован на - 1111")</f>
        <v>Зарегистрирован на - 1111</v>
      </c>
      <c r="H639" s="67" t="str">
        <f>IFERROR(__xludf.DUMMYFUNCTION("GOOGLETRANSLATE(B639,""en"",""it"")"),"Registrato per - 1111")</f>
        <v>Registrato per - 1111</v>
      </c>
      <c r="I639" s="67" t="str">
        <f>IFERROR(__xludf.DUMMYFUNCTION("GOOGLETRANSLATE(B639,""en"",""de"")"),"Registriert für - 1111")</f>
        <v>Registriert für - 1111</v>
      </c>
      <c r="J639" s="67" t="str">
        <f>IFERROR(__xludf.DUMMYFUNCTION("GOOGLETRANSLATE(B639,""en"",""ko"")"),"등록 - 1111")</f>
        <v>등록 - 1111</v>
      </c>
      <c r="K639" s="67" t="str">
        <f>IFERROR(__xludf.DUMMYFUNCTION("GOOGLETRANSLATE(B639,""en"",""zh"")"),"注册 - 1111")</f>
        <v>注册 - 1111</v>
      </c>
      <c r="L639" s="67" t="str">
        <f>IFERROR(__xludf.DUMMYFUNCTION("GOOGLETRANSLATE(B639,""en"",""es"")"),"Registrado para - 1111")</f>
        <v>Registrado para - 1111</v>
      </c>
      <c r="M639" s="66" t="str">
        <f>IFERROR(__xludf.DUMMYFUNCTION("GOOGLETRANSLATE(B639,""en"",""iw"")"),"נרשם עבור - 1111")</f>
        <v>נרשם עבור - 1111</v>
      </c>
      <c r="N639" s="67" t="str">
        <f>IFERROR(__xludf.DUMMYFUNCTION("GOOGLETRANSLATE(B639,""en"",""bn"")"),"নিবন্ধিত - 1111")</f>
        <v>নিবন্ধিত - 1111</v>
      </c>
      <c r="O639" s="4" t="str">
        <f>IFERROR(__xludf.DUMMYFUNCTION("GOOGLETRANSLATE(B639,""en"",""pt"")"),"Registrado para - 1111")</f>
        <v>Registrado para - 1111</v>
      </c>
    </row>
    <row r="640">
      <c r="A640" s="89" t="s">
        <v>1489</v>
      </c>
      <c r="B640" s="92" t="s">
        <v>1490</v>
      </c>
      <c r="C640" s="66" t="str">
        <f>IFERROR(__xludf.DUMMYFUNCTION("GOOGLETRANSLATE(B640,""en"",""hi"")"),"पुरुष")</f>
        <v>पुरुष</v>
      </c>
      <c r="D640" s="67" t="str">
        <f>IFERROR(__xludf.DUMMYFUNCTION("GOOGLETRANSLATE(B640,""en"",""ar"")"),"ذكر")</f>
        <v>ذكر</v>
      </c>
      <c r="E640" s="67" t="str">
        <f>IFERROR(__xludf.DUMMYFUNCTION("GOOGLETRANSLATE(B640,""en"",""fr"")"),"Mâle")</f>
        <v>Mâle</v>
      </c>
      <c r="F640" s="67" t="str">
        <f>IFERROR(__xludf.DUMMYFUNCTION("GOOGLETRANSLATE(B640,""en"",""tr"")"),"Erkek")</f>
        <v>Erkek</v>
      </c>
      <c r="G640" s="67" t="str">
        <f>IFERROR(__xludf.DUMMYFUNCTION("GOOGLETRANSLATE(B640,""en"",""ru"")"),"Мужской")</f>
        <v>Мужской</v>
      </c>
      <c r="H640" s="67" t="str">
        <f>IFERROR(__xludf.DUMMYFUNCTION("GOOGLETRANSLATE(B640,""en"",""it"")"),"Maschio")</f>
        <v>Maschio</v>
      </c>
      <c r="I640" s="67" t="str">
        <f>IFERROR(__xludf.DUMMYFUNCTION("GOOGLETRANSLATE(B640,""en"",""de"")"),"Männlich")</f>
        <v>Männlich</v>
      </c>
      <c r="J640" s="67" t="str">
        <f>IFERROR(__xludf.DUMMYFUNCTION("GOOGLETRANSLATE(B640,""en"",""ko"")"),"남성")</f>
        <v>남성</v>
      </c>
      <c r="K640" s="67" t="str">
        <f>IFERROR(__xludf.DUMMYFUNCTION("GOOGLETRANSLATE(B640,""en"",""zh"")"),"男性")</f>
        <v>男性</v>
      </c>
      <c r="L640" s="67" t="str">
        <f>IFERROR(__xludf.DUMMYFUNCTION("GOOGLETRANSLATE(B640,""en"",""es"")"),"Masculino")</f>
        <v>Masculino</v>
      </c>
      <c r="M640" s="66" t="str">
        <f>IFERROR(__xludf.DUMMYFUNCTION("GOOGLETRANSLATE(B640,""en"",""iw"")"),"זָכָר")</f>
        <v>זָכָר</v>
      </c>
      <c r="N640" s="67" t="str">
        <f>IFERROR(__xludf.DUMMYFUNCTION("GOOGLETRANSLATE(B640,""en"",""bn"")"),"পুরুষ")</f>
        <v>পুরুষ</v>
      </c>
      <c r="O640" s="4" t="str">
        <f>IFERROR(__xludf.DUMMYFUNCTION("GOOGLETRANSLATE(B640,""en"",""pt"")"),"Macho")</f>
        <v>Macho</v>
      </c>
    </row>
    <row r="641">
      <c r="A641" s="89" t="s">
        <v>1491</v>
      </c>
      <c r="B641" s="92" t="s">
        <v>1492</v>
      </c>
      <c r="C641" s="66" t="str">
        <f>IFERROR(__xludf.DUMMYFUNCTION("GOOGLETRANSLATE(B641,""en"",""hi"")"),"महिला")</f>
        <v>महिला</v>
      </c>
      <c r="D641" s="67" t="str">
        <f>IFERROR(__xludf.DUMMYFUNCTION("GOOGLETRANSLATE(B641,""en"",""ar"")"),"أنثى")</f>
        <v>أنثى</v>
      </c>
      <c r="E641" s="67" t="str">
        <f>IFERROR(__xludf.DUMMYFUNCTION("GOOGLETRANSLATE(B641,""en"",""fr"")"),"Femelle")</f>
        <v>Femelle</v>
      </c>
      <c r="F641" s="67" t="str">
        <f>IFERROR(__xludf.DUMMYFUNCTION("GOOGLETRANSLATE(B641,""en"",""tr"")"),"Dişi")</f>
        <v>Dişi</v>
      </c>
      <c r="G641" s="67" t="str">
        <f>IFERROR(__xludf.DUMMYFUNCTION("GOOGLETRANSLATE(B641,""en"",""ru"")"),"Женский")</f>
        <v>Женский</v>
      </c>
      <c r="H641" s="67" t="str">
        <f>IFERROR(__xludf.DUMMYFUNCTION("GOOGLETRANSLATE(B641,""en"",""it"")"),"Femmina")</f>
        <v>Femmina</v>
      </c>
      <c r="I641" s="67" t="str">
        <f>IFERROR(__xludf.DUMMYFUNCTION("GOOGLETRANSLATE(B641,""en"",""de"")"),"Weiblich")</f>
        <v>Weiblich</v>
      </c>
      <c r="J641" s="67" t="str">
        <f>IFERROR(__xludf.DUMMYFUNCTION("GOOGLETRANSLATE(B641,""en"",""ko"")"),"여성")</f>
        <v>여성</v>
      </c>
      <c r="K641" s="67" t="str">
        <f>IFERROR(__xludf.DUMMYFUNCTION("GOOGLETRANSLATE(B641,""en"",""zh"")"),"女性")</f>
        <v>女性</v>
      </c>
      <c r="L641" s="67" t="str">
        <f>IFERROR(__xludf.DUMMYFUNCTION("GOOGLETRANSLATE(B641,""en"",""es"")"),"Femenino")</f>
        <v>Femenino</v>
      </c>
      <c r="M641" s="66" t="str">
        <f>IFERROR(__xludf.DUMMYFUNCTION("GOOGLETRANSLATE(B641,""en"",""iw"")"),"נְקֵבָה")</f>
        <v>נְקֵבָה</v>
      </c>
      <c r="N641" s="67" t="str">
        <f>IFERROR(__xludf.DUMMYFUNCTION("GOOGLETRANSLATE(B641,""en"",""bn"")"),"মহিলা")</f>
        <v>মহিলা</v>
      </c>
      <c r="O641" s="4" t="str">
        <f>IFERROR(__xludf.DUMMYFUNCTION("GOOGLETRANSLATE(B641,""en"",""pt"")"),"Fêmea")</f>
        <v>Fêmea</v>
      </c>
    </row>
    <row r="642">
      <c r="A642" s="89" t="s">
        <v>1493</v>
      </c>
      <c r="B642" s="92" t="s">
        <v>1494</v>
      </c>
      <c r="C642" s="66" t="str">
        <f>IFERROR(__xludf.DUMMYFUNCTION("GOOGLETRANSLATE(B642,""en"",""hi"")"),"अज्ञात")</f>
        <v>अज्ञात</v>
      </c>
      <c r="D642" s="67" t="str">
        <f>IFERROR(__xludf.DUMMYFUNCTION("GOOGLETRANSLATE(B642,""en"",""ar"")"),"مجهول")</f>
        <v>مجهول</v>
      </c>
      <c r="E642" s="67" t="str">
        <f>IFERROR(__xludf.DUMMYFUNCTION("GOOGLETRANSLATE(B642,""en"",""fr"")"),"Inconnu")</f>
        <v>Inconnu</v>
      </c>
      <c r="F642" s="67" t="str">
        <f>IFERROR(__xludf.DUMMYFUNCTION("GOOGLETRANSLATE(B642,""en"",""tr"")"),"Bilinmeyen")</f>
        <v>Bilinmeyen</v>
      </c>
      <c r="G642" s="67" t="str">
        <f>IFERROR(__xludf.DUMMYFUNCTION("GOOGLETRANSLATE(B642,""en"",""ru"")"),"Неизвестный")</f>
        <v>Неизвестный</v>
      </c>
      <c r="H642" s="67" t="str">
        <f>IFERROR(__xludf.DUMMYFUNCTION("GOOGLETRANSLATE(B642,""en"",""it"")"),"Sconosciuto")</f>
        <v>Sconosciuto</v>
      </c>
      <c r="I642" s="67" t="str">
        <f>IFERROR(__xludf.DUMMYFUNCTION("GOOGLETRANSLATE(B642,""en"",""de"")"),"Unbekannt")</f>
        <v>Unbekannt</v>
      </c>
      <c r="J642" s="67" t="str">
        <f>IFERROR(__xludf.DUMMYFUNCTION("GOOGLETRANSLATE(B642,""en"",""ko"")"),"알려지지 않은")</f>
        <v>알려지지 않은</v>
      </c>
      <c r="K642" s="67" t="str">
        <f>IFERROR(__xludf.DUMMYFUNCTION("GOOGLETRANSLATE(B642,""en"",""zh"")"),"未知")</f>
        <v>未知</v>
      </c>
      <c r="L642" s="67" t="str">
        <f>IFERROR(__xludf.DUMMYFUNCTION("GOOGLETRANSLATE(B642,""en"",""es"")"),"Desconocido")</f>
        <v>Desconocido</v>
      </c>
      <c r="M642" s="66" t="str">
        <f>IFERROR(__xludf.DUMMYFUNCTION("GOOGLETRANSLATE(B642,""en"",""iw"")"),"לא ידוע")</f>
        <v>לא ידוע</v>
      </c>
      <c r="N642" s="67" t="str">
        <f>IFERROR(__xludf.DUMMYFUNCTION("GOOGLETRANSLATE(B642,""en"",""bn"")"),"অজানা")</f>
        <v>অজানা</v>
      </c>
      <c r="O642" s="4" t="str">
        <f>IFERROR(__xludf.DUMMYFUNCTION("GOOGLETRANSLATE(B642,""en"",""pt"")"),"Desconhecido")</f>
        <v>Desconhecido</v>
      </c>
    </row>
    <row r="643">
      <c r="A643" s="89" t="s">
        <v>1495</v>
      </c>
      <c r="B643" s="92" t="s">
        <v>1496</v>
      </c>
      <c r="C643" s="66" t="str">
        <f>IFERROR(__xludf.DUMMYFUNCTION("GOOGLETRANSLATE(B643,""en"",""hi"")"),"लिंग")</f>
        <v>लिंग</v>
      </c>
      <c r="D643" s="67" t="str">
        <f>IFERROR(__xludf.DUMMYFUNCTION("GOOGLETRANSLATE(B643,""en"",""ar"")"),"جنس")</f>
        <v>جنس</v>
      </c>
      <c r="E643" s="67" t="str">
        <f>IFERROR(__xludf.DUMMYFUNCTION("GOOGLETRANSLATE(B643,""en"",""fr"")"),"Genre")</f>
        <v>Genre</v>
      </c>
      <c r="F643" s="67" t="str">
        <f>IFERROR(__xludf.DUMMYFUNCTION("GOOGLETRANSLATE(B643,""en"",""tr"")"),"Cinsiyet")</f>
        <v>Cinsiyet</v>
      </c>
      <c r="G643" s="67" t="str">
        <f>IFERROR(__xludf.DUMMYFUNCTION("GOOGLETRANSLATE(B643,""en"",""ru"")"),"Пол")</f>
        <v>Пол</v>
      </c>
      <c r="H643" s="67" t="str">
        <f>IFERROR(__xludf.DUMMYFUNCTION("GOOGLETRANSLATE(B643,""en"",""it"")"),"Genere")</f>
        <v>Genere</v>
      </c>
      <c r="I643" s="67" t="str">
        <f>IFERROR(__xludf.DUMMYFUNCTION("GOOGLETRANSLATE(B643,""en"",""de"")"),"Geschlecht")</f>
        <v>Geschlecht</v>
      </c>
      <c r="J643" s="67" t="str">
        <f>IFERROR(__xludf.DUMMYFUNCTION("GOOGLETRANSLATE(B643,""en"",""ko"")"),"성별")</f>
        <v>성별</v>
      </c>
      <c r="K643" s="67" t="str">
        <f>IFERROR(__xludf.DUMMYFUNCTION("GOOGLETRANSLATE(B643,""en"",""zh"")"),"性别")</f>
        <v>性别</v>
      </c>
      <c r="L643" s="67" t="str">
        <f>IFERROR(__xludf.DUMMYFUNCTION("GOOGLETRANSLATE(B643,""en"",""es"")"),"Género")</f>
        <v>Género</v>
      </c>
      <c r="M643" s="66" t="str">
        <f>IFERROR(__xludf.DUMMYFUNCTION("GOOGLETRANSLATE(B643,""en"",""iw"")"),"מִין")</f>
        <v>מִין</v>
      </c>
      <c r="N643" s="67" t="str">
        <f>IFERROR(__xludf.DUMMYFUNCTION("GOOGLETRANSLATE(B643,""en"",""bn"")"),"লিঙ্গ")</f>
        <v>লিঙ্গ</v>
      </c>
      <c r="O643" s="4" t="str">
        <f>IFERROR(__xludf.DUMMYFUNCTION("GOOGLETRANSLATE(B643,""en"",""pt"")"),"Gênero")</f>
        <v>Gênero</v>
      </c>
    </row>
    <row r="644">
      <c r="A644" s="89" t="s">
        <v>1497</v>
      </c>
      <c r="B644" s="92" t="s">
        <v>1498</v>
      </c>
      <c r="C644" s="66" t="str">
        <f>IFERROR(__xludf.DUMMYFUNCTION("GOOGLETRANSLATE(B644,""en"",""hi"")"),"निर्दिष्ट नहीं है")</f>
        <v>निर्दिष्ट नहीं है</v>
      </c>
      <c r="D644" s="67" t="str">
        <f>IFERROR(__xludf.DUMMYFUNCTION("GOOGLETRANSLATE(B644,""en"",""ar"")"),"غير محدد")</f>
        <v>غير محدد</v>
      </c>
      <c r="E644" s="67" t="str">
        <f>IFERROR(__xludf.DUMMYFUNCTION("GOOGLETRANSLATE(B644,""en"",""fr"")"),"Non spécifié")</f>
        <v>Non spécifié</v>
      </c>
      <c r="F644" s="67" t="str">
        <f>IFERROR(__xludf.DUMMYFUNCTION("GOOGLETRANSLATE(B644,""en"",""tr"")"),"Belirtilmemiş")</f>
        <v>Belirtilmemiş</v>
      </c>
      <c r="G644" s="67" t="str">
        <f>IFERROR(__xludf.DUMMYFUNCTION("GOOGLETRANSLATE(B644,""en"",""ru"")"),"Не указан")</f>
        <v>Не указан</v>
      </c>
      <c r="H644" s="67" t="str">
        <f>IFERROR(__xludf.DUMMYFUNCTION("GOOGLETRANSLATE(B644,""en"",""it"")"),"Non specificato")</f>
        <v>Non specificato</v>
      </c>
      <c r="I644" s="67" t="str">
        <f>IFERROR(__xludf.DUMMYFUNCTION("GOOGLETRANSLATE(B644,""en"",""de"")"),"Nicht angegeben")</f>
        <v>Nicht angegeben</v>
      </c>
      <c r="J644" s="67" t="str">
        <f>IFERROR(__xludf.DUMMYFUNCTION("GOOGLETRANSLATE(B644,""en"",""ko"")"),"명시되지 않은")</f>
        <v>명시되지 않은</v>
      </c>
      <c r="K644" s="67" t="str">
        <f>IFERROR(__xludf.DUMMYFUNCTION("GOOGLETRANSLATE(B644,""en"",""zh"")"),"未指定")</f>
        <v>未指定</v>
      </c>
      <c r="L644" s="67" t="str">
        <f>IFERROR(__xludf.DUMMYFUNCTION("GOOGLETRANSLATE(B644,""en"",""es"")"),"No especificado")</f>
        <v>No especificado</v>
      </c>
      <c r="M644" s="66" t="str">
        <f>IFERROR(__xludf.DUMMYFUNCTION("GOOGLETRANSLATE(B644,""en"",""iw"")"),"לא מוגדר")</f>
        <v>לא מוגדר</v>
      </c>
      <c r="N644" s="67" t="str">
        <f>IFERROR(__xludf.DUMMYFUNCTION("GOOGLETRANSLATE(B644,""en"",""bn"")"),"উল্লিখিত না")</f>
        <v>উল্লিখিত না</v>
      </c>
      <c r="O644" s="4" t="str">
        <f>IFERROR(__xludf.DUMMYFUNCTION("GOOGLETRANSLATE(B644,""en"",""pt"")"),"Não especificado")</f>
        <v>Não especificado</v>
      </c>
    </row>
    <row r="645">
      <c r="A645" s="89" t="s">
        <v>1499</v>
      </c>
      <c r="B645" s="92" t="s">
        <v>1500</v>
      </c>
      <c r="C645" s="66" t="str">
        <f>IFERROR(__xludf.DUMMYFUNCTION("GOOGLETRANSLATE(B645,""en"",""hi"")"),"है मैं")</f>
        <v>है मैं</v>
      </c>
      <c r="D645" s="67" t="str">
        <f>IFERROR(__xludf.DUMMYFUNCTION("GOOGLETRANSLATE(B645,""en"",""ar"")"),"واجهة الدفع الموحدة (UPI).")</f>
        <v>واجهة الدفع الموحدة (UPI).</v>
      </c>
      <c r="E645" s="67" t="str">
        <f>IFERROR(__xludf.DUMMYFUNCTION("GOOGLETRANSLATE(B645,""en"",""fr"")"),"UPI")</f>
        <v>UPI</v>
      </c>
      <c r="F645" s="67" t="str">
        <f>IFERROR(__xludf.DUMMYFUNCTION("GOOGLETRANSLATE(B645,""en"",""tr"")"),"UPI")</f>
        <v>UPI</v>
      </c>
      <c r="G645" s="67" t="str">
        <f>IFERROR(__xludf.DUMMYFUNCTION("GOOGLETRANSLATE(B645,""en"",""ru"")"),"УПИ")</f>
        <v>УПИ</v>
      </c>
      <c r="H645" s="67" t="str">
        <f>IFERROR(__xludf.DUMMYFUNCTION("GOOGLETRANSLATE(B645,""en"",""it"")"),"UPI")</f>
        <v>UPI</v>
      </c>
      <c r="I645" s="67" t="str">
        <f>IFERROR(__xludf.DUMMYFUNCTION("GOOGLETRANSLATE(B645,""en"",""de"")"),"UPI")</f>
        <v>UPI</v>
      </c>
      <c r="J645" s="67" t="str">
        <f>IFERROR(__xludf.DUMMYFUNCTION("GOOGLETRANSLATE(B645,""en"",""ko"")"),"UPI")</f>
        <v>UPI</v>
      </c>
      <c r="K645" s="67" t="str">
        <f>IFERROR(__xludf.DUMMYFUNCTION("GOOGLETRANSLATE(B645,""en"",""zh"")"),"统一工业指数")</f>
        <v>统一工业指数</v>
      </c>
      <c r="L645" s="67" t="str">
        <f>IFERROR(__xludf.DUMMYFUNCTION("GOOGLETRANSLATE(B645,""en"",""es"")"),"UPI")</f>
        <v>UPI</v>
      </c>
      <c r="M645" s="66" t="str">
        <f>IFERROR(__xludf.DUMMYFUNCTION("GOOGLETRANSLATE(B645,""en"",""iw"")"),"UPI")</f>
        <v>UPI</v>
      </c>
      <c r="N645" s="67" t="str">
        <f>IFERROR(__xludf.DUMMYFUNCTION("GOOGLETRANSLATE(B645,""en"",""bn"")"),"ইউপিআই")</f>
        <v>ইউপিআই</v>
      </c>
      <c r="O645" s="4" t="str">
        <f>IFERROR(__xludf.DUMMYFUNCTION("GOOGLETRANSLATE(B645,""en"",""pt"")"),"UPI")</f>
        <v>UPI</v>
      </c>
    </row>
    <row r="646">
      <c r="A646" s="89" t="s">
        <v>1501</v>
      </c>
      <c r="B646" s="92" t="s">
        <v>1502</v>
      </c>
      <c r="C646" s="66" t="str">
        <f>IFERROR(__xludf.DUMMYFUNCTION("GOOGLETRANSLATE(B646,""en"",""hi"")"),"पालतू जानवर")</f>
        <v>पालतू जानवर</v>
      </c>
      <c r="D646" s="67" t="str">
        <f>IFERROR(__xludf.DUMMYFUNCTION("GOOGLETRANSLATE(B646,""en"",""ar"")"),"حيوانات أليفة")</f>
        <v>حيوانات أليفة</v>
      </c>
      <c r="E646" s="67" t="str">
        <f>IFERROR(__xludf.DUMMYFUNCTION("GOOGLETRANSLATE(B646,""en"",""fr"")"),"Animaux domestiques")</f>
        <v>Animaux domestiques</v>
      </c>
      <c r="F646" s="67" t="str">
        <f>IFERROR(__xludf.DUMMYFUNCTION("GOOGLETRANSLATE(B646,""en"",""tr"")"),"Evcil Hayvanlar")</f>
        <v>Evcil Hayvanlar</v>
      </c>
      <c r="G646" s="67" t="str">
        <f>IFERROR(__xludf.DUMMYFUNCTION("GOOGLETRANSLATE(B646,""en"",""ru"")"),"Домашние питомцы")</f>
        <v>Домашние питомцы</v>
      </c>
      <c r="H646" s="67" t="str">
        <f>IFERROR(__xludf.DUMMYFUNCTION("GOOGLETRANSLATE(B646,""en"",""it"")"),"Animali domestici")</f>
        <v>Animali domestici</v>
      </c>
      <c r="I646" s="67" t="str">
        <f>IFERROR(__xludf.DUMMYFUNCTION("GOOGLETRANSLATE(B646,""en"",""de"")"),"Haustiere")</f>
        <v>Haustiere</v>
      </c>
      <c r="J646" s="67" t="str">
        <f>IFERROR(__xludf.DUMMYFUNCTION("GOOGLETRANSLATE(B646,""en"",""ko"")"),"애완동물")</f>
        <v>애완동물</v>
      </c>
      <c r="K646" s="67" t="str">
        <f>IFERROR(__xludf.DUMMYFUNCTION("GOOGLETRANSLATE(B646,""en"",""zh"")"),"宠物")</f>
        <v>宠物</v>
      </c>
      <c r="L646" s="67" t="str">
        <f>IFERROR(__xludf.DUMMYFUNCTION("GOOGLETRANSLATE(B646,""en"",""es"")"),"Mascotas")</f>
        <v>Mascotas</v>
      </c>
      <c r="M646" s="66" t="str">
        <f>IFERROR(__xludf.DUMMYFUNCTION("GOOGLETRANSLATE(B646,""en"",""iw"")"),"חיות מחמד")</f>
        <v>חיות מחמד</v>
      </c>
      <c r="N646" s="67" t="str">
        <f>IFERROR(__xludf.DUMMYFUNCTION("GOOGLETRANSLATE(B646,""en"",""bn"")"),"পোষা প্রাণী")</f>
        <v>পোষা প্রাণী</v>
      </c>
      <c r="O646" s="4" t="str">
        <f>IFERROR(__xludf.DUMMYFUNCTION("GOOGLETRANSLATE(B646,""en"",""pt"")"),"Animais de estimação")</f>
        <v>Animais de estimação</v>
      </c>
    </row>
    <row r="647">
      <c r="A647" s="89" t="s">
        <v>1503</v>
      </c>
      <c r="B647" s="92" t="s">
        <v>1504</v>
      </c>
      <c r="C647" s="66" t="str">
        <f>IFERROR(__xludf.DUMMYFUNCTION("GOOGLETRANSLATE(B647,""en"",""hi"")"),"सामान")</f>
        <v>सामान</v>
      </c>
      <c r="D647" s="67" t="str">
        <f>IFERROR(__xludf.DUMMYFUNCTION("GOOGLETRANSLATE(B647,""en"",""ar"")"),"الأمتعة")</f>
        <v>الأمتعة</v>
      </c>
      <c r="E647" s="67" t="str">
        <f>IFERROR(__xludf.DUMMYFUNCTION("GOOGLETRANSLATE(B647,""en"",""fr"")"),"Bagages")</f>
        <v>Bagages</v>
      </c>
      <c r="F647" s="67" t="str">
        <f>IFERROR(__xludf.DUMMYFUNCTION("GOOGLETRANSLATE(B647,""en"",""tr"")"),"Bagajlar")</f>
        <v>Bagajlar</v>
      </c>
      <c r="G647" s="67" t="str">
        <f>IFERROR(__xludf.DUMMYFUNCTION("GOOGLETRANSLATE(B647,""en"",""ru"")"),"Багажи")</f>
        <v>Багажи</v>
      </c>
      <c r="H647" s="67" t="str">
        <f>IFERROR(__xludf.DUMMYFUNCTION("GOOGLETRANSLATE(B647,""en"",""it"")"),"Bagagli")</f>
        <v>Bagagli</v>
      </c>
      <c r="I647" s="67" t="str">
        <f>IFERROR(__xludf.DUMMYFUNCTION("GOOGLETRANSLATE(B647,""en"",""de"")"),"Gepäck")</f>
        <v>Gepäck</v>
      </c>
      <c r="J647" s="67" t="str">
        <f>IFERROR(__xludf.DUMMYFUNCTION("GOOGLETRANSLATE(B647,""en"",""ko"")"),"수하물")</f>
        <v>수하물</v>
      </c>
      <c r="K647" s="67" t="str">
        <f>IFERROR(__xludf.DUMMYFUNCTION("GOOGLETRANSLATE(B647,""en"",""zh"")"),"行李")</f>
        <v>行李</v>
      </c>
      <c r="L647" s="67" t="str">
        <f>IFERROR(__xludf.DUMMYFUNCTION("GOOGLETRANSLATE(B647,""en"",""es"")"),"Equipajes")</f>
        <v>Equipajes</v>
      </c>
      <c r="M647" s="66" t="str">
        <f>IFERROR(__xludf.DUMMYFUNCTION("GOOGLETRANSLATE(B647,""en"",""iw"")"),"מזוודות")</f>
        <v>מזוודות</v>
      </c>
      <c r="N647" s="67" t="str">
        <f>IFERROR(__xludf.DUMMYFUNCTION("GOOGLETRANSLATE(B647,""en"",""bn"")"),"লাগেজ")</f>
        <v>লাগেজ</v>
      </c>
      <c r="O647" s="4" t="str">
        <f>IFERROR(__xludf.DUMMYFUNCTION("GOOGLETRANSLATE(B647,""en"",""pt"")"),"Bagagens")</f>
        <v>Bagagens</v>
      </c>
    </row>
    <row r="648">
      <c r="A648" s="89" t="s">
        <v>1505</v>
      </c>
      <c r="B648" s="92" t="s">
        <v>1506</v>
      </c>
      <c r="C648" s="66" t="str">
        <f>IFERROR(__xludf.DUMMYFUNCTION("GOOGLETRANSLATE(B648,""en"",""hi"")"),"सवारी प्राथमिकताएँ")</f>
        <v>सवारी प्राथमिकताएँ</v>
      </c>
      <c r="D648" s="67" t="str">
        <f>IFERROR(__xludf.DUMMYFUNCTION("GOOGLETRANSLATE(B648,""en"",""ar"")"),"تفضيلات الركوب")</f>
        <v>تفضيلات الركوب</v>
      </c>
      <c r="E648" s="67" t="str">
        <f>IFERROR(__xludf.DUMMYFUNCTION("GOOGLETRANSLATE(B648,""en"",""fr"")"),"Préférences de trajet")</f>
        <v>Préférences de trajet</v>
      </c>
      <c r="F648" s="67" t="str">
        <f>IFERROR(__xludf.DUMMYFUNCTION("GOOGLETRANSLATE(B648,""en"",""tr"")"),"Yolculuk Tercihleri")</f>
        <v>Yolculuk Tercihleri</v>
      </c>
      <c r="G648" s="67" t="str">
        <f>IFERROR(__xludf.DUMMYFUNCTION("GOOGLETRANSLATE(B648,""en"",""ru"")"),"Настройки поездки")</f>
        <v>Настройки поездки</v>
      </c>
      <c r="H648" s="67" t="str">
        <f>IFERROR(__xludf.DUMMYFUNCTION("GOOGLETRANSLATE(B648,""en"",""it"")"),"Preferenze di corsa")</f>
        <v>Preferenze di corsa</v>
      </c>
      <c r="I648" s="67" t="str">
        <f>IFERROR(__xludf.DUMMYFUNCTION("GOOGLETRANSLATE(B648,""en"",""de"")"),"Fahrpräferenzen")</f>
        <v>Fahrpräferenzen</v>
      </c>
      <c r="J648" s="67" t="str">
        <f>IFERROR(__xludf.DUMMYFUNCTION("GOOGLETRANSLATE(B648,""en"",""ko"")"),"탑승 환경 설정")</f>
        <v>탑승 환경 설정</v>
      </c>
      <c r="K648" s="67" t="str">
        <f>IFERROR(__xludf.DUMMYFUNCTION("GOOGLETRANSLATE(B648,""en"",""zh"")"),"乘车偏好")</f>
        <v>乘车偏好</v>
      </c>
      <c r="L648" s="67" t="str">
        <f>IFERROR(__xludf.DUMMYFUNCTION("GOOGLETRANSLATE(B648,""en"",""es"")"),"Preferencias de viaje")</f>
        <v>Preferencias de viaje</v>
      </c>
      <c r="M648" s="66" t="str">
        <f>IFERROR(__xludf.DUMMYFUNCTION("GOOGLETRANSLATE(B648,""en"",""iw"")"),"העדפות נסיעה")</f>
        <v>העדפות נסיעה</v>
      </c>
      <c r="N648" s="67" t="str">
        <f>IFERROR(__xludf.DUMMYFUNCTION("GOOGLETRANSLATE(B648,""en"",""bn"")"),"রাইড পছন্দ")</f>
        <v>রাইড পছন্দ</v>
      </c>
      <c r="O648" s="4" t="str">
        <f>IFERROR(__xludf.DUMMYFUNCTION("GOOGLETRANSLATE(B648,""en"",""pt"")"),"Preferências de passeio")</f>
        <v>Preferências de passeio</v>
      </c>
    </row>
    <row r="649">
      <c r="A649" s="89" t="s">
        <v>1507</v>
      </c>
      <c r="B649" s="92" t="s">
        <v>1508</v>
      </c>
      <c r="C649" s="66" t="str">
        <f>IFERROR(__xludf.DUMMYFUNCTION("GOOGLETRANSLATE(B649,""en"",""hi"")"),"प्राथमिकताएँ चुनें")</f>
        <v>प्राथमिकताएँ चुनें</v>
      </c>
      <c r="D649" s="67" t="str">
        <f>IFERROR(__xludf.DUMMYFUNCTION("GOOGLETRANSLATE(B649,""en"",""ar"")"),"اختر التفضيلات")</f>
        <v>اختر التفضيلات</v>
      </c>
      <c r="E649" s="67" t="str">
        <f>IFERROR(__xludf.DUMMYFUNCTION("GOOGLETRANSLATE(B649,""en"",""fr"")"),"Choisir les préférences")</f>
        <v>Choisir les préférences</v>
      </c>
      <c r="F649" s="67" t="str">
        <f>IFERROR(__xludf.DUMMYFUNCTION("GOOGLETRANSLATE(B649,""en"",""tr"")"),"Tercihleri ​​Seçin")</f>
        <v>Tercihleri ​​Seçin</v>
      </c>
      <c r="G649" s="67" t="str">
        <f>IFERROR(__xludf.DUMMYFUNCTION("GOOGLETRANSLATE(B649,""en"",""ru"")"),"Выберите настройки")</f>
        <v>Выберите настройки</v>
      </c>
      <c r="H649" s="67" t="str">
        <f>IFERROR(__xludf.DUMMYFUNCTION("GOOGLETRANSLATE(B649,""en"",""it"")"),"Scegli Preferenze")</f>
        <v>Scegli Preferenze</v>
      </c>
      <c r="I649" s="67" t="str">
        <f>IFERROR(__xludf.DUMMYFUNCTION("GOOGLETRANSLATE(B649,""en"",""de"")"),"Wählen Sie „Einstellungen“.")</f>
        <v>Wählen Sie „Einstellungen“.</v>
      </c>
      <c r="J649" s="67" t="str">
        <f>IFERROR(__xludf.DUMMYFUNCTION("GOOGLETRANSLATE(B649,""en"",""ko"")"),"환경설정을 선택하세요")</f>
        <v>환경설정을 선택하세요</v>
      </c>
      <c r="K649" s="67" t="str">
        <f>IFERROR(__xludf.DUMMYFUNCTION("GOOGLETRANSLATE(B649,""en"",""zh"")"),"选择偏好")</f>
        <v>选择偏好</v>
      </c>
      <c r="L649" s="67" t="str">
        <f>IFERROR(__xludf.DUMMYFUNCTION("GOOGLETRANSLATE(B649,""en"",""es"")"),"Elija preferencias")</f>
        <v>Elija preferencias</v>
      </c>
      <c r="M649" s="66" t="str">
        <f>IFERROR(__xludf.DUMMYFUNCTION("GOOGLETRANSLATE(B649,""en"",""iw"")"),"בחר העדפות")</f>
        <v>בחר העדפות</v>
      </c>
      <c r="N649" s="67" t="str">
        <f>IFERROR(__xludf.DUMMYFUNCTION("GOOGLETRANSLATE(B649,""en"",""bn"")"),"পছন্দ নির্বাচন করুন")</f>
        <v>পছন্দ নির্বাচন করুন</v>
      </c>
      <c r="O649" s="4" t="str">
        <f>IFERROR(__xludf.DUMMYFUNCTION("GOOGLETRANSLATE(B649,""en"",""pt"")"),"Escolha Preferências")</f>
        <v>Escolha Preferências</v>
      </c>
    </row>
    <row r="650">
      <c r="A650" s="89" t="s">
        <v>1509</v>
      </c>
      <c r="B650" s="92" t="s">
        <v>1510</v>
      </c>
      <c r="C650" s="66" t="str">
        <f>IFERROR(__xludf.DUMMYFUNCTION("GOOGLETRANSLATE(B650,""en"",""hi"")"),"हाल की खोजें")</f>
        <v>हाल की खोजें</v>
      </c>
      <c r="D650" s="67" t="str">
        <f>IFERROR(__xludf.DUMMYFUNCTION("GOOGLETRANSLATE(B650,""en"",""ar"")"),"عمليات البحث الأخيرة")</f>
        <v>عمليات البحث الأخيرة</v>
      </c>
      <c r="E650" s="67" t="str">
        <f>IFERROR(__xludf.DUMMYFUNCTION("GOOGLETRANSLATE(B650,""en"",""fr"")"),"recherches récentes")</f>
        <v>recherches récentes</v>
      </c>
      <c r="F650" s="67" t="str">
        <f>IFERROR(__xludf.DUMMYFUNCTION("GOOGLETRANSLATE(B650,""en"",""tr"")"),"son aramalar")</f>
        <v>son aramalar</v>
      </c>
      <c r="G650" s="67" t="str">
        <f>IFERROR(__xludf.DUMMYFUNCTION("GOOGLETRANSLATE(B650,""en"",""ru"")"),"Недавние поиски")</f>
        <v>Недавние поиски</v>
      </c>
      <c r="H650" s="67" t="str">
        <f>IFERROR(__xludf.DUMMYFUNCTION("GOOGLETRANSLATE(B650,""en"",""it"")"),"Ricerche recenti")</f>
        <v>Ricerche recenti</v>
      </c>
      <c r="I650" s="67" t="str">
        <f>IFERROR(__xludf.DUMMYFUNCTION("GOOGLETRANSLATE(B650,""en"",""de"")"),"Aktuelle Suchanfragen")</f>
        <v>Aktuelle Suchanfragen</v>
      </c>
      <c r="J650" s="67" t="str">
        <f>IFERROR(__xludf.DUMMYFUNCTION("GOOGLETRANSLATE(B650,""en"",""ko"")"),"최근 검색")</f>
        <v>최근 검색</v>
      </c>
      <c r="K650" s="67" t="str">
        <f>IFERROR(__xludf.DUMMYFUNCTION("GOOGLETRANSLATE(B650,""en"",""zh"")"),"最近的搜索")</f>
        <v>最近的搜索</v>
      </c>
      <c r="L650" s="67" t="str">
        <f>IFERROR(__xludf.DUMMYFUNCTION("GOOGLETRANSLATE(B650,""en"",""es"")"),"Búsquedas recientes")</f>
        <v>Búsquedas recientes</v>
      </c>
      <c r="M650" s="66" t="str">
        <f>IFERROR(__xludf.DUMMYFUNCTION("GOOGLETRANSLATE(B650,""en"",""iw"")"),"חיפושים אחרונים")</f>
        <v>חיפושים אחרונים</v>
      </c>
      <c r="N650" s="67" t="str">
        <f>IFERROR(__xludf.DUMMYFUNCTION("GOOGLETRANSLATE(B650,""en"",""bn"")"),"সাম্প্রতিক তল্লাশি")</f>
        <v>সাম্প্রতিক তল্লাশি</v>
      </c>
      <c r="O650" s="4" t="str">
        <f>IFERROR(__xludf.DUMMYFUNCTION("GOOGLETRANSLATE(B650,""en"",""pt"")"),"pesquisas recentes")</f>
        <v>pesquisas recentes</v>
      </c>
    </row>
    <row r="651">
      <c r="A651" s="89" t="s">
        <v>1511</v>
      </c>
      <c r="B651" s="92" t="s">
        <v>1512</v>
      </c>
      <c r="C651" s="66" t="str">
        <f>IFERROR(__xludf.DUMMYFUNCTION("GOOGLETRANSLATE(B651,""en"",""hi"")"),"नक्शा")</f>
        <v>नक्शा</v>
      </c>
      <c r="D651" s="67" t="str">
        <f>IFERROR(__xludf.DUMMYFUNCTION("GOOGLETRANSLATE(B651,""en"",""ar"")"),"خريطة")</f>
        <v>خريطة</v>
      </c>
      <c r="E651" s="67" t="str">
        <f>IFERROR(__xludf.DUMMYFUNCTION("GOOGLETRANSLATE(B651,""en"",""fr"")"),"Carte")</f>
        <v>Carte</v>
      </c>
      <c r="F651" s="67" t="str">
        <f>IFERROR(__xludf.DUMMYFUNCTION("GOOGLETRANSLATE(B651,""en"",""tr"")"),"Harita")</f>
        <v>Harita</v>
      </c>
      <c r="G651" s="67" t="str">
        <f>IFERROR(__xludf.DUMMYFUNCTION("GOOGLETRANSLATE(B651,""en"",""ru"")"),"карта")</f>
        <v>карта</v>
      </c>
      <c r="H651" s="67" t="str">
        <f>IFERROR(__xludf.DUMMYFUNCTION("GOOGLETRANSLATE(B651,""en"",""it"")"),"Carta geografica")</f>
        <v>Carta geografica</v>
      </c>
      <c r="I651" s="67" t="str">
        <f>IFERROR(__xludf.DUMMYFUNCTION("GOOGLETRANSLATE(B651,""en"",""de"")"),"Karte")</f>
        <v>Karte</v>
      </c>
      <c r="J651" s="67" t="str">
        <f>IFERROR(__xludf.DUMMYFUNCTION("GOOGLETRANSLATE(B651,""en"",""ko"")"),"지도")</f>
        <v>지도</v>
      </c>
      <c r="K651" s="67" t="str">
        <f>IFERROR(__xludf.DUMMYFUNCTION("GOOGLETRANSLATE(B651,""en"",""zh"")"),"地图")</f>
        <v>地图</v>
      </c>
      <c r="L651" s="67" t="str">
        <f>IFERROR(__xludf.DUMMYFUNCTION("GOOGLETRANSLATE(B651,""en"",""es"")"),"Mapa")</f>
        <v>Mapa</v>
      </c>
      <c r="M651" s="66" t="str">
        <f>IFERROR(__xludf.DUMMYFUNCTION("GOOGLETRANSLATE(B651,""en"",""iw"")"),"מַפָּה")</f>
        <v>מַפָּה</v>
      </c>
      <c r="N651" s="67" t="str">
        <f>IFERROR(__xludf.DUMMYFUNCTION("GOOGLETRANSLATE(B651,""en"",""bn"")"),"মানচিত্র")</f>
        <v>মানচিত্র</v>
      </c>
      <c r="O651" s="4" t="str">
        <f>IFERROR(__xludf.DUMMYFUNCTION("GOOGLETRANSLATE(B651,""en"",""pt"")"),"Mapa")</f>
        <v>Mapa</v>
      </c>
    </row>
    <row r="652">
      <c r="A652" s="89" t="s">
        <v>1513</v>
      </c>
      <c r="B652" s="92" t="s">
        <v>1514</v>
      </c>
      <c r="C652" s="66" t="str">
        <f>IFERROR(__xludf.DUMMYFUNCTION("GOOGLETRANSLATE(B652,""en"",""hi"")"),"बूँद")</f>
        <v>बूँद</v>
      </c>
      <c r="D652" s="67" t="str">
        <f>IFERROR(__xludf.DUMMYFUNCTION("GOOGLETRANSLATE(B652,""en"",""ar"")"),"يسقط")</f>
        <v>يسقط</v>
      </c>
      <c r="E652" s="67" t="str">
        <f>IFERROR(__xludf.DUMMYFUNCTION("GOOGLETRANSLATE(B652,""en"",""fr"")"),"Baisse")</f>
        <v>Baisse</v>
      </c>
      <c r="F652" s="67" t="str">
        <f>IFERROR(__xludf.DUMMYFUNCTION("GOOGLETRANSLATE(B652,""en"",""tr"")"),"Düşürmek")</f>
        <v>Düşürmek</v>
      </c>
      <c r="G652" s="67" t="str">
        <f>IFERROR(__xludf.DUMMYFUNCTION("GOOGLETRANSLATE(B652,""en"",""ru"")"),"Уронить")</f>
        <v>Уронить</v>
      </c>
      <c r="H652" s="67" t="str">
        <f>IFERROR(__xludf.DUMMYFUNCTION("GOOGLETRANSLATE(B652,""en"",""it"")"),"Gocciolare")</f>
        <v>Gocciolare</v>
      </c>
      <c r="I652" s="67" t="str">
        <f>IFERROR(__xludf.DUMMYFUNCTION("GOOGLETRANSLATE(B652,""en"",""de"")"),"Fallen")</f>
        <v>Fallen</v>
      </c>
      <c r="J652" s="67" t="str">
        <f>IFERROR(__xludf.DUMMYFUNCTION("GOOGLETRANSLATE(B652,""en"",""ko"")"),"떨어지다")</f>
        <v>떨어지다</v>
      </c>
      <c r="K652" s="67" t="str">
        <f>IFERROR(__xludf.DUMMYFUNCTION("GOOGLETRANSLATE(B652,""en"",""zh"")"),"降低")</f>
        <v>降低</v>
      </c>
      <c r="L652" s="67" t="str">
        <f>IFERROR(__xludf.DUMMYFUNCTION("GOOGLETRANSLATE(B652,""en"",""es"")"),"Gota")</f>
        <v>Gota</v>
      </c>
      <c r="M652" s="66" t="str">
        <f>IFERROR(__xludf.DUMMYFUNCTION("GOOGLETRANSLATE(B652,""en"",""iw"")"),"יְרִידָה")</f>
        <v>יְרִידָה</v>
      </c>
      <c r="N652" s="67" t="str">
        <f>IFERROR(__xludf.DUMMYFUNCTION("GOOGLETRANSLATE(B652,""en"",""bn"")"),"ড্রপ")</f>
        <v>ড্রপ</v>
      </c>
      <c r="O652" s="4" t="str">
        <f>IFERROR(__xludf.DUMMYFUNCTION("GOOGLETRANSLATE(B652,""en"",""pt"")"),"Derrubar")</f>
        <v>Derrubar</v>
      </c>
    </row>
    <row r="653">
      <c r="A653" s="89" t="s">
        <v>1515</v>
      </c>
      <c r="B653" s="92" t="s">
        <v>1516</v>
      </c>
      <c r="C653" s="66" t="str">
        <f>IFERROR(__xludf.DUMMYFUNCTION("GOOGLETRANSLATE(B653,""en"",""hi"")"),"रुकना")</f>
        <v>रुकना</v>
      </c>
      <c r="D653" s="67" t="str">
        <f>IFERROR(__xludf.DUMMYFUNCTION("GOOGLETRANSLATE(B653,""en"",""ar"")"),"قف")</f>
        <v>قف</v>
      </c>
      <c r="E653" s="67" t="str">
        <f>IFERROR(__xludf.DUMMYFUNCTION("GOOGLETRANSLATE(B653,""en"",""fr"")"),"Arrêt")</f>
        <v>Arrêt</v>
      </c>
      <c r="F653" s="67" t="str">
        <f>IFERROR(__xludf.DUMMYFUNCTION("GOOGLETRANSLATE(B653,""en"",""tr"")"),"Durmak")</f>
        <v>Durmak</v>
      </c>
      <c r="G653" s="67" t="str">
        <f>IFERROR(__xludf.DUMMYFUNCTION("GOOGLETRANSLATE(B653,""en"",""ru"")"),"Останавливаться")</f>
        <v>Останавливаться</v>
      </c>
      <c r="H653" s="67" t="str">
        <f>IFERROR(__xludf.DUMMYFUNCTION("GOOGLETRANSLATE(B653,""en"",""it"")"),"Fermare")</f>
        <v>Fermare</v>
      </c>
      <c r="I653" s="67" t="str">
        <f>IFERROR(__xludf.DUMMYFUNCTION("GOOGLETRANSLATE(B653,""en"",""de"")"),"Stoppen")</f>
        <v>Stoppen</v>
      </c>
      <c r="J653" s="67" t="str">
        <f>IFERROR(__xludf.DUMMYFUNCTION("GOOGLETRANSLATE(B653,""en"",""ko"")"),"멈추다")</f>
        <v>멈추다</v>
      </c>
      <c r="K653" s="67" t="str">
        <f>IFERROR(__xludf.DUMMYFUNCTION("GOOGLETRANSLATE(B653,""en"",""zh"")"),"停止")</f>
        <v>停止</v>
      </c>
      <c r="L653" s="67" t="str">
        <f>IFERROR(__xludf.DUMMYFUNCTION("GOOGLETRANSLATE(B653,""en"",""es"")"),"Detener")</f>
        <v>Detener</v>
      </c>
      <c r="M653" s="66" t="str">
        <f>IFERROR(__xludf.DUMMYFUNCTION("GOOGLETRANSLATE(B653,""en"",""iw"")"),"תפסיק")</f>
        <v>תפסיק</v>
      </c>
      <c r="N653" s="67" t="str">
        <f>IFERROR(__xludf.DUMMYFUNCTION("GOOGLETRANSLATE(B653,""en"",""bn"")"),"থামো")</f>
        <v>থামো</v>
      </c>
      <c r="O653" s="4" t="str">
        <f>IFERROR(__xludf.DUMMYFUNCTION("GOOGLETRANSLATE(B653,""en"",""pt"")"),"Parar")</f>
        <v>Parar</v>
      </c>
    </row>
    <row r="654">
      <c r="A654" s="89" t="s">
        <v>1517</v>
      </c>
      <c r="B654" s="92" t="s">
        <v>1518</v>
      </c>
      <c r="C654" s="66" t="str">
        <f>IFERROR(__xludf.DUMMYFUNCTION("GOOGLETRANSLATE(B654,""en"",""hi"")"),"उठाना")</f>
        <v>उठाना</v>
      </c>
      <c r="D654" s="67" t="str">
        <f>IFERROR(__xludf.DUMMYFUNCTION("GOOGLETRANSLATE(B654,""en"",""ar"")"),"يلتقط")</f>
        <v>يلتقط</v>
      </c>
      <c r="E654" s="67" t="str">
        <f>IFERROR(__xludf.DUMMYFUNCTION("GOOGLETRANSLATE(B654,""en"",""fr"")"),"Ramasser")</f>
        <v>Ramasser</v>
      </c>
      <c r="F654" s="67" t="str">
        <f>IFERROR(__xludf.DUMMYFUNCTION("GOOGLETRANSLATE(B654,""en"",""tr"")"),"Toplamak")</f>
        <v>Toplamak</v>
      </c>
      <c r="G654" s="67" t="str">
        <f>IFERROR(__xludf.DUMMYFUNCTION("GOOGLETRANSLATE(B654,""en"",""ru"")"),"Подобрать")</f>
        <v>Подобрать</v>
      </c>
      <c r="H654" s="67" t="str">
        <f>IFERROR(__xludf.DUMMYFUNCTION("GOOGLETRANSLATE(B654,""en"",""it"")"),"Raccolta")</f>
        <v>Raccolta</v>
      </c>
      <c r="I654" s="67" t="str">
        <f>IFERROR(__xludf.DUMMYFUNCTION("GOOGLETRANSLATE(B654,""en"",""de"")"),"Abholen")</f>
        <v>Abholen</v>
      </c>
      <c r="J654" s="67" t="str">
        <f>IFERROR(__xludf.DUMMYFUNCTION("GOOGLETRANSLATE(B654,""en"",""ko"")"),"찾다")</f>
        <v>찾다</v>
      </c>
      <c r="K654" s="67" t="str">
        <f>IFERROR(__xludf.DUMMYFUNCTION("GOOGLETRANSLATE(B654,""en"",""zh"")"),"捡起")</f>
        <v>捡起</v>
      </c>
      <c r="L654" s="67" t="str">
        <f>IFERROR(__xludf.DUMMYFUNCTION("GOOGLETRANSLATE(B654,""en"",""es"")"),"Levantar")</f>
        <v>Levantar</v>
      </c>
      <c r="M654" s="66" t="str">
        <f>IFERROR(__xludf.DUMMYFUNCTION("GOOGLETRANSLATE(B654,""en"",""iw"")"),"לאסוף")</f>
        <v>לאסוף</v>
      </c>
      <c r="N654" s="67" t="str">
        <f>IFERROR(__xludf.DUMMYFUNCTION("GOOGLETRANSLATE(B654,""en"",""bn"")"),"পিকআপ")</f>
        <v>পিকআপ</v>
      </c>
      <c r="O654" s="4" t="str">
        <f>IFERROR(__xludf.DUMMYFUNCTION("GOOGLETRANSLATE(B654,""en"",""pt"")"),"Escolher")</f>
        <v>Escolher</v>
      </c>
    </row>
    <row r="697" ht="24.75" customHeight="1"/>
  </sheetData>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t="s">
        <v>0</v>
      </c>
      <c r="B2" s="14" t="s">
        <v>1519</v>
      </c>
      <c r="C2" s="44" t="b">
        <v>1</v>
      </c>
      <c r="E2" s="44"/>
      <c r="F2" s="93"/>
      <c r="G2" s="93"/>
      <c r="H2" s="93"/>
      <c r="I2" s="93"/>
      <c r="J2" s="93"/>
      <c r="K2" s="93"/>
      <c r="L2" s="93"/>
      <c r="M2" s="93"/>
      <c r="N2" s="93"/>
      <c r="O2" s="93"/>
      <c r="P2" s="93"/>
      <c r="Q2" s="93"/>
      <c r="R2" s="93"/>
      <c r="S2" s="93"/>
      <c r="T2" s="93"/>
      <c r="U2" s="93"/>
      <c r="V2" s="93"/>
      <c r="W2" s="93"/>
      <c r="X2" s="93"/>
      <c r="Y2" s="93"/>
      <c r="Z2" s="93"/>
    </row>
    <row r="3">
      <c r="A3" s="1" t="s">
        <v>2</v>
      </c>
      <c r="B3" s="14" t="s">
        <v>1519</v>
      </c>
      <c r="C3" s="44" t="b">
        <v>1</v>
      </c>
      <c r="E3" s="44"/>
      <c r="F3" s="93"/>
      <c r="G3" s="93"/>
      <c r="H3" s="93"/>
      <c r="I3" s="93"/>
      <c r="J3" s="93"/>
      <c r="K3" s="93"/>
      <c r="L3" s="93"/>
      <c r="M3" s="93"/>
      <c r="N3" s="93"/>
      <c r="O3" s="93"/>
      <c r="P3" s="93"/>
      <c r="Q3" s="93"/>
      <c r="R3" s="93"/>
      <c r="S3" s="93"/>
      <c r="T3" s="93"/>
      <c r="U3" s="93"/>
      <c r="V3" s="93"/>
      <c r="W3" s="93"/>
      <c r="X3" s="93"/>
      <c r="Y3" s="93"/>
      <c r="Z3" s="93"/>
    </row>
    <row r="4">
      <c r="A4" s="1" t="s">
        <v>1520</v>
      </c>
      <c r="B4" s="14" t="s">
        <v>1519</v>
      </c>
      <c r="C4" s="44" t="b">
        <v>0</v>
      </c>
      <c r="E4" s="44"/>
      <c r="F4" s="93"/>
      <c r="G4" s="93"/>
      <c r="H4" s="93"/>
      <c r="I4" s="93"/>
      <c r="J4" s="93"/>
      <c r="K4" s="93"/>
      <c r="L4" s="93"/>
      <c r="M4" s="93"/>
      <c r="N4" s="93"/>
      <c r="O4" s="93"/>
      <c r="P4" s="93"/>
      <c r="Q4" s="93"/>
      <c r="R4" s="93"/>
      <c r="S4" s="93"/>
      <c r="T4" s="93"/>
      <c r="U4" s="93"/>
      <c r="V4" s="93"/>
      <c r="W4" s="93"/>
      <c r="X4" s="93"/>
      <c r="Y4" s="93"/>
      <c r="Z4" s="93"/>
    </row>
    <row r="5">
      <c r="A5" s="1" t="s">
        <v>10</v>
      </c>
      <c r="B5" s="14" t="s">
        <v>1519</v>
      </c>
      <c r="C5" s="44" t="b">
        <v>1</v>
      </c>
      <c r="E5" s="44"/>
      <c r="F5" s="93"/>
      <c r="G5" s="93"/>
      <c r="H5" s="93"/>
      <c r="I5" s="93"/>
      <c r="J5" s="93"/>
      <c r="K5" s="93"/>
      <c r="L5" s="93"/>
      <c r="M5" s="93"/>
      <c r="N5" s="93"/>
      <c r="O5" s="93"/>
      <c r="P5" s="93"/>
      <c r="Q5" s="93"/>
      <c r="R5" s="93"/>
      <c r="S5" s="93"/>
      <c r="T5" s="93"/>
      <c r="U5" s="93"/>
      <c r="V5" s="93"/>
      <c r="W5" s="93"/>
      <c r="X5" s="93"/>
      <c r="Y5" s="93"/>
      <c r="Z5" s="93"/>
    </row>
    <row r="6">
      <c r="A6" s="1" t="s">
        <v>1521</v>
      </c>
      <c r="B6" s="14" t="s">
        <v>1519</v>
      </c>
      <c r="C6" s="44" t="b">
        <v>0</v>
      </c>
      <c r="E6" s="44"/>
      <c r="F6" s="93"/>
      <c r="G6" s="93"/>
      <c r="H6" s="93"/>
      <c r="I6" s="93"/>
      <c r="J6" s="93"/>
      <c r="K6" s="93"/>
      <c r="L6" s="93"/>
      <c r="M6" s="93"/>
      <c r="N6" s="93"/>
      <c r="O6" s="93"/>
      <c r="P6" s="93"/>
      <c r="Q6" s="93"/>
      <c r="R6" s="93"/>
      <c r="S6" s="93"/>
      <c r="T6" s="93"/>
      <c r="U6" s="93"/>
      <c r="V6" s="93"/>
      <c r="W6" s="93"/>
      <c r="X6" s="93"/>
      <c r="Y6" s="93"/>
      <c r="Z6" s="93"/>
    </row>
    <row r="7">
      <c r="A7" s="1" t="s">
        <v>8</v>
      </c>
      <c r="B7" s="14" t="s">
        <v>1519</v>
      </c>
      <c r="C7" s="44" t="b">
        <v>0</v>
      </c>
      <c r="E7" s="44"/>
      <c r="F7" s="93"/>
      <c r="G7" s="93"/>
      <c r="H7" s="93"/>
      <c r="I7" s="93"/>
      <c r="J7" s="93"/>
      <c r="K7" s="93"/>
      <c r="L7" s="93"/>
      <c r="M7" s="93"/>
      <c r="N7" s="93"/>
      <c r="O7" s="93"/>
      <c r="P7" s="93"/>
      <c r="Q7" s="93"/>
      <c r="R7" s="93"/>
      <c r="S7" s="93"/>
      <c r="T7" s="93"/>
      <c r="U7" s="93"/>
      <c r="V7" s="93"/>
      <c r="W7" s="93"/>
      <c r="X7" s="93"/>
      <c r="Y7" s="93"/>
      <c r="Z7" s="93"/>
    </row>
    <row r="8">
      <c r="A8" s="1" t="s">
        <v>13</v>
      </c>
      <c r="B8" s="14" t="s">
        <v>1519</v>
      </c>
      <c r="C8" s="44" t="b">
        <v>1</v>
      </c>
      <c r="E8" s="44"/>
      <c r="F8" s="93"/>
      <c r="G8" s="93"/>
      <c r="H8" s="93"/>
      <c r="I8" s="93"/>
      <c r="J8" s="93"/>
      <c r="K8" s="93"/>
      <c r="L8" s="93"/>
      <c r="M8" s="93"/>
      <c r="N8" s="93"/>
      <c r="O8" s="93"/>
      <c r="P8" s="93"/>
      <c r="Q8" s="93"/>
      <c r="R8" s="93"/>
      <c r="S8" s="93"/>
      <c r="T8" s="93"/>
      <c r="U8" s="93"/>
      <c r="V8" s="93"/>
      <c r="W8" s="93"/>
      <c r="X8" s="93"/>
      <c r="Y8" s="93"/>
      <c r="Z8" s="93"/>
    </row>
    <row r="9">
      <c r="A9" s="1" t="s">
        <v>9</v>
      </c>
      <c r="B9" s="14" t="s">
        <v>1519</v>
      </c>
      <c r="C9" s="44" t="b">
        <v>1</v>
      </c>
      <c r="E9" s="44"/>
      <c r="F9" s="93"/>
      <c r="G9" s="93"/>
      <c r="H9" s="93"/>
      <c r="I9" s="93"/>
      <c r="J9" s="93"/>
      <c r="K9" s="93"/>
      <c r="L9" s="93"/>
      <c r="M9" s="93"/>
      <c r="N9" s="93"/>
      <c r="O9" s="93"/>
      <c r="P9" s="93"/>
      <c r="Q9" s="93"/>
      <c r="R9" s="93"/>
      <c r="S9" s="93"/>
      <c r="T9" s="93"/>
      <c r="U9" s="93"/>
      <c r="V9" s="93"/>
      <c r="W9" s="93"/>
      <c r="X9" s="93"/>
      <c r="Y9" s="93"/>
      <c r="Z9" s="93"/>
    </row>
    <row r="10">
      <c r="A10" s="1" t="s">
        <v>1</v>
      </c>
      <c r="B10" s="14" t="s">
        <v>1519</v>
      </c>
      <c r="C10" s="44" t="b">
        <v>1</v>
      </c>
      <c r="E10" s="44"/>
      <c r="F10" s="93"/>
      <c r="G10" s="93"/>
      <c r="H10" s="93"/>
      <c r="I10" s="93"/>
      <c r="J10" s="93"/>
      <c r="K10" s="93"/>
      <c r="L10" s="93"/>
      <c r="M10" s="93"/>
      <c r="N10" s="93"/>
      <c r="O10" s="93"/>
      <c r="P10" s="93"/>
      <c r="Q10" s="93"/>
      <c r="R10" s="93"/>
      <c r="S10" s="93"/>
      <c r="T10" s="93"/>
      <c r="U10" s="93"/>
      <c r="V10" s="93"/>
      <c r="W10" s="93"/>
      <c r="X10" s="93"/>
      <c r="Y10" s="93"/>
      <c r="Z10" s="93"/>
    </row>
    <row r="11">
      <c r="A11" s="1" t="s">
        <v>3</v>
      </c>
      <c r="B11" s="14" t="s">
        <v>1519</v>
      </c>
      <c r="C11" s="44" t="b">
        <v>1</v>
      </c>
      <c r="E11" s="44"/>
      <c r="F11" s="93"/>
      <c r="G11" s="93"/>
      <c r="H11" s="93"/>
      <c r="I11" s="93"/>
      <c r="J11" s="93"/>
      <c r="K11" s="93"/>
      <c r="L11" s="93"/>
      <c r="M11" s="93"/>
      <c r="N11" s="93"/>
      <c r="O11" s="93"/>
      <c r="P11" s="93"/>
      <c r="Q11" s="93"/>
      <c r="R11" s="93"/>
      <c r="S11" s="93"/>
      <c r="T11" s="93"/>
      <c r="U11" s="93"/>
      <c r="V11" s="93"/>
      <c r="W11" s="93"/>
      <c r="X11" s="93"/>
      <c r="Y11" s="93"/>
      <c r="Z11" s="93"/>
    </row>
    <row r="12">
      <c r="A12" s="1" t="s">
        <v>4</v>
      </c>
      <c r="B12" s="14" t="s">
        <v>1519</v>
      </c>
      <c r="C12" s="44" t="b">
        <v>1</v>
      </c>
      <c r="E12" s="44"/>
      <c r="F12" s="93"/>
      <c r="G12" s="93"/>
      <c r="H12" s="93"/>
      <c r="I12" s="93"/>
      <c r="J12" s="93"/>
      <c r="K12" s="93"/>
      <c r="L12" s="93"/>
      <c r="M12" s="93"/>
      <c r="N12" s="93"/>
      <c r="O12" s="93"/>
      <c r="P12" s="93"/>
      <c r="Q12" s="93"/>
      <c r="R12" s="93"/>
      <c r="S12" s="93"/>
      <c r="T12" s="93"/>
      <c r="U12" s="93"/>
      <c r="V12" s="93"/>
      <c r="W12" s="93"/>
      <c r="X12" s="93"/>
      <c r="Y12" s="93"/>
      <c r="Z12" s="93"/>
    </row>
    <row r="13">
      <c r="A13" s="1" t="s">
        <v>5</v>
      </c>
      <c r="B13" s="14" t="s">
        <v>1519</v>
      </c>
      <c r="C13" s="44" t="b">
        <v>0</v>
      </c>
      <c r="E13" s="44"/>
      <c r="F13" s="93"/>
      <c r="G13" s="93"/>
      <c r="H13" s="93"/>
      <c r="I13" s="93"/>
      <c r="J13" s="93"/>
      <c r="K13" s="93"/>
      <c r="L13" s="93"/>
      <c r="M13" s="93"/>
      <c r="N13" s="93"/>
      <c r="O13" s="93"/>
      <c r="P13" s="93"/>
      <c r="Q13" s="93"/>
      <c r="R13" s="93"/>
      <c r="S13" s="93"/>
      <c r="T13" s="93"/>
      <c r="U13" s="93"/>
      <c r="V13" s="93"/>
      <c r="W13" s="93"/>
      <c r="X13" s="93"/>
      <c r="Y13" s="93"/>
      <c r="Z13" s="93"/>
    </row>
    <row r="14">
      <c r="A14" s="1" t="s">
        <v>6</v>
      </c>
      <c r="B14" s="14" t="s">
        <v>1519</v>
      </c>
      <c r="C14" s="44" t="b">
        <v>1</v>
      </c>
      <c r="E14" s="44"/>
      <c r="F14" s="93"/>
      <c r="G14" s="93"/>
      <c r="H14" s="93"/>
      <c r="I14" s="93"/>
      <c r="J14" s="93"/>
      <c r="K14" s="93"/>
      <c r="L14" s="93"/>
      <c r="M14" s="93"/>
      <c r="N14" s="93"/>
      <c r="O14" s="93"/>
      <c r="P14" s="93"/>
      <c r="Q14" s="93"/>
      <c r="R14" s="93"/>
      <c r="S14" s="93"/>
      <c r="T14" s="93"/>
      <c r="U14" s="93"/>
      <c r="V14" s="93"/>
      <c r="W14" s="93"/>
      <c r="X14" s="93"/>
      <c r="Y14" s="93"/>
      <c r="Z14" s="93"/>
    </row>
    <row r="15">
      <c r="A15" s="1" t="s">
        <v>7</v>
      </c>
      <c r="B15" s="14" t="s">
        <v>1519</v>
      </c>
      <c r="C15" s="44" t="b">
        <v>0</v>
      </c>
      <c r="E15" s="44"/>
      <c r="F15" s="93"/>
      <c r="G15" s="93"/>
      <c r="H15" s="93"/>
      <c r="I15" s="93"/>
      <c r="J15" s="93"/>
      <c r="K15" s="93"/>
      <c r="L15" s="93"/>
      <c r="M15" s="93"/>
      <c r="N15" s="93"/>
      <c r="O15" s="93"/>
      <c r="P15" s="93"/>
      <c r="Q15" s="93"/>
      <c r="R15" s="93"/>
      <c r="S15" s="93"/>
      <c r="T15" s="93"/>
      <c r="U15" s="93"/>
      <c r="V15" s="93"/>
      <c r="W15" s="93"/>
      <c r="X15" s="93"/>
      <c r="Y15" s="93"/>
      <c r="Z15" s="93"/>
    </row>
    <row r="16">
      <c r="A16" s="1" t="s">
        <v>11</v>
      </c>
      <c r="B16" s="14" t="s">
        <v>1519</v>
      </c>
      <c r="C16" s="44" t="b">
        <v>0</v>
      </c>
      <c r="E16" s="44"/>
      <c r="F16" s="93"/>
      <c r="G16" s="93"/>
      <c r="H16" s="93"/>
      <c r="I16" s="93"/>
      <c r="J16" s="93"/>
      <c r="K16" s="93"/>
      <c r="L16" s="93"/>
      <c r="M16" s="93"/>
      <c r="N16" s="93"/>
      <c r="O16" s="93"/>
      <c r="P16" s="93"/>
      <c r="Q16" s="93"/>
      <c r="R16" s="93"/>
      <c r="S16" s="93"/>
      <c r="T16" s="93"/>
      <c r="U16" s="93"/>
      <c r="V16" s="93"/>
      <c r="W16" s="93"/>
      <c r="X16" s="93"/>
      <c r="Y16" s="93"/>
      <c r="Z16" s="93"/>
    </row>
    <row r="17">
      <c r="A17" s="1" t="s">
        <v>12</v>
      </c>
      <c r="B17" s="14" t="s">
        <v>1519</v>
      </c>
      <c r="C17" s="44" t="b">
        <v>0</v>
      </c>
      <c r="E17" s="44"/>
      <c r="F17" s="93"/>
      <c r="G17" s="93"/>
      <c r="H17" s="93"/>
      <c r="I17" s="93"/>
      <c r="J17" s="93"/>
      <c r="K17" s="93"/>
      <c r="L17" s="93"/>
      <c r="M17" s="93"/>
      <c r="N17" s="93"/>
      <c r="O17" s="93"/>
      <c r="P17" s="93"/>
      <c r="Q17" s="93"/>
      <c r="R17" s="93"/>
      <c r="S17" s="93"/>
      <c r="T17" s="93"/>
      <c r="U17" s="93"/>
      <c r="V17" s="93"/>
      <c r="W17" s="93"/>
      <c r="X17" s="93"/>
      <c r="Y17" s="93"/>
      <c r="Z17" s="93"/>
    </row>
    <row r="18">
      <c r="A18" s="1"/>
      <c r="C18" s="44"/>
      <c r="E18" s="44"/>
      <c r="F18" s="93"/>
      <c r="G18" s="93"/>
      <c r="H18" s="93"/>
      <c r="I18" s="93"/>
      <c r="J18" s="93"/>
      <c r="K18" s="93"/>
      <c r="L18" s="93"/>
      <c r="M18" s="93"/>
      <c r="N18" s="93"/>
      <c r="O18" s="93"/>
      <c r="P18" s="93"/>
      <c r="Q18" s="93"/>
      <c r="R18" s="93"/>
      <c r="S18" s="93"/>
      <c r="T18" s="93"/>
      <c r="U18" s="93"/>
      <c r="V18" s="93"/>
      <c r="W18" s="93"/>
      <c r="X18" s="93"/>
      <c r="Y18" s="93"/>
      <c r="Z18" s="93"/>
    </row>
    <row r="19">
      <c r="A19" s="1"/>
      <c r="C19" s="44"/>
      <c r="E19" s="44"/>
      <c r="F19" s="93"/>
      <c r="G19" s="93"/>
      <c r="H19" s="93"/>
      <c r="I19" s="93"/>
      <c r="J19" s="93"/>
      <c r="K19" s="93"/>
      <c r="L19" s="93"/>
      <c r="M19" s="93"/>
      <c r="N19" s="93"/>
      <c r="O19" s="93"/>
      <c r="P19" s="93"/>
      <c r="Q19" s="93"/>
      <c r="R19" s="93"/>
      <c r="S19" s="93"/>
      <c r="T19" s="93"/>
      <c r="U19" s="93"/>
      <c r="V19" s="93"/>
      <c r="W19" s="93"/>
      <c r="X19" s="93"/>
      <c r="Y19" s="93"/>
      <c r="Z19" s="93"/>
    </row>
    <row r="20">
      <c r="A20" s="1"/>
      <c r="C20" s="44"/>
      <c r="E20" s="44"/>
      <c r="F20" s="93"/>
      <c r="G20" s="93"/>
      <c r="H20" s="93"/>
      <c r="I20" s="93"/>
      <c r="J20" s="93"/>
      <c r="K20" s="93"/>
      <c r="L20" s="93"/>
      <c r="M20" s="93"/>
      <c r="N20" s="93"/>
      <c r="O20" s="93"/>
      <c r="P20" s="93"/>
      <c r="Q20" s="93"/>
      <c r="R20" s="93"/>
      <c r="S20" s="93"/>
      <c r="T20" s="93"/>
      <c r="U20" s="93"/>
      <c r="V20" s="93"/>
      <c r="W20" s="93"/>
      <c r="X20" s="93"/>
      <c r="Y20" s="93"/>
      <c r="Z20" s="93"/>
    </row>
    <row r="21">
      <c r="A21" s="1"/>
      <c r="C21" s="44"/>
      <c r="E21" s="44"/>
      <c r="F21" s="93"/>
      <c r="G21" s="93"/>
      <c r="H21" s="93"/>
      <c r="I21" s="93"/>
      <c r="J21" s="93"/>
      <c r="K21" s="93"/>
      <c r="L21" s="93"/>
      <c r="M21" s="93"/>
      <c r="N21" s="93"/>
      <c r="O21" s="93"/>
      <c r="P21" s="93"/>
      <c r="Q21" s="93"/>
      <c r="R21" s="93"/>
      <c r="S21" s="93"/>
      <c r="T21" s="93"/>
      <c r="U21" s="93"/>
      <c r="V21" s="93"/>
      <c r="W21" s="93"/>
      <c r="X21" s="93"/>
      <c r="Y21" s="93"/>
      <c r="Z21" s="93"/>
    </row>
    <row r="22">
      <c r="A22" s="1"/>
      <c r="C22" s="44"/>
      <c r="E22" s="44"/>
      <c r="F22" s="93"/>
      <c r="G22" s="93"/>
      <c r="H22" s="93"/>
      <c r="I22" s="93"/>
      <c r="J22" s="93"/>
      <c r="K22" s="93"/>
      <c r="L22" s="93"/>
      <c r="M22" s="93"/>
      <c r="N22" s="93"/>
      <c r="O22" s="93"/>
      <c r="P22" s="93"/>
      <c r="Q22" s="93"/>
      <c r="R22" s="93"/>
      <c r="S22" s="93"/>
      <c r="T22" s="93"/>
      <c r="U22" s="93"/>
      <c r="V22" s="93"/>
      <c r="W22" s="93"/>
      <c r="X22" s="93"/>
      <c r="Y22" s="93"/>
      <c r="Z22" s="93"/>
    </row>
    <row r="23">
      <c r="A23" s="1"/>
      <c r="C23" s="44"/>
      <c r="E23" s="44"/>
      <c r="F23" s="93"/>
      <c r="G23" s="93"/>
      <c r="H23" s="93"/>
      <c r="I23" s="93"/>
      <c r="J23" s="93"/>
      <c r="K23" s="93"/>
      <c r="L23" s="93"/>
      <c r="M23" s="93"/>
      <c r="N23" s="93"/>
      <c r="O23" s="93"/>
      <c r="P23" s="93"/>
      <c r="Q23" s="93"/>
      <c r="R23" s="93"/>
      <c r="S23" s="93"/>
      <c r="T23" s="93"/>
      <c r="U23" s="93"/>
      <c r="V23" s="93"/>
      <c r="W23" s="93"/>
      <c r="X23" s="93"/>
      <c r="Y23" s="93"/>
      <c r="Z23" s="93"/>
    </row>
    <row r="24">
      <c r="A24" s="1"/>
      <c r="C24" s="44"/>
      <c r="E24" s="44"/>
      <c r="F24" s="93"/>
      <c r="G24" s="93"/>
      <c r="H24" s="93"/>
      <c r="I24" s="93"/>
      <c r="J24" s="93"/>
      <c r="K24" s="93"/>
      <c r="L24" s="93"/>
      <c r="M24" s="93"/>
      <c r="N24" s="93"/>
      <c r="O24" s="93"/>
      <c r="P24" s="93"/>
      <c r="Q24" s="93"/>
      <c r="R24" s="93"/>
      <c r="S24" s="93"/>
      <c r="T24" s="93"/>
      <c r="U24" s="93"/>
      <c r="V24" s="93"/>
      <c r="W24" s="93"/>
      <c r="X24" s="93"/>
      <c r="Y24" s="93"/>
      <c r="Z24" s="93"/>
    </row>
    <row r="25">
      <c r="A25" s="1"/>
      <c r="C25" s="44"/>
      <c r="E25" s="44"/>
      <c r="F25" s="93"/>
      <c r="G25" s="93"/>
      <c r="H25" s="93"/>
      <c r="I25" s="93"/>
      <c r="J25" s="93"/>
      <c r="K25" s="93"/>
      <c r="L25" s="93"/>
      <c r="M25" s="93"/>
      <c r="N25" s="93"/>
      <c r="O25" s="93"/>
      <c r="P25" s="93"/>
      <c r="Q25" s="93"/>
      <c r="R25" s="93"/>
      <c r="S25" s="93"/>
      <c r="T25" s="93"/>
      <c r="U25" s="93"/>
      <c r="V25" s="93"/>
      <c r="W25" s="93"/>
      <c r="X25" s="93"/>
      <c r="Y25" s="93"/>
      <c r="Z25" s="93"/>
    </row>
    <row r="26">
      <c r="A26" s="1"/>
      <c r="C26" s="44"/>
      <c r="E26" s="44"/>
      <c r="F26" s="93"/>
      <c r="G26" s="93"/>
      <c r="H26" s="93"/>
      <c r="I26" s="93"/>
      <c r="J26" s="93"/>
      <c r="K26" s="93"/>
      <c r="L26" s="93"/>
      <c r="M26" s="93"/>
      <c r="N26" s="93"/>
      <c r="O26" s="93"/>
      <c r="P26" s="93"/>
      <c r="Q26" s="93"/>
      <c r="R26" s="93"/>
      <c r="S26" s="93"/>
      <c r="T26" s="93"/>
      <c r="U26" s="93"/>
      <c r="V26" s="93"/>
      <c r="W26" s="93"/>
      <c r="X26" s="93"/>
      <c r="Y26" s="93"/>
      <c r="Z26" s="93"/>
    </row>
    <row r="27">
      <c r="A27" s="1"/>
      <c r="C27" s="44"/>
      <c r="E27" s="44"/>
      <c r="F27" s="93"/>
      <c r="G27" s="93"/>
      <c r="H27" s="93"/>
      <c r="I27" s="93"/>
      <c r="J27" s="93"/>
      <c r="K27" s="93"/>
      <c r="L27" s="93"/>
      <c r="M27" s="93"/>
      <c r="N27" s="93"/>
      <c r="O27" s="93"/>
      <c r="P27" s="93"/>
      <c r="Q27" s="93"/>
      <c r="R27" s="93"/>
      <c r="S27" s="93"/>
      <c r="T27" s="93"/>
      <c r="U27" s="93"/>
      <c r="V27" s="93"/>
      <c r="W27" s="93"/>
      <c r="X27" s="93"/>
      <c r="Y27" s="93"/>
      <c r="Z27" s="93"/>
    </row>
    <row r="28">
      <c r="A28" s="1"/>
      <c r="C28" s="44"/>
      <c r="E28" s="44"/>
      <c r="F28" s="93"/>
      <c r="G28" s="93"/>
      <c r="H28" s="93"/>
      <c r="I28" s="93"/>
      <c r="J28" s="93"/>
      <c r="K28" s="93"/>
      <c r="L28" s="93"/>
      <c r="M28" s="93"/>
      <c r="N28" s="93"/>
      <c r="O28" s="93"/>
      <c r="P28" s="93"/>
      <c r="Q28" s="93"/>
      <c r="R28" s="93"/>
      <c r="S28" s="93"/>
      <c r="T28" s="93"/>
      <c r="U28" s="93"/>
      <c r="V28" s="93"/>
      <c r="W28" s="93"/>
      <c r="X28" s="93"/>
      <c r="Y28" s="93"/>
      <c r="Z28" s="93"/>
    </row>
    <row r="29">
      <c r="A29" s="1"/>
      <c r="C29" s="44"/>
      <c r="E29" s="44"/>
      <c r="F29" s="93"/>
      <c r="G29" s="93"/>
      <c r="H29" s="93"/>
      <c r="I29" s="93"/>
      <c r="J29" s="93"/>
      <c r="K29" s="93"/>
      <c r="L29" s="93"/>
      <c r="M29" s="93"/>
      <c r="N29" s="93"/>
      <c r="O29" s="93"/>
      <c r="P29" s="93"/>
      <c r="Q29" s="93"/>
      <c r="R29" s="93"/>
      <c r="S29" s="93"/>
      <c r="T29" s="93"/>
      <c r="U29" s="93"/>
      <c r="V29" s="93"/>
      <c r="W29" s="93"/>
      <c r="X29" s="93"/>
      <c r="Y29" s="93"/>
      <c r="Z29" s="93"/>
    </row>
    <row r="30">
      <c r="A30" s="1"/>
      <c r="C30" s="44"/>
      <c r="E30" s="44"/>
      <c r="F30" s="93"/>
      <c r="G30" s="93"/>
      <c r="H30" s="93"/>
      <c r="I30" s="93"/>
      <c r="J30" s="93"/>
      <c r="K30" s="93"/>
      <c r="L30" s="93"/>
      <c r="M30" s="93"/>
      <c r="N30" s="93"/>
      <c r="O30" s="93"/>
      <c r="P30" s="93"/>
      <c r="Q30" s="93"/>
      <c r="R30" s="93"/>
      <c r="S30" s="93"/>
      <c r="T30" s="93"/>
      <c r="U30" s="93"/>
      <c r="V30" s="93"/>
      <c r="W30" s="93"/>
      <c r="X30" s="93"/>
      <c r="Y30" s="93"/>
      <c r="Z30" s="93"/>
    </row>
    <row r="31">
      <c r="A31" s="1"/>
      <c r="C31" s="44"/>
      <c r="E31" s="44"/>
      <c r="F31" s="93"/>
      <c r="G31" s="93"/>
      <c r="H31" s="93"/>
      <c r="I31" s="93"/>
      <c r="J31" s="93"/>
      <c r="K31" s="93"/>
      <c r="L31" s="93"/>
      <c r="M31" s="93"/>
      <c r="N31" s="93"/>
      <c r="O31" s="93"/>
      <c r="P31" s="93"/>
      <c r="Q31" s="93"/>
      <c r="R31" s="93"/>
      <c r="S31" s="93"/>
      <c r="T31" s="93"/>
      <c r="U31" s="93"/>
      <c r="V31" s="93"/>
      <c r="W31" s="93"/>
      <c r="X31" s="93"/>
      <c r="Y31" s="93"/>
      <c r="Z31" s="93"/>
    </row>
    <row r="32">
      <c r="A32" s="1"/>
      <c r="C32" s="44"/>
      <c r="E32" s="44"/>
      <c r="F32" s="93"/>
      <c r="G32" s="93"/>
      <c r="H32" s="93"/>
      <c r="I32" s="93"/>
      <c r="J32" s="93"/>
      <c r="K32" s="93"/>
      <c r="L32" s="93"/>
      <c r="M32" s="93"/>
      <c r="N32" s="93"/>
      <c r="O32" s="93"/>
      <c r="P32" s="93"/>
      <c r="Q32" s="93"/>
      <c r="R32" s="93"/>
      <c r="S32" s="93"/>
      <c r="T32" s="93"/>
      <c r="U32" s="93"/>
      <c r="V32" s="93"/>
      <c r="W32" s="93"/>
      <c r="X32" s="93"/>
      <c r="Y32" s="93"/>
      <c r="Z32" s="93"/>
    </row>
    <row r="33">
      <c r="A33" s="1"/>
      <c r="C33" s="44"/>
      <c r="E33" s="44"/>
      <c r="F33" s="93"/>
      <c r="G33" s="93"/>
      <c r="H33" s="93"/>
      <c r="I33" s="93"/>
      <c r="J33" s="93"/>
      <c r="K33" s="93"/>
      <c r="L33" s="93"/>
      <c r="M33" s="93"/>
      <c r="N33" s="93"/>
      <c r="O33" s="93"/>
      <c r="P33" s="93"/>
      <c r="Q33" s="93"/>
      <c r="R33" s="93"/>
      <c r="S33" s="93"/>
      <c r="T33" s="93"/>
      <c r="U33" s="93"/>
      <c r="V33" s="93"/>
      <c r="W33" s="93"/>
      <c r="X33" s="93"/>
      <c r="Y33" s="93"/>
      <c r="Z33" s="93"/>
    </row>
    <row r="34">
      <c r="A34" s="1"/>
      <c r="C34" s="44"/>
      <c r="E34" s="44"/>
      <c r="F34" s="93"/>
      <c r="G34" s="93"/>
      <c r="H34" s="93"/>
      <c r="I34" s="93"/>
      <c r="J34" s="93"/>
      <c r="K34" s="93"/>
      <c r="L34" s="93"/>
      <c r="M34" s="93"/>
      <c r="N34" s="93"/>
      <c r="O34" s="93"/>
      <c r="P34" s="93"/>
      <c r="Q34" s="93"/>
      <c r="R34" s="93"/>
      <c r="S34" s="93"/>
      <c r="T34" s="93"/>
      <c r="U34" s="93"/>
      <c r="V34" s="93"/>
      <c r="W34" s="93"/>
      <c r="X34" s="93"/>
      <c r="Y34" s="93"/>
      <c r="Z34" s="93"/>
    </row>
    <row r="35">
      <c r="A35" s="1"/>
      <c r="C35" s="44"/>
      <c r="E35" s="44"/>
      <c r="F35" s="93"/>
      <c r="G35" s="93"/>
      <c r="H35" s="93"/>
      <c r="I35" s="93"/>
      <c r="J35" s="93"/>
      <c r="K35" s="93"/>
      <c r="L35" s="93"/>
      <c r="M35" s="93"/>
      <c r="N35" s="93"/>
      <c r="O35" s="93"/>
      <c r="P35" s="93"/>
      <c r="Q35" s="93"/>
      <c r="R35" s="93"/>
      <c r="S35" s="93"/>
      <c r="T35" s="93"/>
      <c r="U35" s="93"/>
      <c r="V35" s="93"/>
      <c r="W35" s="93"/>
      <c r="X35" s="93"/>
      <c r="Y35" s="93"/>
      <c r="Z35" s="93"/>
    </row>
    <row r="36">
      <c r="A36" s="1"/>
      <c r="C36" s="44"/>
      <c r="E36" s="44"/>
      <c r="F36" s="93"/>
      <c r="G36" s="93"/>
      <c r="H36" s="93"/>
      <c r="I36" s="93"/>
      <c r="J36" s="93"/>
      <c r="K36" s="93"/>
      <c r="L36" s="93"/>
      <c r="M36" s="93"/>
      <c r="N36" s="93"/>
      <c r="O36" s="93"/>
      <c r="P36" s="93"/>
      <c r="Q36" s="93"/>
      <c r="R36" s="93"/>
      <c r="S36" s="93"/>
      <c r="T36" s="93"/>
      <c r="U36" s="93"/>
      <c r="V36" s="93"/>
      <c r="W36" s="93"/>
      <c r="X36" s="93"/>
      <c r="Y36" s="93"/>
      <c r="Z36" s="93"/>
    </row>
    <row r="37">
      <c r="A37" s="1"/>
      <c r="C37" s="44"/>
      <c r="E37" s="44"/>
      <c r="F37" s="93"/>
      <c r="G37" s="93"/>
      <c r="H37" s="93"/>
      <c r="I37" s="93"/>
      <c r="J37" s="93"/>
      <c r="K37" s="93"/>
      <c r="L37" s="93"/>
      <c r="M37" s="93"/>
      <c r="N37" s="93"/>
      <c r="O37" s="93"/>
      <c r="P37" s="93"/>
      <c r="Q37" s="93"/>
      <c r="R37" s="93"/>
      <c r="S37" s="93"/>
      <c r="T37" s="93"/>
      <c r="U37" s="93"/>
      <c r="V37" s="93"/>
      <c r="W37" s="93"/>
      <c r="X37" s="93"/>
      <c r="Y37" s="93"/>
      <c r="Z37" s="93"/>
    </row>
    <row r="38">
      <c r="A38" s="1"/>
      <c r="C38" s="44"/>
      <c r="E38" s="44"/>
      <c r="F38" s="93"/>
      <c r="G38" s="93"/>
      <c r="H38" s="93"/>
      <c r="I38" s="93"/>
      <c r="J38" s="93"/>
      <c r="K38" s="93"/>
      <c r="L38" s="93"/>
      <c r="M38" s="93"/>
      <c r="N38" s="93"/>
      <c r="O38" s="93"/>
      <c r="P38" s="93"/>
      <c r="Q38" s="93"/>
      <c r="R38" s="93"/>
      <c r="S38" s="93"/>
      <c r="T38" s="93"/>
      <c r="U38" s="93"/>
      <c r="V38" s="93"/>
      <c r="W38" s="93"/>
      <c r="X38" s="93"/>
      <c r="Y38" s="93"/>
      <c r="Z38" s="93"/>
    </row>
    <row r="39">
      <c r="A39" s="1"/>
      <c r="C39" s="44"/>
      <c r="E39" s="44"/>
      <c r="F39" s="93"/>
      <c r="G39" s="93"/>
      <c r="H39" s="93"/>
      <c r="I39" s="93"/>
      <c r="J39" s="93"/>
      <c r="K39" s="93"/>
      <c r="L39" s="93"/>
      <c r="M39" s="93"/>
      <c r="N39" s="93"/>
      <c r="O39" s="93"/>
      <c r="P39" s="93"/>
      <c r="Q39" s="93"/>
      <c r="R39" s="93"/>
      <c r="S39" s="93"/>
      <c r="T39" s="93"/>
      <c r="U39" s="93"/>
      <c r="V39" s="93"/>
      <c r="W39" s="93"/>
      <c r="X39" s="93"/>
      <c r="Y39" s="93"/>
      <c r="Z39" s="93"/>
    </row>
    <row r="40">
      <c r="A40" s="1"/>
      <c r="C40" s="44"/>
      <c r="E40" s="44"/>
      <c r="F40" s="93"/>
      <c r="G40" s="93"/>
      <c r="H40" s="93"/>
      <c r="I40" s="93"/>
      <c r="J40" s="93"/>
      <c r="K40" s="93"/>
      <c r="L40" s="93"/>
      <c r="M40" s="93"/>
      <c r="N40" s="93"/>
      <c r="O40" s="93"/>
      <c r="P40" s="93"/>
      <c r="Q40" s="93"/>
      <c r="R40" s="93"/>
      <c r="S40" s="93"/>
      <c r="T40" s="93"/>
      <c r="U40" s="93"/>
      <c r="V40" s="93"/>
      <c r="W40" s="93"/>
      <c r="X40" s="93"/>
      <c r="Y40" s="93"/>
      <c r="Z40" s="93"/>
    </row>
    <row r="41">
      <c r="A41" s="1"/>
      <c r="C41" s="44"/>
      <c r="E41" s="44"/>
      <c r="F41" s="93"/>
      <c r="G41" s="93"/>
      <c r="H41" s="93"/>
      <c r="I41" s="93"/>
      <c r="J41" s="93"/>
      <c r="K41" s="93"/>
      <c r="L41" s="93"/>
      <c r="M41" s="93"/>
      <c r="N41" s="93"/>
      <c r="O41" s="93"/>
      <c r="P41" s="93"/>
      <c r="Q41" s="93"/>
      <c r="R41" s="93"/>
      <c r="S41" s="93"/>
      <c r="T41" s="93"/>
      <c r="U41" s="93"/>
      <c r="V41" s="93"/>
      <c r="W41" s="93"/>
      <c r="X41" s="93"/>
      <c r="Y41" s="93"/>
      <c r="Z41" s="93"/>
    </row>
    <row r="42">
      <c r="A42" s="1"/>
      <c r="C42" s="44"/>
      <c r="E42" s="44"/>
      <c r="F42" s="93"/>
      <c r="G42" s="93"/>
      <c r="H42" s="93"/>
      <c r="I42" s="93"/>
      <c r="J42" s="93"/>
      <c r="K42" s="93"/>
      <c r="L42" s="93"/>
      <c r="M42" s="93"/>
      <c r="N42" s="93"/>
      <c r="O42" s="93"/>
      <c r="P42" s="93"/>
      <c r="Q42" s="93"/>
      <c r="R42" s="93"/>
      <c r="S42" s="93"/>
      <c r="T42" s="93"/>
      <c r="U42" s="93"/>
      <c r="V42" s="93"/>
      <c r="W42" s="93"/>
      <c r="X42" s="93"/>
      <c r="Y42" s="93"/>
      <c r="Z42" s="93"/>
    </row>
    <row r="43">
      <c r="A43" s="1"/>
      <c r="C43" s="44"/>
      <c r="E43" s="44"/>
      <c r="F43" s="93"/>
      <c r="G43" s="93"/>
      <c r="H43" s="93"/>
      <c r="I43" s="93"/>
      <c r="J43" s="93"/>
      <c r="K43" s="93"/>
      <c r="L43" s="93"/>
      <c r="M43" s="93"/>
      <c r="N43" s="93"/>
      <c r="O43" s="93"/>
      <c r="P43" s="93"/>
      <c r="Q43" s="93"/>
      <c r="R43" s="93"/>
      <c r="S43" s="93"/>
      <c r="T43" s="93"/>
      <c r="U43" s="93"/>
      <c r="V43" s="93"/>
      <c r="W43" s="93"/>
      <c r="X43" s="93"/>
      <c r="Y43" s="93"/>
      <c r="Z43" s="93"/>
    </row>
    <row r="44">
      <c r="A44" s="1"/>
      <c r="C44" s="44"/>
      <c r="E44" s="44"/>
      <c r="F44" s="93"/>
      <c r="G44" s="93"/>
      <c r="H44" s="93"/>
      <c r="I44" s="93"/>
      <c r="J44" s="93"/>
      <c r="K44" s="93"/>
      <c r="L44" s="93"/>
      <c r="M44" s="93"/>
      <c r="N44" s="93"/>
      <c r="O44" s="93"/>
      <c r="P44" s="93"/>
      <c r="Q44" s="93"/>
      <c r="R44" s="93"/>
      <c r="S44" s="93"/>
      <c r="T44" s="93"/>
      <c r="U44" s="93"/>
      <c r="V44" s="93"/>
      <c r="W44" s="93"/>
      <c r="X44" s="93"/>
      <c r="Y44" s="93"/>
      <c r="Z44" s="93"/>
    </row>
    <row r="45">
      <c r="A45" s="1"/>
      <c r="C45" s="44"/>
      <c r="E45" s="44"/>
      <c r="F45" s="93"/>
      <c r="G45" s="93"/>
      <c r="H45" s="93"/>
      <c r="I45" s="93"/>
      <c r="J45" s="93"/>
      <c r="K45" s="93"/>
      <c r="L45" s="93"/>
      <c r="M45" s="93"/>
      <c r="N45" s="93"/>
      <c r="O45" s="93"/>
      <c r="P45" s="93"/>
      <c r="Q45" s="93"/>
      <c r="R45" s="93"/>
      <c r="S45" s="93"/>
      <c r="T45" s="93"/>
      <c r="U45" s="93"/>
      <c r="V45" s="93"/>
      <c r="W45" s="93"/>
      <c r="X45" s="93"/>
      <c r="Y45" s="93"/>
      <c r="Z45" s="93"/>
    </row>
    <row r="46">
      <c r="A46" s="1"/>
      <c r="C46" s="44"/>
      <c r="E46" s="44"/>
      <c r="F46" s="93"/>
      <c r="G46" s="93"/>
      <c r="H46" s="93"/>
      <c r="I46" s="93"/>
      <c r="J46" s="93"/>
      <c r="K46" s="93"/>
      <c r="L46" s="93"/>
      <c r="M46" s="93"/>
      <c r="N46" s="93"/>
      <c r="O46" s="93"/>
      <c r="P46" s="93"/>
      <c r="Q46" s="93"/>
      <c r="R46" s="93"/>
      <c r="S46" s="93"/>
      <c r="T46" s="93"/>
      <c r="U46" s="93"/>
      <c r="V46" s="93"/>
      <c r="W46" s="93"/>
      <c r="X46" s="93"/>
      <c r="Y46" s="93"/>
      <c r="Z46" s="93"/>
    </row>
    <row r="47">
      <c r="A47" s="1"/>
      <c r="C47" s="44"/>
      <c r="E47" s="44"/>
      <c r="F47" s="93"/>
      <c r="G47" s="93"/>
      <c r="H47" s="93"/>
      <c r="I47" s="93"/>
      <c r="J47" s="93"/>
      <c r="K47" s="93"/>
      <c r="L47" s="93"/>
      <c r="M47" s="93"/>
      <c r="N47" s="93"/>
      <c r="O47" s="93"/>
      <c r="P47" s="93"/>
      <c r="Q47" s="93"/>
      <c r="R47" s="93"/>
      <c r="S47" s="93"/>
      <c r="T47" s="93"/>
      <c r="U47" s="93"/>
      <c r="V47" s="93"/>
      <c r="W47" s="93"/>
      <c r="X47" s="93"/>
      <c r="Y47" s="93"/>
      <c r="Z47" s="93"/>
    </row>
    <row r="48">
      <c r="A48" s="1"/>
      <c r="C48" s="44"/>
      <c r="E48" s="44"/>
      <c r="F48" s="93"/>
      <c r="G48" s="93"/>
      <c r="H48" s="93"/>
      <c r="I48" s="93"/>
      <c r="J48" s="93"/>
      <c r="K48" s="93"/>
      <c r="L48" s="93"/>
      <c r="M48" s="93"/>
      <c r="N48" s="93"/>
      <c r="O48" s="93"/>
      <c r="P48" s="93"/>
      <c r="Q48" s="93"/>
      <c r="R48" s="93"/>
      <c r="S48" s="93"/>
      <c r="T48" s="93"/>
      <c r="U48" s="93"/>
      <c r="V48" s="93"/>
      <c r="W48" s="93"/>
      <c r="X48" s="93"/>
      <c r="Y48" s="93"/>
      <c r="Z48" s="93"/>
    </row>
    <row r="49">
      <c r="A49" s="1"/>
      <c r="C49" s="44"/>
      <c r="E49" s="44"/>
      <c r="F49" s="93"/>
      <c r="G49" s="93"/>
      <c r="H49" s="93"/>
      <c r="I49" s="93"/>
      <c r="J49" s="93"/>
      <c r="K49" s="93"/>
      <c r="L49" s="93"/>
      <c r="M49" s="93"/>
      <c r="N49" s="93"/>
      <c r="O49" s="93"/>
      <c r="P49" s="93"/>
      <c r="Q49" s="93"/>
      <c r="R49" s="93"/>
      <c r="S49" s="93"/>
      <c r="T49" s="93"/>
      <c r="U49" s="93"/>
      <c r="V49" s="93"/>
      <c r="W49" s="93"/>
      <c r="X49" s="93"/>
      <c r="Y49" s="93"/>
      <c r="Z49" s="93"/>
    </row>
    <row r="50">
      <c r="A50" s="1"/>
      <c r="C50" s="44"/>
      <c r="E50" s="44"/>
      <c r="F50" s="93"/>
      <c r="G50" s="93"/>
      <c r="H50" s="93"/>
      <c r="I50" s="93"/>
      <c r="J50" s="93"/>
      <c r="K50" s="93"/>
      <c r="L50" s="93"/>
      <c r="M50" s="93"/>
      <c r="N50" s="93"/>
      <c r="O50" s="93"/>
      <c r="P50" s="93"/>
      <c r="Q50" s="93"/>
      <c r="R50" s="93"/>
      <c r="S50" s="93"/>
      <c r="T50" s="93"/>
      <c r="U50" s="93"/>
      <c r="V50" s="93"/>
      <c r="W50" s="93"/>
      <c r="X50" s="93"/>
      <c r="Y50" s="93"/>
      <c r="Z50" s="93"/>
    </row>
    <row r="51">
      <c r="A51" s="1"/>
      <c r="C51" s="44"/>
      <c r="E51" s="44"/>
      <c r="F51" s="93"/>
      <c r="G51" s="93"/>
      <c r="H51" s="93"/>
      <c r="I51" s="93"/>
      <c r="J51" s="93"/>
      <c r="K51" s="93"/>
      <c r="L51" s="93"/>
      <c r="M51" s="93"/>
      <c r="N51" s="93"/>
      <c r="O51" s="93"/>
      <c r="P51" s="93"/>
      <c r="Q51" s="93"/>
      <c r="R51" s="93"/>
      <c r="S51" s="93"/>
      <c r="T51" s="93"/>
      <c r="U51" s="93"/>
      <c r="V51" s="93"/>
      <c r="W51" s="93"/>
      <c r="X51" s="93"/>
      <c r="Y51" s="93"/>
      <c r="Z51" s="93"/>
    </row>
    <row r="52">
      <c r="A52" s="1"/>
      <c r="C52" s="44"/>
      <c r="E52" s="44"/>
      <c r="F52" s="93"/>
      <c r="G52" s="93"/>
      <c r="H52" s="93"/>
      <c r="I52" s="93"/>
      <c r="J52" s="93"/>
      <c r="K52" s="93"/>
      <c r="L52" s="93"/>
      <c r="M52" s="93"/>
      <c r="N52" s="93"/>
      <c r="O52" s="93"/>
      <c r="P52" s="93"/>
      <c r="Q52" s="93"/>
      <c r="R52" s="93"/>
      <c r="S52" s="93"/>
      <c r="T52" s="93"/>
      <c r="U52" s="93"/>
      <c r="V52" s="93"/>
      <c r="W52" s="93"/>
      <c r="X52" s="93"/>
      <c r="Y52" s="93"/>
      <c r="Z52" s="93"/>
    </row>
    <row r="53">
      <c r="A53" s="1"/>
      <c r="C53" s="44"/>
      <c r="E53" s="44"/>
      <c r="F53" s="93"/>
      <c r="G53" s="93"/>
      <c r="H53" s="93"/>
      <c r="I53" s="93"/>
      <c r="J53" s="93"/>
      <c r="K53" s="93"/>
      <c r="L53" s="93"/>
      <c r="M53" s="93"/>
      <c r="N53" s="93"/>
      <c r="O53" s="93"/>
      <c r="P53" s="93"/>
      <c r="Q53" s="93"/>
      <c r="R53" s="93"/>
      <c r="S53" s="93"/>
      <c r="T53" s="93"/>
      <c r="U53" s="93"/>
      <c r="V53" s="93"/>
      <c r="W53" s="93"/>
      <c r="X53" s="93"/>
      <c r="Y53" s="93"/>
      <c r="Z53" s="93"/>
    </row>
    <row r="54">
      <c r="A54" s="1"/>
      <c r="C54" s="44"/>
      <c r="E54" s="44"/>
      <c r="F54" s="93"/>
      <c r="G54" s="93"/>
      <c r="H54" s="93"/>
      <c r="I54" s="93"/>
      <c r="J54" s="93"/>
      <c r="K54" s="93"/>
      <c r="L54" s="93"/>
      <c r="M54" s="93"/>
      <c r="N54" s="93"/>
      <c r="O54" s="93"/>
      <c r="P54" s="93"/>
      <c r="Q54" s="93"/>
      <c r="R54" s="93"/>
      <c r="S54" s="93"/>
      <c r="T54" s="93"/>
      <c r="U54" s="93"/>
      <c r="V54" s="93"/>
      <c r="W54" s="93"/>
      <c r="X54" s="93"/>
      <c r="Y54" s="93"/>
      <c r="Z54" s="93"/>
    </row>
    <row r="55">
      <c r="A55" s="1"/>
      <c r="C55" s="44"/>
      <c r="E55" s="44"/>
      <c r="F55" s="93"/>
      <c r="G55" s="93"/>
      <c r="H55" s="93"/>
      <c r="I55" s="93"/>
      <c r="J55" s="93"/>
      <c r="K55" s="93"/>
      <c r="L55" s="93"/>
      <c r="M55" s="93"/>
      <c r="N55" s="93"/>
      <c r="O55" s="93"/>
      <c r="P55" s="93"/>
      <c r="Q55" s="93"/>
      <c r="R55" s="93"/>
      <c r="S55" s="93"/>
      <c r="T55" s="93"/>
      <c r="U55" s="93"/>
      <c r="V55" s="93"/>
      <c r="W55" s="93"/>
      <c r="X55" s="93"/>
      <c r="Y55" s="93"/>
      <c r="Z55" s="93"/>
    </row>
    <row r="56">
      <c r="A56" s="1"/>
      <c r="C56" s="44"/>
      <c r="E56" s="44"/>
      <c r="F56" s="93"/>
      <c r="G56" s="93"/>
      <c r="H56" s="93"/>
      <c r="I56" s="93"/>
      <c r="J56" s="93"/>
      <c r="K56" s="93"/>
      <c r="L56" s="93"/>
      <c r="M56" s="93"/>
      <c r="N56" s="93"/>
      <c r="O56" s="93"/>
      <c r="P56" s="93"/>
      <c r="Q56" s="93"/>
      <c r="R56" s="93"/>
      <c r="S56" s="93"/>
      <c r="T56" s="93"/>
      <c r="U56" s="93"/>
      <c r="V56" s="93"/>
      <c r="W56" s="93"/>
      <c r="X56" s="93"/>
      <c r="Y56" s="93"/>
      <c r="Z56" s="93"/>
    </row>
    <row r="57">
      <c r="A57" s="1"/>
      <c r="C57" s="44"/>
      <c r="E57" s="44"/>
      <c r="F57" s="93"/>
      <c r="G57" s="93"/>
      <c r="H57" s="93"/>
      <c r="I57" s="93"/>
      <c r="J57" s="93"/>
      <c r="K57" s="93"/>
      <c r="L57" s="93"/>
      <c r="M57" s="93"/>
      <c r="N57" s="93"/>
      <c r="O57" s="93"/>
      <c r="P57" s="93"/>
      <c r="Q57" s="93"/>
      <c r="R57" s="93"/>
      <c r="S57" s="93"/>
      <c r="T57" s="93"/>
      <c r="U57" s="93"/>
      <c r="V57" s="93"/>
      <c r="W57" s="93"/>
      <c r="X57" s="93"/>
      <c r="Y57" s="93"/>
      <c r="Z57" s="93"/>
    </row>
    <row r="58">
      <c r="A58" s="1"/>
      <c r="C58" s="44"/>
      <c r="E58" s="44"/>
      <c r="F58" s="93"/>
      <c r="G58" s="93"/>
      <c r="H58" s="93"/>
      <c r="I58" s="93"/>
      <c r="J58" s="93"/>
      <c r="K58" s="93"/>
      <c r="L58" s="93"/>
      <c r="M58" s="93"/>
      <c r="N58" s="93"/>
      <c r="O58" s="93"/>
      <c r="P58" s="93"/>
      <c r="Q58" s="93"/>
      <c r="R58" s="93"/>
      <c r="S58" s="93"/>
      <c r="T58" s="93"/>
      <c r="U58" s="93"/>
      <c r="V58" s="93"/>
      <c r="W58" s="93"/>
      <c r="X58" s="93"/>
      <c r="Y58" s="93"/>
      <c r="Z58" s="93"/>
    </row>
    <row r="59">
      <c r="A59" s="1"/>
      <c r="C59" s="44"/>
      <c r="E59" s="44"/>
      <c r="F59" s="93"/>
      <c r="G59" s="93"/>
      <c r="H59" s="93"/>
      <c r="I59" s="93"/>
      <c r="J59" s="93"/>
      <c r="K59" s="93"/>
      <c r="L59" s="93"/>
      <c r="M59" s="93"/>
      <c r="N59" s="93"/>
      <c r="O59" s="93"/>
      <c r="P59" s="93"/>
      <c r="Q59" s="93"/>
      <c r="R59" s="93"/>
      <c r="S59" s="93"/>
      <c r="T59" s="93"/>
      <c r="U59" s="93"/>
      <c r="V59" s="93"/>
      <c r="W59" s="93"/>
      <c r="X59" s="93"/>
      <c r="Y59" s="93"/>
      <c r="Z59" s="93"/>
    </row>
    <row r="60">
      <c r="A60" s="1"/>
      <c r="C60" s="44"/>
      <c r="E60" s="44"/>
      <c r="F60" s="93"/>
      <c r="G60" s="93"/>
      <c r="H60" s="93"/>
      <c r="I60" s="93"/>
      <c r="J60" s="93"/>
      <c r="K60" s="93"/>
      <c r="L60" s="93"/>
      <c r="M60" s="93"/>
      <c r="N60" s="93"/>
      <c r="O60" s="93"/>
      <c r="P60" s="93"/>
      <c r="Q60" s="93"/>
      <c r="R60" s="93"/>
      <c r="S60" s="93"/>
      <c r="T60" s="93"/>
      <c r="U60" s="93"/>
      <c r="V60" s="93"/>
      <c r="W60" s="93"/>
      <c r="X60" s="93"/>
      <c r="Y60" s="93"/>
      <c r="Z60" s="93"/>
    </row>
    <row r="61">
      <c r="A61" s="1"/>
      <c r="C61" s="44"/>
      <c r="E61" s="44"/>
      <c r="F61" s="93"/>
      <c r="G61" s="93"/>
      <c r="H61" s="93"/>
      <c r="I61" s="93"/>
      <c r="J61" s="93"/>
      <c r="K61" s="93"/>
      <c r="L61" s="93"/>
      <c r="M61" s="93"/>
      <c r="N61" s="93"/>
      <c r="O61" s="93"/>
      <c r="P61" s="93"/>
      <c r="Q61" s="93"/>
      <c r="R61" s="93"/>
      <c r="S61" s="93"/>
      <c r="T61" s="93"/>
      <c r="U61" s="93"/>
      <c r="V61" s="93"/>
      <c r="W61" s="93"/>
      <c r="X61" s="93"/>
      <c r="Y61" s="93"/>
      <c r="Z61" s="93"/>
    </row>
    <row r="62">
      <c r="A62" s="1"/>
      <c r="C62" s="44"/>
      <c r="E62" s="44"/>
      <c r="F62" s="93"/>
      <c r="G62" s="93"/>
      <c r="H62" s="93"/>
      <c r="I62" s="93"/>
      <c r="J62" s="93"/>
      <c r="K62" s="93"/>
      <c r="L62" s="93"/>
      <c r="M62" s="93"/>
      <c r="N62" s="93"/>
      <c r="O62" s="93"/>
      <c r="P62" s="93"/>
      <c r="Q62" s="93"/>
      <c r="R62" s="93"/>
      <c r="S62" s="93"/>
      <c r="T62" s="93"/>
      <c r="U62" s="93"/>
      <c r="V62" s="93"/>
      <c r="W62" s="93"/>
      <c r="X62" s="93"/>
      <c r="Y62" s="93"/>
      <c r="Z62" s="93"/>
    </row>
    <row r="63">
      <c r="A63" s="1"/>
      <c r="C63" s="44"/>
      <c r="E63" s="44"/>
      <c r="F63" s="93"/>
      <c r="G63" s="93"/>
      <c r="H63" s="93"/>
      <c r="I63" s="93"/>
      <c r="J63" s="93"/>
      <c r="K63" s="93"/>
      <c r="L63" s="93"/>
      <c r="M63" s="93"/>
      <c r="N63" s="93"/>
      <c r="O63" s="93"/>
      <c r="P63" s="93"/>
      <c r="Q63" s="93"/>
      <c r="R63" s="93"/>
      <c r="S63" s="93"/>
      <c r="T63" s="93"/>
      <c r="U63" s="93"/>
      <c r="V63" s="93"/>
      <c r="W63" s="93"/>
      <c r="X63" s="93"/>
      <c r="Y63" s="93"/>
      <c r="Z63" s="93"/>
    </row>
    <row r="64">
      <c r="A64" s="1"/>
      <c r="C64" s="44"/>
      <c r="E64" s="44"/>
      <c r="F64" s="93"/>
      <c r="G64" s="93"/>
      <c r="H64" s="93"/>
      <c r="I64" s="93"/>
      <c r="J64" s="93"/>
      <c r="K64" s="93"/>
      <c r="L64" s="93"/>
      <c r="M64" s="93"/>
      <c r="N64" s="93"/>
      <c r="O64" s="93"/>
      <c r="P64" s="93"/>
      <c r="Q64" s="93"/>
      <c r="R64" s="93"/>
      <c r="S64" s="93"/>
      <c r="T64" s="93"/>
      <c r="U64" s="93"/>
      <c r="V64" s="93"/>
      <c r="W64" s="93"/>
      <c r="X64" s="93"/>
      <c r="Y64" s="93"/>
      <c r="Z64" s="93"/>
    </row>
    <row r="65">
      <c r="A65" s="1"/>
      <c r="C65" s="44"/>
      <c r="E65" s="44"/>
      <c r="F65" s="93"/>
      <c r="G65" s="93"/>
      <c r="H65" s="93"/>
      <c r="I65" s="93"/>
      <c r="J65" s="93"/>
      <c r="K65" s="93"/>
      <c r="L65" s="93"/>
      <c r="M65" s="93"/>
      <c r="N65" s="93"/>
      <c r="O65" s="93"/>
      <c r="P65" s="93"/>
      <c r="Q65" s="93"/>
      <c r="R65" s="93"/>
      <c r="S65" s="93"/>
      <c r="T65" s="93"/>
      <c r="U65" s="93"/>
      <c r="V65" s="93"/>
      <c r="W65" s="93"/>
      <c r="X65" s="93"/>
      <c r="Y65" s="93"/>
      <c r="Z65" s="93"/>
    </row>
    <row r="66">
      <c r="A66" s="1"/>
      <c r="C66" s="44"/>
      <c r="E66" s="44"/>
      <c r="F66" s="93"/>
      <c r="G66" s="93"/>
      <c r="H66" s="93"/>
      <c r="I66" s="93"/>
      <c r="J66" s="93"/>
      <c r="K66" s="93"/>
      <c r="L66" s="93"/>
      <c r="M66" s="93"/>
      <c r="N66" s="93"/>
      <c r="O66" s="93"/>
      <c r="P66" s="93"/>
      <c r="Q66" s="93"/>
      <c r="R66" s="93"/>
      <c r="S66" s="93"/>
      <c r="T66" s="93"/>
      <c r="U66" s="93"/>
      <c r="V66" s="93"/>
      <c r="W66" s="93"/>
      <c r="X66" s="93"/>
      <c r="Y66" s="93"/>
      <c r="Z66" s="93"/>
    </row>
    <row r="67">
      <c r="A67" s="1"/>
      <c r="C67" s="44"/>
      <c r="E67" s="44"/>
      <c r="F67" s="93"/>
      <c r="G67" s="93"/>
      <c r="H67" s="93"/>
      <c r="I67" s="93"/>
      <c r="J67" s="93"/>
      <c r="K67" s="93"/>
      <c r="L67" s="93"/>
      <c r="M67" s="93"/>
      <c r="N67" s="93"/>
      <c r="O67" s="93"/>
      <c r="P67" s="93"/>
      <c r="Q67" s="93"/>
      <c r="R67" s="93"/>
      <c r="S67" s="93"/>
      <c r="T67" s="93"/>
      <c r="U67" s="93"/>
      <c r="V67" s="93"/>
      <c r="W67" s="93"/>
      <c r="X67" s="93"/>
      <c r="Y67" s="93"/>
      <c r="Z67" s="93"/>
    </row>
    <row r="68">
      <c r="A68" s="1"/>
      <c r="C68" s="44"/>
      <c r="E68" s="44"/>
      <c r="F68" s="93"/>
      <c r="G68" s="93"/>
      <c r="H68" s="93"/>
      <c r="I68" s="93"/>
      <c r="J68" s="93"/>
      <c r="K68" s="93"/>
      <c r="L68" s="93"/>
      <c r="M68" s="93"/>
      <c r="N68" s="93"/>
      <c r="O68" s="93"/>
      <c r="P68" s="93"/>
      <c r="Q68" s="93"/>
      <c r="R68" s="93"/>
      <c r="S68" s="93"/>
      <c r="T68" s="93"/>
      <c r="U68" s="93"/>
      <c r="V68" s="93"/>
      <c r="W68" s="93"/>
      <c r="X68" s="93"/>
      <c r="Y68" s="93"/>
      <c r="Z68" s="93"/>
    </row>
    <row r="69">
      <c r="A69" s="1"/>
      <c r="C69" s="44"/>
      <c r="E69" s="44"/>
      <c r="F69" s="93"/>
      <c r="G69" s="93"/>
      <c r="H69" s="93"/>
      <c r="I69" s="93"/>
      <c r="J69" s="93"/>
      <c r="K69" s="93"/>
      <c r="L69" s="93"/>
      <c r="M69" s="93"/>
      <c r="N69" s="93"/>
      <c r="O69" s="93"/>
      <c r="P69" s="93"/>
      <c r="Q69" s="93"/>
      <c r="R69" s="93"/>
      <c r="S69" s="93"/>
      <c r="T69" s="93"/>
      <c r="U69" s="93"/>
      <c r="V69" s="93"/>
      <c r="W69" s="93"/>
      <c r="X69" s="93"/>
      <c r="Y69" s="93"/>
      <c r="Z69" s="93"/>
    </row>
    <row r="70">
      <c r="A70" s="1"/>
      <c r="C70" s="44"/>
      <c r="E70" s="44"/>
      <c r="F70" s="93"/>
      <c r="G70" s="93"/>
      <c r="H70" s="93"/>
      <c r="I70" s="93"/>
      <c r="J70" s="93"/>
      <c r="K70" s="93"/>
      <c r="L70" s="93"/>
      <c r="M70" s="93"/>
      <c r="N70" s="93"/>
      <c r="O70" s="93"/>
      <c r="P70" s="93"/>
      <c r="Q70" s="93"/>
      <c r="R70" s="93"/>
      <c r="S70" s="93"/>
      <c r="T70" s="93"/>
      <c r="U70" s="93"/>
      <c r="V70" s="93"/>
      <c r="W70" s="93"/>
      <c r="X70" s="93"/>
      <c r="Y70" s="93"/>
      <c r="Z70" s="93"/>
    </row>
    <row r="71">
      <c r="A71" s="1"/>
      <c r="C71" s="44"/>
      <c r="E71" s="44"/>
      <c r="F71" s="93"/>
      <c r="G71" s="93"/>
      <c r="H71" s="93"/>
      <c r="I71" s="93"/>
      <c r="J71" s="93"/>
      <c r="K71" s="93"/>
      <c r="L71" s="93"/>
      <c r="M71" s="93"/>
      <c r="N71" s="93"/>
      <c r="O71" s="93"/>
      <c r="P71" s="93"/>
      <c r="Q71" s="93"/>
      <c r="R71" s="93"/>
      <c r="S71" s="93"/>
      <c r="T71" s="93"/>
      <c r="U71" s="93"/>
      <c r="V71" s="93"/>
      <c r="W71" s="93"/>
      <c r="X71" s="93"/>
      <c r="Y71" s="93"/>
      <c r="Z71" s="93"/>
    </row>
    <row r="72">
      <c r="A72" s="1"/>
      <c r="C72" s="44"/>
      <c r="E72" s="44"/>
      <c r="F72" s="93"/>
      <c r="G72" s="93"/>
      <c r="H72" s="93"/>
      <c r="I72" s="93"/>
      <c r="J72" s="93"/>
      <c r="K72" s="93"/>
      <c r="L72" s="93"/>
      <c r="M72" s="93"/>
      <c r="N72" s="93"/>
      <c r="O72" s="93"/>
      <c r="P72" s="93"/>
      <c r="Q72" s="93"/>
      <c r="R72" s="93"/>
      <c r="S72" s="93"/>
      <c r="T72" s="93"/>
      <c r="U72" s="93"/>
      <c r="V72" s="93"/>
      <c r="W72" s="93"/>
      <c r="X72" s="93"/>
      <c r="Y72" s="93"/>
      <c r="Z72" s="93"/>
    </row>
    <row r="73">
      <c r="A73" s="1"/>
      <c r="C73" s="44"/>
      <c r="E73" s="44"/>
      <c r="F73" s="93"/>
      <c r="G73" s="93"/>
      <c r="H73" s="93"/>
      <c r="I73" s="93"/>
      <c r="J73" s="93"/>
      <c r="K73" s="93"/>
      <c r="L73" s="93"/>
      <c r="M73" s="93"/>
      <c r="N73" s="93"/>
      <c r="O73" s="93"/>
      <c r="P73" s="93"/>
      <c r="Q73" s="93"/>
      <c r="R73" s="93"/>
      <c r="S73" s="93"/>
      <c r="T73" s="93"/>
      <c r="U73" s="93"/>
      <c r="V73" s="93"/>
      <c r="W73" s="93"/>
      <c r="X73" s="93"/>
      <c r="Y73" s="93"/>
      <c r="Z73" s="93"/>
    </row>
    <row r="74">
      <c r="A74" s="1"/>
      <c r="C74" s="44"/>
      <c r="E74" s="44"/>
      <c r="F74" s="93"/>
      <c r="G74" s="93"/>
      <c r="H74" s="93"/>
      <c r="I74" s="93"/>
      <c r="J74" s="93"/>
      <c r="K74" s="93"/>
      <c r="L74" s="93"/>
      <c r="M74" s="93"/>
      <c r="N74" s="93"/>
      <c r="O74" s="93"/>
      <c r="P74" s="93"/>
      <c r="Q74" s="93"/>
      <c r="R74" s="93"/>
      <c r="S74" s="93"/>
      <c r="T74" s="93"/>
      <c r="U74" s="93"/>
      <c r="V74" s="93"/>
      <c r="W74" s="93"/>
      <c r="X74" s="93"/>
      <c r="Y74" s="93"/>
      <c r="Z74" s="93"/>
    </row>
    <row r="75">
      <c r="A75" s="1"/>
      <c r="C75" s="44"/>
      <c r="E75" s="44"/>
      <c r="F75" s="93"/>
      <c r="G75" s="93"/>
      <c r="H75" s="93"/>
      <c r="I75" s="93"/>
      <c r="J75" s="93"/>
      <c r="K75" s="93"/>
      <c r="L75" s="93"/>
      <c r="M75" s="93"/>
      <c r="N75" s="93"/>
      <c r="O75" s="93"/>
      <c r="P75" s="93"/>
      <c r="Q75" s="93"/>
      <c r="R75" s="93"/>
      <c r="S75" s="93"/>
      <c r="T75" s="93"/>
      <c r="U75" s="93"/>
      <c r="V75" s="93"/>
      <c r="W75" s="93"/>
      <c r="X75" s="93"/>
      <c r="Y75" s="93"/>
      <c r="Z75" s="93"/>
    </row>
    <row r="76">
      <c r="A76" s="1"/>
      <c r="C76" s="44"/>
      <c r="E76" s="44"/>
      <c r="F76" s="93"/>
      <c r="G76" s="93"/>
      <c r="H76" s="93"/>
      <c r="I76" s="93"/>
      <c r="J76" s="93"/>
      <c r="K76" s="93"/>
      <c r="L76" s="93"/>
      <c r="M76" s="93"/>
      <c r="N76" s="93"/>
      <c r="O76" s="93"/>
      <c r="P76" s="93"/>
      <c r="Q76" s="93"/>
      <c r="R76" s="93"/>
      <c r="S76" s="93"/>
      <c r="T76" s="93"/>
      <c r="U76" s="93"/>
      <c r="V76" s="93"/>
      <c r="W76" s="93"/>
      <c r="X76" s="93"/>
      <c r="Y76" s="93"/>
      <c r="Z76" s="93"/>
    </row>
    <row r="77">
      <c r="A77" s="1"/>
      <c r="C77" s="44"/>
      <c r="E77" s="44"/>
      <c r="F77" s="93"/>
      <c r="G77" s="93"/>
      <c r="H77" s="93"/>
      <c r="I77" s="93"/>
      <c r="J77" s="93"/>
      <c r="K77" s="93"/>
      <c r="L77" s="93"/>
      <c r="M77" s="93"/>
      <c r="N77" s="93"/>
      <c r="O77" s="93"/>
      <c r="P77" s="93"/>
      <c r="Q77" s="93"/>
      <c r="R77" s="93"/>
      <c r="S77" s="93"/>
      <c r="T77" s="93"/>
      <c r="U77" s="93"/>
      <c r="V77" s="93"/>
      <c r="W77" s="93"/>
      <c r="X77" s="93"/>
      <c r="Y77" s="93"/>
      <c r="Z77" s="93"/>
    </row>
    <row r="78">
      <c r="A78" s="1"/>
      <c r="C78" s="44"/>
      <c r="E78" s="44"/>
      <c r="F78" s="93"/>
      <c r="G78" s="93"/>
      <c r="H78" s="93"/>
      <c r="I78" s="93"/>
      <c r="J78" s="93"/>
      <c r="K78" s="93"/>
      <c r="L78" s="93"/>
      <c r="M78" s="93"/>
      <c r="N78" s="93"/>
      <c r="O78" s="93"/>
      <c r="P78" s="93"/>
      <c r="Q78" s="93"/>
      <c r="R78" s="93"/>
      <c r="S78" s="93"/>
      <c r="T78" s="93"/>
      <c r="U78" s="93"/>
      <c r="V78" s="93"/>
      <c r="W78" s="93"/>
      <c r="X78" s="93"/>
      <c r="Y78" s="93"/>
      <c r="Z78" s="93"/>
    </row>
    <row r="79">
      <c r="A79" s="1"/>
      <c r="C79" s="44"/>
      <c r="E79" s="44"/>
      <c r="F79" s="93"/>
      <c r="G79" s="93"/>
      <c r="H79" s="93"/>
      <c r="I79" s="93"/>
      <c r="J79" s="93"/>
      <c r="K79" s="93"/>
      <c r="L79" s="93"/>
      <c r="M79" s="93"/>
      <c r="N79" s="93"/>
      <c r="O79" s="93"/>
      <c r="P79" s="93"/>
      <c r="Q79" s="93"/>
      <c r="R79" s="93"/>
      <c r="S79" s="93"/>
      <c r="T79" s="93"/>
      <c r="U79" s="93"/>
      <c r="V79" s="93"/>
      <c r="W79" s="93"/>
      <c r="X79" s="93"/>
      <c r="Y79" s="93"/>
      <c r="Z79" s="93"/>
    </row>
    <row r="80">
      <c r="A80" s="1"/>
      <c r="C80" s="44"/>
      <c r="E80" s="44"/>
      <c r="F80" s="93"/>
      <c r="G80" s="93"/>
      <c r="H80" s="93"/>
      <c r="I80" s="93"/>
      <c r="J80" s="93"/>
      <c r="K80" s="93"/>
      <c r="L80" s="93"/>
      <c r="M80" s="93"/>
      <c r="N80" s="93"/>
      <c r="O80" s="93"/>
      <c r="P80" s="93"/>
      <c r="Q80" s="93"/>
      <c r="R80" s="93"/>
      <c r="S80" s="93"/>
      <c r="T80" s="93"/>
      <c r="U80" s="93"/>
      <c r="V80" s="93"/>
      <c r="W80" s="93"/>
      <c r="X80" s="93"/>
      <c r="Y80" s="93"/>
      <c r="Z80" s="93"/>
    </row>
    <row r="81">
      <c r="A81" s="1"/>
      <c r="C81" s="44"/>
      <c r="E81" s="44"/>
      <c r="F81" s="93"/>
      <c r="G81" s="93"/>
      <c r="H81" s="93"/>
      <c r="I81" s="93"/>
      <c r="J81" s="93"/>
      <c r="K81" s="93"/>
      <c r="L81" s="93"/>
      <c r="M81" s="93"/>
      <c r="N81" s="93"/>
      <c r="O81" s="93"/>
      <c r="P81" s="93"/>
      <c r="Q81" s="93"/>
      <c r="R81" s="93"/>
      <c r="S81" s="93"/>
      <c r="T81" s="93"/>
      <c r="U81" s="93"/>
      <c r="V81" s="93"/>
      <c r="W81" s="93"/>
      <c r="X81" s="93"/>
      <c r="Y81" s="93"/>
      <c r="Z81" s="93"/>
    </row>
    <row r="82">
      <c r="A82" s="1"/>
      <c r="C82" s="44"/>
      <c r="E82" s="44"/>
      <c r="F82" s="93"/>
      <c r="G82" s="93"/>
      <c r="H82" s="93"/>
      <c r="I82" s="93"/>
      <c r="J82" s="93"/>
      <c r="K82" s="93"/>
      <c r="L82" s="93"/>
      <c r="M82" s="93"/>
      <c r="N82" s="93"/>
      <c r="O82" s="93"/>
      <c r="P82" s="93"/>
      <c r="Q82" s="93"/>
      <c r="R82" s="93"/>
      <c r="S82" s="93"/>
      <c r="T82" s="93"/>
      <c r="U82" s="93"/>
      <c r="V82" s="93"/>
      <c r="W82" s="93"/>
      <c r="X82" s="93"/>
      <c r="Y82" s="93"/>
      <c r="Z82" s="93"/>
    </row>
    <row r="83">
      <c r="A83" s="1"/>
      <c r="C83" s="44"/>
      <c r="E83" s="44"/>
      <c r="F83" s="93"/>
      <c r="G83" s="93"/>
      <c r="H83" s="93"/>
      <c r="I83" s="93"/>
      <c r="J83" s="93"/>
      <c r="K83" s="93"/>
      <c r="L83" s="93"/>
      <c r="M83" s="93"/>
      <c r="N83" s="93"/>
      <c r="O83" s="93"/>
      <c r="P83" s="93"/>
      <c r="Q83" s="93"/>
      <c r="R83" s="93"/>
      <c r="S83" s="93"/>
      <c r="T83" s="93"/>
      <c r="U83" s="93"/>
      <c r="V83" s="93"/>
      <c r="W83" s="93"/>
      <c r="X83" s="93"/>
      <c r="Y83" s="93"/>
      <c r="Z83" s="93"/>
    </row>
    <row r="84">
      <c r="A84" s="1"/>
      <c r="C84" s="44"/>
      <c r="E84" s="44"/>
      <c r="F84" s="93"/>
      <c r="G84" s="93"/>
      <c r="H84" s="93"/>
      <c r="I84" s="93"/>
      <c r="J84" s="93"/>
      <c r="K84" s="93"/>
      <c r="L84" s="93"/>
      <c r="M84" s="93"/>
      <c r="N84" s="93"/>
      <c r="O84" s="93"/>
      <c r="P84" s="93"/>
      <c r="Q84" s="93"/>
      <c r="R84" s="93"/>
      <c r="S84" s="93"/>
      <c r="T84" s="93"/>
      <c r="U84" s="93"/>
      <c r="V84" s="93"/>
      <c r="W84" s="93"/>
      <c r="X84" s="93"/>
      <c r="Y84" s="93"/>
      <c r="Z84" s="93"/>
    </row>
    <row r="85">
      <c r="A85" s="1"/>
      <c r="C85" s="44"/>
      <c r="E85" s="44"/>
      <c r="F85" s="93"/>
      <c r="G85" s="93"/>
      <c r="H85" s="93"/>
      <c r="I85" s="93"/>
      <c r="J85" s="93"/>
      <c r="K85" s="93"/>
      <c r="L85" s="93"/>
      <c r="M85" s="93"/>
      <c r="N85" s="93"/>
      <c r="O85" s="93"/>
      <c r="P85" s="93"/>
      <c r="Q85" s="93"/>
      <c r="R85" s="93"/>
      <c r="S85" s="93"/>
      <c r="T85" s="93"/>
      <c r="U85" s="93"/>
      <c r="V85" s="93"/>
      <c r="W85" s="93"/>
      <c r="X85" s="93"/>
      <c r="Y85" s="93"/>
      <c r="Z85" s="93"/>
    </row>
    <row r="86">
      <c r="A86" s="1"/>
      <c r="C86" s="44"/>
      <c r="E86" s="44"/>
      <c r="F86" s="93"/>
      <c r="G86" s="93"/>
      <c r="H86" s="93"/>
      <c r="I86" s="93"/>
      <c r="J86" s="93"/>
      <c r="K86" s="93"/>
      <c r="L86" s="93"/>
      <c r="M86" s="93"/>
      <c r="N86" s="93"/>
      <c r="O86" s="93"/>
      <c r="P86" s="93"/>
      <c r="Q86" s="93"/>
      <c r="R86" s="93"/>
      <c r="S86" s="93"/>
      <c r="T86" s="93"/>
      <c r="U86" s="93"/>
      <c r="V86" s="93"/>
      <c r="W86" s="93"/>
      <c r="X86" s="93"/>
      <c r="Y86" s="93"/>
      <c r="Z86" s="93"/>
    </row>
    <row r="87">
      <c r="A87" s="1"/>
      <c r="C87" s="44"/>
      <c r="E87" s="44"/>
      <c r="F87" s="93"/>
      <c r="G87" s="93"/>
      <c r="H87" s="93"/>
      <c r="I87" s="93"/>
      <c r="J87" s="93"/>
      <c r="K87" s="93"/>
      <c r="L87" s="93"/>
      <c r="M87" s="93"/>
      <c r="N87" s="93"/>
      <c r="O87" s="93"/>
      <c r="P87" s="93"/>
      <c r="Q87" s="93"/>
      <c r="R87" s="93"/>
      <c r="S87" s="93"/>
      <c r="T87" s="93"/>
      <c r="U87" s="93"/>
      <c r="V87" s="93"/>
      <c r="W87" s="93"/>
      <c r="X87" s="93"/>
      <c r="Y87" s="93"/>
      <c r="Z87" s="93"/>
    </row>
    <row r="88">
      <c r="A88" s="1"/>
      <c r="C88" s="44"/>
      <c r="E88" s="44"/>
      <c r="F88" s="93"/>
      <c r="G88" s="93"/>
      <c r="H88" s="93"/>
      <c r="I88" s="93"/>
      <c r="J88" s="93"/>
      <c r="K88" s="93"/>
      <c r="L88" s="93"/>
      <c r="M88" s="93"/>
      <c r="N88" s="93"/>
      <c r="O88" s="93"/>
      <c r="P88" s="93"/>
      <c r="Q88" s="93"/>
      <c r="R88" s="93"/>
      <c r="S88" s="93"/>
      <c r="T88" s="93"/>
      <c r="U88" s="93"/>
      <c r="V88" s="93"/>
      <c r="W88" s="93"/>
      <c r="X88" s="93"/>
      <c r="Y88" s="93"/>
      <c r="Z88" s="93"/>
    </row>
    <row r="89">
      <c r="A89" s="1"/>
      <c r="C89" s="44"/>
      <c r="E89" s="44"/>
      <c r="F89" s="93"/>
      <c r="G89" s="93"/>
      <c r="H89" s="93"/>
      <c r="I89" s="93"/>
      <c r="J89" s="93"/>
      <c r="K89" s="93"/>
      <c r="L89" s="93"/>
      <c r="M89" s="93"/>
      <c r="N89" s="93"/>
      <c r="O89" s="93"/>
      <c r="P89" s="93"/>
      <c r="Q89" s="93"/>
      <c r="R89" s="93"/>
      <c r="S89" s="93"/>
      <c r="T89" s="93"/>
      <c r="U89" s="93"/>
      <c r="V89" s="93"/>
      <c r="W89" s="93"/>
      <c r="X89" s="93"/>
      <c r="Y89" s="93"/>
      <c r="Z89" s="93"/>
    </row>
    <row r="90">
      <c r="A90" s="1"/>
      <c r="C90" s="44"/>
      <c r="E90" s="44"/>
      <c r="F90" s="93"/>
      <c r="G90" s="93"/>
      <c r="H90" s="93"/>
      <c r="I90" s="93"/>
      <c r="J90" s="93"/>
      <c r="K90" s="93"/>
      <c r="L90" s="93"/>
      <c r="M90" s="93"/>
      <c r="N90" s="93"/>
      <c r="O90" s="93"/>
      <c r="P90" s="93"/>
      <c r="Q90" s="93"/>
      <c r="R90" s="93"/>
      <c r="S90" s="93"/>
      <c r="T90" s="93"/>
      <c r="U90" s="93"/>
      <c r="V90" s="93"/>
      <c r="W90" s="93"/>
      <c r="X90" s="93"/>
      <c r="Y90" s="93"/>
      <c r="Z90" s="93"/>
    </row>
    <row r="91">
      <c r="A91" s="1"/>
      <c r="C91" s="44"/>
      <c r="E91" s="44"/>
      <c r="F91" s="93"/>
      <c r="G91" s="93"/>
      <c r="H91" s="93"/>
      <c r="I91" s="93"/>
      <c r="J91" s="93"/>
      <c r="K91" s="93"/>
      <c r="L91" s="93"/>
      <c r="M91" s="93"/>
      <c r="N91" s="93"/>
      <c r="O91" s="93"/>
      <c r="P91" s="93"/>
      <c r="Q91" s="93"/>
      <c r="R91" s="93"/>
      <c r="S91" s="93"/>
      <c r="T91" s="93"/>
      <c r="U91" s="93"/>
      <c r="V91" s="93"/>
      <c r="W91" s="93"/>
      <c r="X91" s="93"/>
      <c r="Y91" s="93"/>
      <c r="Z91" s="93"/>
    </row>
    <row r="92">
      <c r="A92" s="1"/>
      <c r="C92" s="44"/>
      <c r="E92" s="44"/>
      <c r="F92" s="93"/>
      <c r="G92" s="93"/>
      <c r="H92" s="93"/>
      <c r="I92" s="93"/>
      <c r="J92" s="93"/>
      <c r="K92" s="93"/>
      <c r="L92" s="93"/>
      <c r="M92" s="93"/>
      <c r="N92" s="93"/>
      <c r="O92" s="93"/>
      <c r="P92" s="93"/>
      <c r="Q92" s="93"/>
      <c r="R92" s="93"/>
      <c r="S92" s="93"/>
      <c r="T92" s="93"/>
      <c r="U92" s="93"/>
      <c r="V92" s="93"/>
      <c r="W92" s="93"/>
      <c r="X92" s="93"/>
      <c r="Y92" s="93"/>
      <c r="Z92" s="93"/>
    </row>
    <row r="93">
      <c r="A93" s="1"/>
      <c r="C93" s="44"/>
      <c r="E93" s="44"/>
      <c r="F93" s="93"/>
      <c r="G93" s="93"/>
      <c r="H93" s="93"/>
      <c r="I93" s="93"/>
      <c r="J93" s="93"/>
      <c r="K93" s="93"/>
      <c r="L93" s="93"/>
      <c r="M93" s="93"/>
      <c r="N93" s="93"/>
      <c r="O93" s="93"/>
      <c r="P93" s="93"/>
      <c r="Q93" s="93"/>
      <c r="R93" s="93"/>
      <c r="S93" s="93"/>
      <c r="T93" s="93"/>
      <c r="U93" s="93"/>
      <c r="V93" s="93"/>
      <c r="W93" s="93"/>
      <c r="X93" s="93"/>
      <c r="Y93" s="93"/>
      <c r="Z93" s="93"/>
    </row>
    <row r="94">
      <c r="A94" s="1"/>
      <c r="C94" s="44"/>
      <c r="E94" s="44"/>
      <c r="F94" s="93"/>
      <c r="G94" s="93"/>
      <c r="H94" s="93"/>
      <c r="I94" s="93"/>
      <c r="J94" s="93"/>
      <c r="K94" s="93"/>
      <c r="L94" s="93"/>
      <c r="M94" s="93"/>
      <c r="N94" s="93"/>
      <c r="O94" s="93"/>
      <c r="P94" s="93"/>
      <c r="Q94" s="93"/>
      <c r="R94" s="93"/>
      <c r="S94" s="93"/>
      <c r="T94" s="93"/>
      <c r="U94" s="93"/>
      <c r="V94" s="93"/>
      <c r="W94" s="93"/>
      <c r="X94" s="93"/>
      <c r="Y94" s="93"/>
      <c r="Z94" s="93"/>
    </row>
    <row r="95">
      <c r="A95" s="1"/>
      <c r="C95" s="44"/>
      <c r="E95" s="44"/>
      <c r="F95" s="93"/>
      <c r="G95" s="93"/>
      <c r="H95" s="93"/>
      <c r="I95" s="93"/>
      <c r="J95" s="93"/>
      <c r="K95" s="93"/>
      <c r="L95" s="93"/>
      <c r="M95" s="93"/>
      <c r="N95" s="93"/>
      <c r="O95" s="93"/>
      <c r="P95" s="93"/>
      <c r="Q95" s="93"/>
      <c r="R95" s="93"/>
      <c r="S95" s="93"/>
      <c r="T95" s="93"/>
      <c r="U95" s="93"/>
      <c r="V95" s="93"/>
      <c r="W95" s="93"/>
      <c r="X95" s="93"/>
      <c r="Y95" s="93"/>
      <c r="Z95" s="93"/>
    </row>
    <row r="96">
      <c r="A96" s="1"/>
      <c r="C96" s="44"/>
      <c r="E96" s="44"/>
      <c r="F96" s="93"/>
      <c r="G96" s="93"/>
      <c r="H96" s="93"/>
      <c r="I96" s="93"/>
      <c r="J96" s="93"/>
      <c r="K96" s="93"/>
      <c r="L96" s="93"/>
      <c r="M96" s="93"/>
      <c r="N96" s="93"/>
      <c r="O96" s="93"/>
      <c r="P96" s="93"/>
      <c r="Q96" s="93"/>
      <c r="R96" s="93"/>
      <c r="S96" s="93"/>
      <c r="T96" s="93"/>
      <c r="U96" s="93"/>
      <c r="V96" s="93"/>
      <c r="W96" s="93"/>
      <c r="X96" s="93"/>
      <c r="Y96" s="93"/>
      <c r="Z96" s="93"/>
    </row>
    <row r="97">
      <c r="A97" s="1"/>
      <c r="C97" s="44"/>
      <c r="E97" s="44"/>
      <c r="F97" s="93"/>
      <c r="G97" s="93"/>
      <c r="H97" s="93"/>
      <c r="I97" s="93"/>
      <c r="J97" s="93"/>
      <c r="K97" s="93"/>
      <c r="L97" s="93"/>
      <c r="M97" s="93"/>
      <c r="N97" s="93"/>
      <c r="O97" s="93"/>
      <c r="P97" s="93"/>
      <c r="Q97" s="93"/>
      <c r="R97" s="93"/>
      <c r="S97" s="93"/>
      <c r="T97" s="93"/>
      <c r="U97" s="93"/>
      <c r="V97" s="93"/>
      <c r="W97" s="93"/>
      <c r="X97" s="93"/>
      <c r="Y97" s="93"/>
      <c r="Z97" s="93"/>
    </row>
    <row r="98">
      <c r="A98" s="1"/>
      <c r="C98" s="44"/>
      <c r="E98" s="44"/>
      <c r="F98" s="93"/>
      <c r="G98" s="93"/>
      <c r="H98" s="93"/>
      <c r="I98" s="93"/>
      <c r="J98" s="93"/>
      <c r="K98" s="93"/>
      <c r="L98" s="93"/>
      <c r="M98" s="93"/>
      <c r="N98" s="93"/>
      <c r="O98" s="93"/>
      <c r="P98" s="93"/>
      <c r="Q98" s="93"/>
      <c r="R98" s="93"/>
      <c r="S98" s="93"/>
      <c r="T98" s="93"/>
      <c r="U98" s="93"/>
      <c r="V98" s="93"/>
      <c r="W98" s="93"/>
      <c r="X98" s="93"/>
      <c r="Y98" s="93"/>
      <c r="Z98" s="93"/>
    </row>
    <row r="99">
      <c r="A99" s="1"/>
      <c r="C99" s="44"/>
      <c r="E99" s="44"/>
      <c r="F99" s="93"/>
      <c r="G99" s="93"/>
      <c r="H99" s="93"/>
      <c r="I99" s="93"/>
      <c r="J99" s="93"/>
      <c r="K99" s="93"/>
      <c r="L99" s="93"/>
      <c r="M99" s="93"/>
      <c r="N99" s="93"/>
      <c r="O99" s="93"/>
      <c r="P99" s="93"/>
      <c r="Q99" s="93"/>
      <c r="R99" s="93"/>
      <c r="S99" s="93"/>
      <c r="T99" s="93"/>
      <c r="U99" s="93"/>
      <c r="V99" s="93"/>
      <c r="W99" s="93"/>
      <c r="X99" s="93"/>
      <c r="Y99" s="93"/>
      <c r="Z99" s="93"/>
    </row>
    <row r="100">
      <c r="A100" s="1"/>
      <c r="C100" s="44"/>
      <c r="E100" s="44"/>
      <c r="F100" s="93"/>
      <c r="G100" s="93"/>
      <c r="H100" s="93"/>
      <c r="I100" s="93"/>
      <c r="J100" s="93"/>
      <c r="K100" s="93"/>
      <c r="L100" s="93"/>
      <c r="M100" s="93"/>
      <c r="N100" s="93"/>
      <c r="O100" s="93"/>
      <c r="P100" s="93"/>
      <c r="Q100" s="93"/>
      <c r="R100" s="93"/>
      <c r="S100" s="93"/>
      <c r="T100" s="93"/>
      <c r="U100" s="93"/>
      <c r="V100" s="93"/>
      <c r="W100" s="93"/>
      <c r="X100" s="93"/>
      <c r="Y100" s="93"/>
      <c r="Z100" s="93"/>
    </row>
    <row r="101">
      <c r="A101" s="1"/>
      <c r="C101" s="44"/>
      <c r="E101" s="44"/>
      <c r="F101" s="93"/>
      <c r="G101" s="93"/>
      <c r="H101" s="93"/>
      <c r="I101" s="93"/>
      <c r="J101" s="93"/>
      <c r="K101" s="93"/>
      <c r="L101" s="93"/>
      <c r="M101" s="93"/>
      <c r="N101" s="93"/>
      <c r="O101" s="93"/>
      <c r="P101" s="93"/>
      <c r="Q101" s="93"/>
      <c r="R101" s="93"/>
      <c r="S101" s="93"/>
      <c r="T101" s="93"/>
      <c r="U101" s="93"/>
      <c r="V101" s="93"/>
      <c r="W101" s="93"/>
      <c r="X101" s="93"/>
      <c r="Y101" s="93"/>
      <c r="Z101" s="93"/>
    </row>
    <row r="102">
      <c r="A102" s="1"/>
      <c r="C102" s="44"/>
      <c r="E102" s="44"/>
      <c r="F102" s="93"/>
      <c r="G102" s="93"/>
      <c r="H102" s="93"/>
      <c r="I102" s="93"/>
      <c r="J102" s="93"/>
      <c r="K102" s="93"/>
      <c r="L102" s="93"/>
      <c r="M102" s="93"/>
      <c r="N102" s="93"/>
      <c r="O102" s="93"/>
      <c r="P102" s="93"/>
      <c r="Q102" s="93"/>
      <c r="R102" s="93"/>
      <c r="S102" s="93"/>
      <c r="T102" s="93"/>
      <c r="U102" s="93"/>
      <c r="V102" s="93"/>
      <c r="W102" s="93"/>
      <c r="X102" s="93"/>
      <c r="Y102" s="93"/>
      <c r="Z102" s="93"/>
    </row>
    <row r="103">
      <c r="A103" s="1"/>
      <c r="C103" s="44"/>
      <c r="E103" s="44"/>
      <c r="F103" s="93"/>
      <c r="G103" s="93"/>
      <c r="H103" s="93"/>
      <c r="I103" s="93"/>
      <c r="J103" s="93"/>
      <c r="K103" s="93"/>
      <c r="L103" s="93"/>
      <c r="M103" s="93"/>
      <c r="N103" s="93"/>
      <c r="O103" s="93"/>
      <c r="P103" s="93"/>
      <c r="Q103" s="93"/>
      <c r="R103" s="93"/>
      <c r="S103" s="93"/>
      <c r="T103" s="93"/>
      <c r="U103" s="93"/>
      <c r="V103" s="93"/>
      <c r="W103" s="93"/>
      <c r="X103" s="93"/>
      <c r="Y103" s="93"/>
      <c r="Z103" s="93"/>
    </row>
    <row r="104">
      <c r="A104" s="1"/>
      <c r="C104" s="44"/>
      <c r="E104" s="44"/>
      <c r="F104" s="93"/>
      <c r="G104" s="93"/>
      <c r="H104" s="93"/>
      <c r="I104" s="93"/>
      <c r="J104" s="93"/>
      <c r="K104" s="93"/>
      <c r="L104" s="93"/>
      <c r="M104" s="93"/>
      <c r="N104" s="93"/>
      <c r="O104" s="93"/>
      <c r="P104" s="93"/>
      <c r="Q104" s="93"/>
      <c r="R104" s="93"/>
      <c r="S104" s="93"/>
      <c r="T104" s="93"/>
      <c r="U104" s="93"/>
      <c r="V104" s="93"/>
      <c r="W104" s="93"/>
      <c r="X104" s="93"/>
      <c r="Y104" s="93"/>
      <c r="Z104" s="93"/>
    </row>
    <row r="105">
      <c r="A105" s="1"/>
      <c r="C105" s="44"/>
      <c r="E105" s="44"/>
      <c r="F105" s="93"/>
      <c r="G105" s="93"/>
      <c r="H105" s="93"/>
      <c r="I105" s="93"/>
      <c r="J105" s="93"/>
      <c r="K105" s="93"/>
      <c r="L105" s="93"/>
      <c r="M105" s="93"/>
      <c r="N105" s="93"/>
      <c r="O105" s="93"/>
      <c r="P105" s="93"/>
      <c r="Q105" s="93"/>
      <c r="R105" s="93"/>
      <c r="S105" s="93"/>
      <c r="T105" s="93"/>
      <c r="U105" s="93"/>
      <c r="V105" s="93"/>
      <c r="W105" s="93"/>
      <c r="X105" s="93"/>
      <c r="Y105" s="93"/>
      <c r="Z105" s="93"/>
    </row>
    <row r="106">
      <c r="A106" s="1"/>
      <c r="C106" s="44"/>
      <c r="E106" s="44"/>
      <c r="F106" s="93"/>
      <c r="G106" s="93"/>
      <c r="H106" s="93"/>
      <c r="I106" s="93"/>
      <c r="J106" s="93"/>
      <c r="K106" s="93"/>
      <c r="L106" s="93"/>
      <c r="M106" s="93"/>
      <c r="N106" s="93"/>
      <c r="O106" s="93"/>
      <c r="P106" s="93"/>
      <c r="Q106" s="93"/>
      <c r="R106" s="93"/>
      <c r="S106" s="93"/>
      <c r="T106" s="93"/>
      <c r="U106" s="93"/>
      <c r="V106" s="93"/>
      <c r="W106" s="93"/>
      <c r="X106" s="93"/>
      <c r="Y106" s="93"/>
      <c r="Z106" s="93"/>
    </row>
    <row r="107">
      <c r="A107" s="1"/>
      <c r="C107" s="44"/>
      <c r="E107" s="44"/>
      <c r="F107" s="93"/>
      <c r="G107" s="93"/>
      <c r="H107" s="93"/>
      <c r="I107" s="93"/>
      <c r="J107" s="93"/>
      <c r="K107" s="93"/>
      <c r="L107" s="93"/>
      <c r="M107" s="93"/>
      <c r="N107" s="93"/>
      <c r="O107" s="93"/>
      <c r="P107" s="93"/>
      <c r="Q107" s="93"/>
      <c r="R107" s="93"/>
      <c r="S107" s="93"/>
      <c r="T107" s="93"/>
      <c r="U107" s="93"/>
      <c r="V107" s="93"/>
      <c r="W107" s="93"/>
      <c r="X107" s="93"/>
      <c r="Y107" s="93"/>
      <c r="Z107" s="93"/>
    </row>
    <row r="108">
      <c r="A108" s="1"/>
      <c r="C108" s="44"/>
      <c r="E108" s="44"/>
      <c r="F108" s="93"/>
      <c r="G108" s="93"/>
      <c r="H108" s="93"/>
      <c r="I108" s="93"/>
      <c r="J108" s="93"/>
      <c r="K108" s="93"/>
      <c r="L108" s="93"/>
      <c r="M108" s="93"/>
      <c r="N108" s="93"/>
      <c r="O108" s="93"/>
      <c r="P108" s="93"/>
      <c r="Q108" s="93"/>
      <c r="R108" s="93"/>
      <c r="S108" s="93"/>
      <c r="T108" s="93"/>
      <c r="U108" s="93"/>
      <c r="V108" s="93"/>
      <c r="W108" s="93"/>
      <c r="X108" s="93"/>
      <c r="Y108" s="93"/>
      <c r="Z108" s="93"/>
    </row>
    <row r="109">
      <c r="A109" s="1"/>
      <c r="C109" s="44"/>
      <c r="E109" s="44"/>
      <c r="F109" s="93"/>
      <c r="G109" s="93"/>
      <c r="H109" s="93"/>
      <c r="I109" s="93"/>
      <c r="J109" s="93"/>
      <c r="K109" s="93"/>
      <c r="L109" s="93"/>
      <c r="M109" s="93"/>
      <c r="N109" s="93"/>
      <c r="O109" s="93"/>
      <c r="P109" s="93"/>
      <c r="Q109" s="93"/>
      <c r="R109" s="93"/>
      <c r="S109" s="93"/>
      <c r="T109" s="93"/>
      <c r="U109" s="93"/>
      <c r="V109" s="93"/>
      <c r="W109" s="93"/>
      <c r="X109" s="93"/>
      <c r="Y109" s="93"/>
      <c r="Z109" s="93"/>
    </row>
    <row r="110">
      <c r="A110" s="1"/>
      <c r="C110" s="44"/>
      <c r="E110" s="44"/>
      <c r="F110" s="93"/>
      <c r="G110" s="93"/>
      <c r="H110" s="93"/>
      <c r="I110" s="93"/>
      <c r="J110" s="93"/>
      <c r="K110" s="93"/>
      <c r="L110" s="93"/>
      <c r="M110" s="93"/>
      <c r="N110" s="93"/>
      <c r="O110" s="93"/>
      <c r="P110" s="93"/>
      <c r="Q110" s="93"/>
      <c r="R110" s="93"/>
      <c r="S110" s="93"/>
      <c r="T110" s="93"/>
      <c r="U110" s="93"/>
      <c r="V110" s="93"/>
      <c r="W110" s="93"/>
      <c r="X110" s="93"/>
      <c r="Y110" s="93"/>
      <c r="Z110" s="93"/>
    </row>
    <row r="111">
      <c r="A111" s="1"/>
      <c r="C111" s="44"/>
      <c r="E111" s="44"/>
      <c r="F111" s="93"/>
      <c r="G111" s="93"/>
      <c r="H111" s="93"/>
      <c r="I111" s="93"/>
      <c r="J111" s="93"/>
      <c r="K111" s="93"/>
      <c r="L111" s="93"/>
      <c r="M111" s="93"/>
      <c r="N111" s="93"/>
      <c r="O111" s="93"/>
      <c r="P111" s="93"/>
      <c r="Q111" s="93"/>
      <c r="R111" s="93"/>
      <c r="S111" s="93"/>
      <c r="T111" s="93"/>
      <c r="U111" s="93"/>
      <c r="V111" s="93"/>
      <c r="W111" s="93"/>
      <c r="X111" s="93"/>
      <c r="Y111" s="93"/>
      <c r="Z111" s="93"/>
    </row>
    <row r="112">
      <c r="A112" s="1"/>
      <c r="C112" s="44"/>
      <c r="E112" s="44"/>
      <c r="F112" s="93"/>
      <c r="G112" s="93"/>
      <c r="H112" s="93"/>
      <c r="I112" s="93"/>
      <c r="J112" s="93"/>
      <c r="K112" s="93"/>
      <c r="L112" s="93"/>
      <c r="M112" s="93"/>
      <c r="N112" s="93"/>
      <c r="O112" s="93"/>
      <c r="P112" s="93"/>
      <c r="Q112" s="93"/>
      <c r="R112" s="93"/>
      <c r="S112" s="93"/>
      <c r="T112" s="93"/>
      <c r="U112" s="93"/>
      <c r="V112" s="93"/>
      <c r="W112" s="93"/>
      <c r="X112" s="93"/>
      <c r="Y112" s="93"/>
      <c r="Z112" s="93"/>
    </row>
    <row r="113">
      <c r="A113" s="1"/>
      <c r="C113" s="44"/>
      <c r="E113" s="44"/>
      <c r="F113" s="93"/>
      <c r="G113" s="93"/>
      <c r="H113" s="93"/>
      <c r="I113" s="93"/>
      <c r="J113" s="93"/>
      <c r="K113" s="93"/>
      <c r="L113" s="93"/>
      <c r="M113" s="93"/>
      <c r="N113" s="93"/>
      <c r="O113" s="93"/>
      <c r="P113" s="93"/>
      <c r="Q113" s="93"/>
      <c r="R113" s="93"/>
      <c r="S113" s="93"/>
      <c r="T113" s="93"/>
      <c r="U113" s="93"/>
      <c r="V113" s="93"/>
      <c r="W113" s="93"/>
      <c r="X113" s="93"/>
      <c r="Y113" s="93"/>
      <c r="Z113" s="93"/>
    </row>
    <row r="114">
      <c r="A114" s="1"/>
      <c r="C114" s="44"/>
      <c r="E114" s="44"/>
      <c r="F114" s="93"/>
      <c r="G114" s="93"/>
      <c r="H114" s="93"/>
      <c r="I114" s="93"/>
      <c r="J114" s="93"/>
      <c r="K114" s="93"/>
      <c r="L114" s="93"/>
      <c r="M114" s="93"/>
      <c r="N114" s="93"/>
      <c r="O114" s="93"/>
      <c r="P114" s="93"/>
      <c r="Q114" s="93"/>
      <c r="R114" s="93"/>
      <c r="S114" s="93"/>
      <c r="T114" s="93"/>
      <c r="U114" s="93"/>
      <c r="V114" s="93"/>
      <c r="W114" s="93"/>
      <c r="X114" s="93"/>
      <c r="Y114" s="93"/>
      <c r="Z114" s="93"/>
    </row>
    <row r="115">
      <c r="A115" s="1"/>
      <c r="C115" s="44"/>
      <c r="E115" s="44"/>
      <c r="F115" s="93"/>
      <c r="G115" s="93"/>
      <c r="H115" s="93"/>
      <c r="I115" s="93"/>
      <c r="J115" s="93"/>
      <c r="K115" s="93"/>
      <c r="L115" s="93"/>
      <c r="M115" s="93"/>
      <c r="N115" s="93"/>
      <c r="O115" s="93"/>
      <c r="P115" s="93"/>
      <c r="Q115" s="93"/>
      <c r="R115" s="93"/>
      <c r="S115" s="93"/>
      <c r="T115" s="93"/>
      <c r="U115" s="93"/>
      <c r="V115" s="93"/>
      <c r="W115" s="93"/>
      <c r="X115" s="93"/>
      <c r="Y115" s="93"/>
      <c r="Z115" s="93"/>
    </row>
    <row r="116">
      <c r="A116" s="1"/>
      <c r="C116" s="44"/>
      <c r="E116" s="44"/>
      <c r="F116" s="93"/>
      <c r="G116" s="93"/>
      <c r="H116" s="93"/>
      <c r="I116" s="93"/>
      <c r="J116" s="93"/>
      <c r="K116" s="93"/>
      <c r="L116" s="93"/>
      <c r="M116" s="93"/>
      <c r="N116" s="93"/>
      <c r="O116" s="93"/>
      <c r="P116" s="93"/>
      <c r="Q116" s="93"/>
      <c r="R116" s="93"/>
      <c r="S116" s="93"/>
      <c r="T116" s="93"/>
      <c r="U116" s="93"/>
      <c r="V116" s="93"/>
      <c r="W116" s="93"/>
      <c r="X116" s="93"/>
      <c r="Y116" s="93"/>
      <c r="Z116" s="93"/>
    </row>
    <row r="117">
      <c r="A117" s="1"/>
      <c r="C117" s="44"/>
      <c r="E117" s="44"/>
      <c r="F117" s="93"/>
      <c r="G117" s="93"/>
      <c r="H117" s="93"/>
      <c r="I117" s="93"/>
      <c r="J117" s="93"/>
      <c r="K117" s="93"/>
      <c r="L117" s="93"/>
      <c r="M117" s="93"/>
      <c r="N117" s="93"/>
      <c r="O117" s="93"/>
      <c r="P117" s="93"/>
      <c r="Q117" s="93"/>
      <c r="R117" s="93"/>
      <c r="S117" s="93"/>
      <c r="T117" s="93"/>
      <c r="U117" s="93"/>
      <c r="V117" s="93"/>
      <c r="W117" s="93"/>
      <c r="X117" s="93"/>
      <c r="Y117" s="93"/>
      <c r="Z117" s="93"/>
    </row>
    <row r="118">
      <c r="A118" s="1"/>
      <c r="C118" s="44"/>
      <c r="E118" s="44"/>
      <c r="F118" s="93"/>
      <c r="G118" s="93"/>
      <c r="H118" s="93"/>
      <c r="I118" s="93"/>
      <c r="J118" s="93"/>
      <c r="K118" s="93"/>
      <c r="L118" s="93"/>
      <c r="M118" s="93"/>
      <c r="N118" s="93"/>
      <c r="O118" s="93"/>
      <c r="P118" s="93"/>
      <c r="Q118" s="93"/>
      <c r="R118" s="93"/>
      <c r="S118" s="93"/>
      <c r="T118" s="93"/>
      <c r="U118" s="93"/>
      <c r="V118" s="93"/>
      <c r="W118" s="93"/>
      <c r="X118" s="93"/>
      <c r="Y118" s="93"/>
      <c r="Z118" s="93"/>
    </row>
    <row r="119">
      <c r="A119" s="1"/>
      <c r="C119" s="44"/>
      <c r="E119" s="44"/>
      <c r="F119" s="93"/>
      <c r="G119" s="93"/>
      <c r="H119" s="93"/>
      <c r="I119" s="93"/>
      <c r="J119" s="93"/>
      <c r="K119" s="93"/>
      <c r="L119" s="93"/>
      <c r="M119" s="93"/>
      <c r="N119" s="93"/>
      <c r="O119" s="93"/>
      <c r="P119" s="93"/>
      <c r="Q119" s="93"/>
      <c r="R119" s="93"/>
      <c r="S119" s="93"/>
      <c r="T119" s="93"/>
      <c r="U119" s="93"/>
      <c r="V119" s="93"/>
      <c r="W119" s="93"/>
      <c r="X119" s="93"/>
      <c r="Y119" s="93"/>
      <c r="Z119" s="93"/>
    </row>
    <row r="120">
      <c r="A120" s="1"/>
      <c r="C120" s="44"/>
      <c r="E120" s="44"/>
      <c r="F120" s="93"/>
      <c r="G120" s="93"/>
      <c r="H120" s="93"/>
      <c r="I120" s="93"/>
      <c r="J120" s="93"/>
      <c r="K120" s="93"/>
      <c r="L120" s="93"/>
      <c r="M120" s="93"/>
      <c r="N120" s="93"/>
      <c r="O120" s="93"/>
      <c r="P120" s="93"/>
      <c r="Q120" s="93"/>
      <c r="R120" s="93"/>
      <c r="S120" s="93"/>
      <c r="T120" s="93"/>
      <c r="U120" s="93"/>
      <c r="V120" s="93"/>
      <c r="W120" s="93"/>
      <c r="X120" s="93"/>
      <c r="Y120" s="93"/>
      <c r="Z120" s="93"/>
    </row>
    <row r="121">
      <c r="A121" s="1"/>
      <c r="C121" s="44"/>
      <c r="E121" s="44"/>
      <c r="F121" s="93"/>
      <c r="G121" s="93"/>
      <c r="H121" s="93"/>
      <c r="I121" s="93"/>
      <c r="J121" s="93"/>
      <c r="K121" s="93"/>
      <c r="L121" s="93"/>
      <c r="M121" s="93"/>
      <c r="N121" s="93"/>
      <c r="O121" s="93"/>
      <c r="P121" s="93"/>
      <c r="Q121" s="93"/>
      <c r="R121" s="93"/>
      <c r="S121" s="93"/>
      <c r="T121" s="93"/>
      <c r="U121" s="93"/>
      <c r="V121" s="93"/>
      <c r="W121" s="93"/>
      <c r="X121" s="93"/>
      <c r="Y121" s="93"/>
      <c r="Z121" s="93"/>
    </row>
    <row r="122">
      <c r="A122" s="1"/>
      <c r="C122" s="44"/>
      <c r="E122" s="44"/>
      <c r="F122" s="93"/>
      <c r="G122" s="93"/>
      <c r="H122" s="93"/>
      <c r="I122" s="93"/>
      <c r="J122" s="93"/>
      <c r="K122" s="93"/>
      <c r="L122" s="93"/>
      <c r="M122" s="93"/>
      <c r="N122" s="93"/>
      <c r="O122" s="93"/>
      <c r="P122" s="93"/>
      <c r="Q122" s="93"/>
      <c r="R122" s="93"/>
      <c r="S122" s="93"/>
      <c r="T122" s="93"/>
      <c r="U122" s="93"/>
      <c r="V122" s="93"/>
      <c r="W122" s="93"/>
      <c r="X122" s="93"/>
      <c r="Y122" s="93"/>
      <c r="Z122" s="93"/>
    </row>
    <row r="123">
      <c r="A123" s="1"/>
      <c r="C123" s="44"/>
      <c r="E123" s="44"/>
      <c r="F123" s="93"/>
      <c r="G123" s="93"/>
      <c r="H123" s="93"/>
      <c r="I123" s="93"/>
      <c r="J123" s="93"/>
      <c r="K123" s="93"/>
      <c r="L123" s="93"/>
      <c r="M123" s="93"/>
      <c r="N123" s="93"/>
      <c r="O123" s="93"/>
      <c r="P123" s="93"/>
      <c r="Q123" s="93"/>
      <c r="R123" s="93"/>
      <c r="S123" s="93"/>
      <c r="T123" s="93"/>
      <c r="U123" s="93"/>
      <c r="V123" s="93"/>
      <c r="W123" s="93"/>
      <c r="X123" s="93"/>
      <c r="Y123" s="93"/>
      <c r="Z123" s="93"/>
    </row>
    <row r="124">
      <c r="A124" s="1"/>
      <c r="C124" s="44"/>
      <c r="E124" s="44"/>
      <c r="F124" s="93"/>
      <c r="G124" s="93"/>
      <c r="H124" s="93"/>
      <c r="I124" s="93"/>
      <c r="J124" s="93"/>
      <c r="K124" s="93"/>
      <c r="L124" s="93"/>
      <c r="M124" s="93"/>
      <c r="N124" s="93"/>
      <c r="O124" s="93"/>
      <c r="P124" s="93"/>
      <c r="Q124" s="93"/>
      <c r="R124" s="93"/>
      <c r="S124" s="93"/>
      <c r="T124" s="93"/>
      <c r="U124" s="93"/>
      <c r="V124" s="93"/>
      <c r="W124" s="93"/>
      <c r="X124" s="93"/>
      <c r="Y124" s="93"/>
      <c r="Z124" s="93"/>
    </row>
    <row r="125">
      <c r="A125" s="1"/>
      <c r="C125" s="44"/>
      <c r="E125" s="44"/>
      <c r="F125" s="93"/>
      <c r="G125" s="93"/>
      <c r="H125" s="93"/>
      <c r="I125" s="93"/>
      <c r="J125" s="93"/>
      <c r="K125" s="93"/>
      <c r="L125" s="93"/>
      <c r="M125" s="93"/>
      <c r="N125" s="93"/>
      <c r="O125" s="93"/>
      <c r="P125" s="93"/>
      <c r="Q125" s="93"/>
      <c r="R125" s="93"/>
      <c r="S125" s="93"/>
      <c r="T125" s="93"/>
      <c r="U125" s="93"/>
      <c r="V125" s="93"/>
      <c r="W125" s="93"/>
      <c r="X125" s="93"/>
      <c r="Y125" s="93"/>
      <c r="Z125" s="93"/>
    </row>
    <row r="126">
      <c r="A126" s="1"/>
      <c r="C126" s="44"/>
      <c r="E126" s="44"/>
      <c r="F126" s="93"/>
      <c r="G126" s="93"/>
      <c r="H126" s="93"/>
      <c r="I126" s="93"/>
      <c r="J126" s="93"/>
      <c r="K126" s="93"/>
      <c r="L126" s="93"/>
      <c r="M126" s="93"/>
      <c r="N126" s="93"/>
      <c r="O126" s="93"/>
      <c r="P126" s="93"/>
      <c r="Q126" s="93"/>
      <c r="R126" s="93"/>
      <c r="S126" s="93"/>
      <c r="T126" s="93"/>
      <c r="U126" s="93"/>
      <c r="V126" s="93"/>
      <c r="W126" s="93"/>
      <c r="X126" s="93"/>
      <c r="Y126" s="93"/>
      <c r="Z126" s="93"/>
    </row>
    <row r="127">
      <c r="A127" s="1"/>
      <c r="C127" s="44"/>
      <c r="E127" s="44"/>
      <c r="F127" s="93"/>
      <c r="G127" s="93"/>
      <c r="H127" s="93"/>
      <c r="I127" s="93"/>
      <c r="J127" s="93"/>
      <c r="K127" s="93"/>
      <c r="L127" s="93"/>
      <c r="M127" s="93"/>
      <c r="N127" s="93"/>
      <c r="O127" s="93"/>
      <c r="P127" s="93"/>
      <c r="Q127" s="93"/>
      <c r="R127" s="93"/>
      <c r="S127" s="93"/>
      <c r="T127" s="93"/>
      <c r="U127" s="93"/>
      <c r="V127" s="93"/>
      <c r="W127" s="93"/>
      <c r="X127" s="93"/>
      <c r="Y127" s="93"/>
      <c r="Z127" s="93"/>
    </row>
    <row r="128">
      <c r="A128" s="1"/>
      <c r="C128" s="44"/>
      <c r="E128" s="44"/>
      <c r="F128" s="93"/>
      <c r="G128" s="93"/>
      <c r="H128" s="93"/>
      <c r="I128" s="93"/>
      <c r="J128" s="93"/>
      <c r="K128" s="93"/>
      <c r="L128" s="93"/>
      <c r="M128" s="93"/>
      <c r="N128" s="93"/>
      <c r="O128" s="93"/>
      <c r="P128" s="93"/>
      <c r="Q128" s="93"/>
      <c r="R128" s="93"/>
      <c r="S128" s="93"/>
      <c r="T128" s="93"/>
      <c r="U128" s="93"/>
      <c r="V128" s="93"/>
      <c r="W128" s="93"/>
      <c r="X128" s="93"/>
      <c r="Y128" s="93"/>
      <c r="Z128" s="93"/>
    </row>
    <row r="129">
      <c r="A129" s="1"/>
      <c r="C129" s="44"/>
      <c r="E129" s="44"/>
      <c r="F129" s="93"/>
      <c r="G129" s="93"/>
      <c r="H129" s="93"/>
      <c r="I129" s="93"/>
      <c r="J129" s="93"/>
      <c r="K129" s="93"/>
      <c r="L129" s="93"/>
      <c r="M129" s="93"/>
      <c r="N129" s="93"/>
      <c r="O129" s="93"/>
      <c r="P129" s="93"/>
      <c r="Q129" s="93"/>
      <c r="R129" s="93"/>
      <c r="S129" s="93"/>
      <c r="T129" s="93"/>
      <c r="U129" s="93"/>
      <c r="V129" s="93"/>
      <c r="W129" s="93"/>
      <c r="X129" s="93"/>
      <c r="Y129" s="93"/>
      <c r="Z129" s="93"/>
    </row>
    <row r="130">
      <c r="A130" s="1"/>
      <c r="C130" s="44"/>
      <c r="E130" s="44"/>
      <c r="F130" s="93"/>
      <c r="G130" s="93"/>
      <c r="H130" s="93"/>
      <c r="I130" s="93"/>
      <c r="J130" s="93"/>
      <c r="K130" s="93"/>
      <c r="L130" s="93"/>
      <c r="M130" s="93"/>
      <c r="N130" s="93"/>
      <c r="O130" s="93"/>
      <c r="P130" s="93"/>
      <c r="Q130" s="93"/>
      <c r="R130" s="93"/>
      <c r="S130" s="93"/>
      <c r="T130" s="93"/>
      <c r="U130" s="93"/>
      <c r="V130" s="93"/>
      <c r="W130" s="93"/>
      <c r="X130" s="93"/>
      <c r="Y130" s="93"/>
      <c r="Z130" s="93"/>
    </row>
    <row r="131">
      <c r="A131" s="1"/>
      <c r="C131" s="44"/>
      <c r="E131" s="44"/>
      <c r="F131" s="93"/>
      <c r="G131" s="93"/>
      <c r="H131" s="93"/>
      <c r="I131" s="93"/>
      <c r="J131" s="93"/>
      <c r="K131" s="93"/>
      <c r="L131" s="93"/>
      <c r="M131" s="93"/>
      <c r="N131" s="93"/>
      <c r="O131" s="93"/>
      <c r="P131" s="93"/>
      <c r="Q131" s="93"/>
      <c r="R131" s="93"/>
      <c r="S131" s="93"/>
      <c r="T131" s="93"/>
      <c r="U131" s="93"/>
      <c r="V131" s="93"/>
      <c r="W131" s="93"/>
      <c r="X131" s="93"/>
      <c r="Y131" s="93"/>
      <c r="Z131" s="93"/>
    </row>
    <row r="132">
      <c r="A132" s="1"/>
      <c r="C132" s="44"/>
      <c r="E132" s="44"/>
      <c r="F132" s="93"/>
      <c r="G132" s="93"/>
      <c r="H132" s="93"/>
      <c r="I132" s="93"/>
      <c r="J132" s="93"/>
      <c r="K132" s="93"/>
      <c r="L132" s="93"/>
      <c r="M132" s="93"/>
      <c r="N132" s="93"/>
      <c r="O132" s="93"/>
      <c r="P132" s="93"/>
      <c r="Q132" s="93"/>
      <c r="R132" s="93"/>
      <c r="S132" s="93"/>
      <c r="T132" s="93"/>
      <c r="U132" s="93"/>
      <c r="V132" s="93"/>
      <c r="W132" s="93"/>
      <c r="X132" s="93"/>
      <c r="Y132" s="93"/>
      <c r="Z132" s="93"/>
    </row>
    <row r="133">
      <c r="A133" s="1"/>
      <c r="C133" s="44"/>
      <c r="E133" s="44"/>
      <c r="F133" s="93"/>
      <c r="G133" s="93"/>
      <c r="H133" s="93"/>
      <c r="I133" s="93"/>
      <c r="J133" s="93"/>
      <c r="K133" s="93"/>
      <c r="L133" s="93"/>
      <c r="M133" s="93"/>
      <c r="N133" s="93"/>
      <c r="O133" s="93"/>
      <c r="P133" s="93"/>
      <c r="Q133" s="93"/>
      <c r="R133" s="93"/>
      <c r="S133" s="93"/>
      <c r="T133" s="93"/>
      <c r="U133" s="93"/>
      <c r="V133" s="93"/>
      <c r="W133" s="93"/>
      <c r="X133" s="93"/>
      <c r="Y133" s="93"/>
      <c r="Z133" s="93"/>
    </row>
    <row r="134">
      <c r="A134" s="1"/>
      <c r="C134" s="44"/>
      <c r="E134" s="44"/>
      <c r="F134" s="93"/>
      <c r="G134" s="93"/>
      <c r="H134" s="93"/>
      <c r="I134" s="93"/>
      <c r="J134" s="93"/>
      <c r="K134" s="93"/>
      <c r="L134" s="93"/>
      <c r="M134" s="93"/>
      <c r="N134" s="93"/>
      <c r="O134" s="93"/>
      <c r="P134" s="93"/>
      <c r="Q134" s="93"/>
      <c r="R134" s="93"/>
      <c r="S134" s="93"/>
      <c r="T134" s="93"/>
      <c r="U134" s="93"/>
      <c r="V134" s="93"/>
      <c r="W134" s="93"/>
      <c r="X134" s="93"/>
      <c r="Y134" s="93"/>
      <c r="Z134" s="93"/>
    </row>
    <row r="135">
      <c r="A135" s="1"/>
      <c r="C135" s="44"/>
      <c r="E135" s="44"/>
      <c r="F135" s="93"/>
      <c r="G135" s="93"/>
      <c r="H135" s="93"/>
      <c r="I135" s="93"/>
      <c r="J135" s="93"/>
      <c r="K135" s="93"/>
      <c r="L135" s="93"/>
      <c r="M135" s="93"/>
      <c r="N135" s="93"/>
      <c r="O135" s="93"/>
      <c r="P135" s="93"/>
      <c r="Q135" s="93"/>
      <c r="R135" s="93"/>
      <c r="S135" s="93"/>
      <c r="T135" s="93"/>
      <c r="U135" s="93"/>
      <c r="V135" s="93"/>
      <c r="W135" s="93"/>
      <c r="X135" s="93"/>
      <c r="Y135" s="93"/>
      <c r="Z135" s="93"/>
    </row>
    <row r="136">
      <c r="A136" s="1"/>
      <c r="C136" s="44"/>
      <c r="E136" s="44"/>
      <c r="F136" s="93"/>
      <c r="G136" s="93"/>
      <c r="H136" s="93"/>
      <c r="I136" s="93"/>
      <c r="J136" s="93"/>
      <c r="K136" s="93"/>
      <c r="L136" s="93"/>
      <c r="M136" s="93"/>
      <c r="N136" s="93"/>
      <c r="O136" s="93"/>
      <c r="P136" s="93"/>
      <c r="Q136" s="93"/>
      <c r="R136" s="93"/>
      <c r="S136" s="93"/>
      <c r="T136" s="93"/>
      <c r="U136" s="93"/>
      <c r="V136" s="93"/>
      <c r="W136" s="93"/>
      <c r="X136" s="93"/>
      <c r="Y136" s="93"/>
      <c r="Z136" s="93"/>
    </row>
    <row r="137">
      <c r="A137" s="1"/>
      <c r="C137" s="44"/>
      <c r="E137" s="44"/>
      <c r="F137" s="93"/>
      <c r="G137" s="93"/>
      <c r="H137" s="93"/>
      <c r="I137" s="93"/>
      <c r="J137" s="93"/>
      <c r="K137" s="93"/>
      <c r="L137" s="93"/>
      <c r="M137" s="93"/>
      <c r="N137" s="93"/>
      <c r="O137" s="93"/>
      <c r="P137" s="93"/>
      <c r="Q137" s="93"/>
      <c r="R137" s="93"/>
      <c r="S137" s="93"/>
      <c r="T137" s="93"/>
      <c r="U137" s="93"/>
      <c r="V137" s="93"/>
      <c r="W137" s="93"/>
      <c r="X137" s="93"/>
      <c r="Y137" s="93"/>
      <c r="Z137" s="93"/>
    </row>
    <row r="138">
      <c r="A138" s="1"/>
      <c r="C138" s="44"/>
      <c r="E138" s="44"/>
      <c r="F138" s="93"/>
      <c r="G138" s="93"/>
      <c r="H138" s="93"/>
      <c r="I138" s="93"/>
      <c r="J138" s="93"/>
      <c r="K138" s="93"/>
      <c r="L138" s="93"/>
      <c r="M138" s="93"/>
      <c r="N138" s="93"/>
      <c r="O138" s="93"/>
      <c r="P138" s="93"/>
      <c r="Q138" s="93"/>
      <c r="R138" s="93"/>
      <c r="S138" s="93"/>
      <c r="T138" s="93"/>
      <c r="U138" s="93"/>
      <c r="V138" s="93"/>
      <c r="W138" s="93"/>
      <c r="X138" s="93"/>
      <c r="Y138" s="93"/>
      <c r="Z138" s="93"/>
    </row>
    <row r="139">
      <c r="A139" s="1"/>
      <c r="C139" s="44"/>
      <c r="E139" s="44"/>
      <c r="F139" s="93"/>
      <c r="G139" s="93"/>
      <c r="H139" s="93"/>
      <c r="I139" s="93"/>
      <c r="J139" s="93"/>
      <c r="K139" s="93"/>
      <c r="L139" s="93"/>
      <c r="M139" s="93"/>
      <c r="N139" s="93"/>
      <c r="O139" s="93"/>
      <c r="P139" s="93"/>
      <c r="Q139" s="93"/>
      <c r="R139" s="93"/>
      <c r="S139" s="93"/>
      <c r="T139" s="93"/>
      <c r="U139" s="93"/>
      <c r="V139" s="93"/>
      <c r="W139" s="93"/>
      <c r="X139" s="93"/>
      <c r="Y139" s="93"/>
      <c r="Z139" s="93"/>
    </row>
    <row r="140">
      <c r="A140" s="1"/>
      <c r="C140" s="44"/>
      <c r="E140" s="44"/>
      <c r="F140" s="93"/>
      <c r="G140" s="93"/>
      <c r="H140" s="93"/>
      <c r="I140" s="93"/>
      <c r="J140" s="93"/>
      <c r="K140" s="93"/>
      <c r="L140" s="93"/>
      <c r="M140" s="93"/>
      <c r="N140" s="93"/>
      <c r="O140" s="93"/>
      <c r="P140" s="93"/>
      <c r="Q140" s="93"/>
      <c r="R140" s="93"/>
      <c r="S140" s="93"/>
      <c r="T140" s="93"/>
      <c r="U140" s="93"/>
      <c r="V140" s="93"/>
      <c r="W140" s="93"/>
      <c r="X140" s="93"/>
      <c r="Y140" s="93"/>
      <c r="Z140" s="93"/>
    </row>
    <row r="141">
      <c r="A141" s="1"/>
      <c r="C141" s="44"/>
      <c r="E141" s="44"/>
      <c r="F141" s="93"/>
      <c r="G141" s="93"/>
      <c r="H141" s="93"/>
      <c r="I141" s="93"/>
      <c r="J141" s="93"/>
      <c r="K141" s="93"/>
      <c r="L141" s="93"/>
      <c r="M141" s="93"/>
      <c r="N141" s="93"/>
      <c r="O141" s="93"/>
      <c r="P141" s="93"/>
      <c r="Q141" s="93"/>
      <c r="R141" s="93"/>
      <c r="S141" s="93"/>
      <c r="T141" s="93"/>
      <c r="U141" s="93"/>
      <c r="V141" s="93"/>
      <c r="W141" s="93"/>
      <c r="X141" s="93"/>
      <c r="Y141" s="93"/>
      <c r="Z141" s="93"/>
    </row>
    <row r="142">
      <c r="A142" s="1"/>
      <c r="C142" s="44"/>
      <c r="E142" s="44"/>
      <c r="F142" s="93"/>
      <c r="G142" s="93"/>
      <c r="H142" s="93"/>
      <c r="I142" s="93"/>
      <c r="J142" s="93"/>
      <c r="K142" s="93"/>
      <c r="L142" s="93"/>
      <c r="M142" s="93"/>
      <c r="N142" s="93"/>
      <c r="O142" s="93"/>
      <c r="P142" s="93"/>
      <c r="Q142" s="93"/>
      <c r="R142" s="93"/>
      <c r="S142" s="93"/>
      <c r="T142" s="93"/>
      <c r="U142" s="93"/>
      <c r="V142" s="93"/>
      <c r="W142" s="93"/>
      <c r="X142" s="93"/>
      <c r="Y142" s="93"/>
      <c r="Z142" s="93"/>
    </row>
    <row r="143">
      <c r="A143" s="1"/>
      <c r="C143" s="44"/>
      <c r="E143" s="44"/>
      <c r="F143" s="93"/>
      <c r="G143" s="93"/>
      <c r="H143" s="93"/>
      <c r="I143" s="93"/>
      <c r="J143" s="93"/>
      <c r="K143" s="93"/>
      <c r="L143" s="93"/>
      <c r="M143" s="93"/>
      <c r="N143" s="93"/>
      <c r="O143" s="93"/>
      <c r="P143" s="93"/>
      <c r="Q143" s="93"/>
      <c r="R143" s="93"/>
      <c r="S143" s="93"/>
      <c r="T143" s="93"/>
      <c r="U143" s="93"/>
      <c r="V143" s="93"/>
      <c r="W143" s="93"/>
      <c r="X143" s="93"/>
      <c r="Y143" s="93"/>
      <c r="Z143" s="93"/>
    </row>
    <row r="144">
      <c r="A144" s="1"/>
      <c r="C144" s="44"/>
      <c r="E144" s="44"/>
      <c r="F144" s="93"/>
      <c r="G144" s="93"/>
      <c r="H144" s="93"/>
      <c r="I144" s="93"/>
      <c r="J144" s="93"/>
      <c r="K144" s="93"/>
      <c r="L144" s="93"/>
      <c r="M144" s="93"/>
      <c r="N144" s="93"/>
      <c r="O144" s="93"/>
      <c r="P144" s="93"/>
      <c r="Q144" s="93"/>
      <c r="R144" s="93"/>
      <c r="S144" s="93"/>
      <c r="T144" s="93"/>
      <c r="U144" s="93"/>
      <c r="V144" s="93"/>
      <c r="W144" s="93"/>
      <c r="X144" s="93"/>
      <c r="Y144" s="93"/>
      <c r="Z144" s="93"/>
    </row>
    <row r="145">
      <c r="A145" s="1"/>
      <c r="C145" s="44"/>
      <c r="E145" s="44"/>
      <c r="F145" s="93"/>
      <c r="G145" s="93"/>
      <c r="H145" s="93"/>
      <c r="I145" s="93"/>
      <c r="J145" s="93"/>
      <c r="K145" s="93"/>
      <c r="L145" s="93"/>
      <c r="M145" s="93"/>
      <c r="N145" s="93"/>
      <c r="O145" s="93"/>
      <c r="P145" s="93"/>
      <c r="Q145" s="93"/>
      <c r="R145" s="93"/>
      <c r="S145" s="93"/>
      <c r="T145" s="93"/>
      <c r="U145" s="93"/>
      <c r="V145" s="93"/>
      <c r="W145" s="93"/>
      <c r="X145" s="93"/>
      <c r="Y145" s="93"/>
      <c r="Z145" s="93"/>
    </row>
    <row r="146">
      <c r="A146" s="1"/>
      <c r="C146" s="44"/>
      <c r="E146" s="44"/>
      <c r="F146" s="93"/>
      <c r="G146" s="93"/>
      <c r="H146" s="93"/>
      <c r="I146" s="93"/>
      <c r="J146" s="93"/>
      <c r="K146" s="93"/>
      <c r="L146" s="93"/>
      <c r="M146" s="93"/>
      <c r="N146" s="93"/>
      <c r="O146" s="93"/>
      <c r="P146" s="93"/>
      <c r="Q146" s="93"/>
      <c r="R146" s="93"/>
      <c r="S146" s="93"/>
      <c r="T146" s="93"/>
      <c r="U146" s="93"/>
      <c r="V146" s="93"/>
      <c r="W146" s="93"/>
      <c r="X146" s="93"/>
      <c r="Y146" s="93"/>
      <c r="Z146" s="93"/>
    </row>
    <row r="147">
      <c r="A147" s="1"/>
      <c r="C147" s="44"/>
      <c r="E147" s="44"/>
      <c r="F147" s="93"/>
      <c r="G147" s="93"/>
      <c r="H147" s="93"/>
      <c r="I147" s="93"/>
      <c r="J147" s="93"/>
      <c r="K147" s="93"/>
      <c r="L147" s="93"/>
      <c r="M147" s="93"/>
      <c r="N147" s="93"/>
      <c r="O147" s="93"/>
      <c r="P147" s="93"/>
      <c r="Q147" s="93"/>
      <c r="R147" s="93"/>
      <c r="S147" s="93"/>
      <c r="T147" s="93"/>
      <c r="U147" s="93"/>
      <c r="V147" s="93"/>
      <c r="W147" s="93"/>
      <c r="X147" s="93"/>
      <c r="Y147" s="93"/>
      <c r="Z147" s="93"/>
    </row>
    <row r="148">
      <c r="A148" s="1"/>
      <c r="C148" s="44"/>
      <c r="E148" s="44"/>
      <c r="F148" s="93"/>
      <c r="G148" s="93"/>
      <c r="H148" s="93"/>
      <c r="I148" s="93"/>
      <c r="J148" s="93"/>
      <c r="K148" s="93"/>
      <c r="L148" s="93"/>
      <c r="M148" s="93"/>
      <c r="N148" s="93"/>
      <c r="O148" s="93"/>
      <c r="P148" s="93"/>
      <c r="Q148" s="93"/>
      <c r="R148" s="93"/>
      <c r="S148" s="93"/>
      <c r="T148" s="93"/>
      <c r="U148" s="93"/>
      <c r="V148" s="93"/>
      <c r="W148" s="93"/>
      <c r="X148" s="93"/>
      <c r="Y148" s="93"/>
      <c r="Z148" s="93"/>
    </row>
    <row r="149">
      <c r="A149" s="1"/>
      <c r="C149" s="44"/>
      <c r="E149" s="44"/>
      <c r="F149" s="93"/>
      <c r="G149" s="93"/>
      <c r="H149" s="93"/>
      <c r="I149" s="93"/>
      <c r="J149" s="93"/>
      <c r="K149" s="93"/>
      <c r="L149" s="93"/>
      <c r="M149" s="93"/>
      <c r="N149" s="93"/>
      <c r="O149" s="93"/>
      <c r="P149" s="93"/>
      <c r="Q149" s="93"/>
      <c r="R149" s="93"/>
      <c r="S149" s="93"/>
      <c r="T149" s="93"/>
      <c r="U149" s="93"/>
      <c r="V149" s="93"/>
      <c r="W149" s="93"/>
      <c r="X149" s="93"/>
      <c r="Y149" s="93"/>
      <c r="Z149" s="93"/>
    </row>
    <row r="150">
      <c r="A150" s="1"/>
      <c r="C150" s="44"/>
      <c r="E150" s="44"/>
      <c r="F150" s="93"/>
      <c r="G150" s="93"/>
      <c r="H150" s="93"/>
      <c r="I150" s="93"/>
      <c r="J150" s="93"/>
      <c r="K150" s="93"/>
      <c r="L150" s="93"/>
      <c r="M150" s="93"/>
      <c r="N150" s="93"/>
      <c r="O150" s="93"/>
      <c r="P150" s="93"/>
      <c r="Q150" s="93"/>
      <c r="R150" s="93"/>
      <c r="S150" s="93"/>
      <c r="T150" s="93"/>
      <c r="U150" s="93"/>
      <c r="V150" s="93"/>
      <c r="W150" s="93"/>
      <c r="X150" s="93"/>
      <c r="Y150" s="93"/>
      <c r="Z150" s="93"/>
    </row>
    <row r="151">
      <c r="A151" s="1"/>
      <c r="C151" s="44"/>
      <c r="E151" s="44"/>
      <c r="F151" s="93"/>
      <c r="G151" s="93"/>
      <c r="H151" s="93"/>
      <c r="I151" s="93"/>
      <c r="J151" s="93"/>
      <c r="K151" s="93"/>
      <c r="L151" s="93"/>
      <c r="M151" s="93"/>
      <c r="N151" s="93"/>
      <c r="O151" s="93"/>
      <c r="P151" s="93"/>
      <c r="Q151" s="93"/>
      <c r="R151" s="93"/>
      <c r="S151" s="93"/>
      <c r="T151" s="93"/>
      <c r="U151" s="93"/>
      <c r="V151" s="93"/>
      <c r="W151" s="93"/>
      <c r="X151" s="93"/>
      <c r="Y151" s="93"/>
      <c r="Z151" s="93"/>
    </row>
    <row r="152">
      <c r="A152" s="1"/>
      <c r="C152" s="44"/>
      <c r="E152" s="44"/>
      <c r="F152" s="93"/>
      <c r="G152" s="93"/>
      <c r="H152" s="93"/>
      <c r="I152" s="93"/>
      <c r="J152" s="93"/>
      <c r="K152" s="93"/>
      <c r="L152" s="93"/>
      <c r="M152" s="93"/>
      <c r="N152" s="93"/>
      <c r="O152" s="93"/>
      <c r="P152" s="93"/>
      <c r="Q152" s="93"/>
      <c r="R152" s="93"/>
      <c r="S152" s="93"/>
      <c r="T152" s="93"/>
      <c r="U152" s="93"/>
      <c r="V152" s="93"/>
      <c r="W152" s="93"/>
      <c r="X152" s="93"/>
      <c r="Y152" s="93"/>
      <c r="Z152" s="93"/>
    </row>
    <row r="153">
      <c r="A153" s="1"/>
      <c r="C153" s="44"/>
      <c r="E153" s="44"/>
      <c r="F153" s="93"/>
      <c r="G153" s="93"/>
      <c r="H153" s="93"/>
      <c r="I153" s="93"/>
      <c r="J153" s="93"/>
      <c r="K153" s="93"/>
      <c r="L153" s="93"/>
      <c r="M153" s="93"/>
      <c r="N153" s="93"/>
      <c r="O153" s="93"/>
      <c r="P153" s="93"/>
      <c r="Q153" s="93"/>
      <c r="R153" s="93"/>
      <c r="S153" s="93"/>
      <c r="T153" s="93"/>
      <c r="U153" s="93"/>
      <c r="V153" s="93"/>
      <c r="W153" s="93"/>
      <c r="X153" s="93"/>
      <c r="Y153" s="93"/>
      <c r="Z153" s="93"/>
    </row>
    <row r="154">
      <c r="A154" s="1"/>
      <c r="C154" s="44"/>
      <c r="E154" s="44"/>
      <c r="F154" s="93"/>
      <c r="G154" s="93"/>
      <c r="H154" s="93"/>
      <c r="I154" s="93"/>
      <c r="J154" s="93"/>
      <c r="K154" s="93"/>
      <c r="L154" s="93"/>
      <c r="M154" s="93"/>
      <c r="N154" s="93"/>
      <c r="O154" s="93"/>
      <c r="P154" s="93"/>
      <c r="Q154" s="93"/>
      <c r="R154" s="93"/>
      <c r="S154" s="93"/>
      <c r="T154" s="93"/>
      <c r="U154" s="93"/>
      <c r="V154" s="93"/>
      <c r="W154" s="93"/>
      <c r="X154" s="93"/>
      <c r="Y154" s="93"/>
      <c r="Z154" s="93"/>
    </row>
    <row r="155">
      <c r="A155" s="1"/>
      <c r="C155" s="44"/>
      <c r="E155" s="44"/>
      <c r="F155" s="93"/>
      <c r="G155" s="93"/>
      <c r="H155" s="93"/>
      <c r="I155" s="93"/>
      <c r="J155" s="93"/>
      <c r="K155" s="93"/>
      <c r="L155" s="93"/>
      <c r="M155" s="93"/>
      <c r="N155" s="93"/>
      <c r="O155" s="93"/>
      <c r="P155" s="93"/>
      <c r="Q155" s="93"/>
      <c r="R155" s="93"/>
      <c r="S155" s="93"/>
      <c r="T155" s="93"/>
      <c r="U155" s="93"/>
      <c r="V155" s="93"/>
      <c r="W155" s="93"/>
      <c r="X155" s="93"/>
      <c r="Y155" s="93"/>
      <c r="Z155" s="93"/>
    </row>
    <row r="156">
      <c r="A156" s="1"/>
      <c r="C156" s="44"/>
      <c r="E156" s="44"/>
      <c r="F156" s="93"/>
      <c r="G156" s="93"/>
      <c r="H156" s="93"/>
      <c r="I156" s="93"/>
      <c r="J156" s="93"/>
      <c r="K156" s="93"/>
      <c r="L156" s="93"/>
      <c r="M156" s="93"/>
      <c r="N156" s="93"/>
      <c r="O156" s="93"/>
      <c r="P156" s="93"/>
      <c r="Q156" s="93"/>
      <c r="R156" s="93"/>
      <c r="S156" s="93"/>
      <c r="T156" s="93"/>
      <c r="U156" s="93"/>
      <c r="V156" s="93"/>
      <c r="W156" s="93"/>
      <c r="X156" s="93"/>
      <c r="Y156" s="93"/>
      <c r="Z156" s="93"/>
    </row>
    <row r="157">
      <c r="A157" s="1"/>
      <c r="C157" s="44"/>
      <c r="E157" s="44"/>
      <c r="F157" s="93"/>
      <c r="G157" s="93"/>
      <c r="H157" s="93"/>
      <c r="I157" s="93"/>
      <c r="J157" s="93"/>
      <c r="K157" s="93"/>
      <c r="L157" s="93"/>
      <c r="M157" s="93"/>
      <c r="N157" s="93"/>
      <c r="O157" s="93"/>
      <c r="P157" s="93"/>
      <c r="Q157" s="93"/>
      <c r="R157" s="93"/>
      <c r="S157" s="93"/>
      <c r="T157" s="93"/>
      <c r="U157" s="93"/>
      <c r="V157" s="93"/>
      <c r="W157" s="93"/>
      <c r="X157" s="93"/>
      <c r="Y157" s="93"/>
      <c r="Z157" s="93"/>
    </row>
    <row r="158">
      <c r="A158" s="1"/>
      <c r="C158" s="44"/>
      <c r="E158" s="44"/>
      <c r="F158" s="93"/>
      <c r="G158" s="93"/>
      <c r="H158" s="93"/>
      <c r="I158" s="93"/>
      <c r="J158" s="93"/>
      <c r="K158" s="93"/>
      <c r="L158" s="93"/>
      <c r="M158" s="93"/>
      <c r="N158" s="93"/>
      <c r="O158" s="93"/>
      <c r="P158" s="93"/>
      <c r="Q158" s="93"/>
      <c r="R158" s="93"/>
      <c r="S158" s="93"/>
      <c r="T158" s="93"/>
      <c r="U158" s="93"/>
      <c r="V158" s="93"/>
      <c r="W158" s="93"/>
      <c r="X158" s="93"/>
      <c r="Y158" s="93"/>
      <c r="Z158" s="93"/>
    </row>
    <row r="159">
      <c r="A159" s="1"/>
      <c r="C159" s="44"/>
      <c r="E159" s="44"/>
      <c r="F159" s="93"/>
      <c r="G159" s="93"/>
      <c r="H159" s="93"/>
      <c r="I159" s="93"/>
      <c r="J159" s="93"/>
      <c r="K159" s="93"/>
      <c r="L159" s="93"/>
      <c r="M159" s="93"/>
      <c r="N159" s="93"/>
      <c r="O159" s="93"/>
      <c r="P159" s="93"/>
      <c r="Q159" s="93"/>
      <c r="R159" s="93"/>
      <c r="S159" s="93"/>
      <c r="T159" s="93"/>
      <c r="U159" s="93"/>
      <c r="V159" s="93"/>
      <c r="W159" s="93"/>
      <c r="X159" s="93"/>
      <c r="Y159" s="93"/>
      <c r="Z159" s="93"/>
    </row>
    <row r="160">
      <c r="A160" s="1"/>
      <c r="C160" s="44"/>
      <c r="E160" s="44"/>
      <c r="F160" s="93"/>
      <c r="G160" s="93"/>
      <c r="H160" s="93"/>
      <c r="I160" s="93"/>
      <c r="J160" s="93"/>
      <c r="K160" s="93"/>
      <c r="L160" s="93"/>
      <c r="M160" s="93"/>
      <c r="N160" s="93"/>
      <c r="O160" s="93"/>
      <c r="P160" s="93"/>
      <c r="Q160" s="93"/>
      <c r="R160" s="93"/>
      <c r="S160" s="93"/>
      <c r="T160" s="93"/>
      <c r="U160" s="93"/>
      <c r="V160" s="93"/>
      <c r="W160" s="93"/>
      <c r="X160" s="93"/>
      <c r="Y160" s="93"/>
      <c r="Z160" s="93"/>
    </row>
    <row r="161">
      <c r="A161" s="1"/>
      <c r="C161" s="44"/>
      <c r="E161" s="44"/>
      <c r="F161" s="93"/>
      <c r="G161" s="93"/>
      <c r="H161" s="93"/>
      <c r="I161" s="93"/>
      <c r="J161" s="93"/>
      <c r="K161" s="93"/>
      <c r="L161" s="93"/>
      <c r="M161" s="93"/>
      <c r="N161" s="93"/>
      <c r="O161" s="93"/>
      <c r="P161" s="93"/>
      <c r="Q161" s="93"/>
      <c r="R161" s="93"/>
      <c r="S161" s="93"/>
      <c r="T161" s="93"/>
      <c r="U161" s="93"/>
      <c r="V161" s="93"/>
      <c r="W161" s="93"/>
      <c r="X161" s="93"/>
      <c r="Y161" s="93"/>
      <c r="Z161" s="93"/>
    </row>
    <row r="162">
      <c r="A162" s="1"/>
      <c r="C162" s="44"/>
      <c r="E162" s="44"/>
      <c r="F162" s="93"/>
      <c r="G162" s="93"/>
      <c r="H162" s="93"/>
      <c r="I162" s="93"/>
      <c r="J162" s="93"/>
      <c r="K162" s="93"/>
      <c r="L162" s="93"/>
      <c r="M162" s="93"/>
      <c r="N162" s="93"/>
      <c r="O162" s="93"/>
      <c r="P162" s="93"/>
      <c r="Q162" s="93"/>
      <c r="R162" s="93"/>
      <c r="S162" s="93"/>
      <c r="T162" s="93"/>
      <c r="U162" s="93"/>
      <c r="V162" s="93"/>
      <c r="W162" s="93"/>
      <c r="X162" s="93"/>
      <c r="Y162" s="93"/>
      <c r="Z162" s="93"/>
    </row>
    <row r="163">
      <c r="A163" s="1"/>
      <c r="C163" s="44"/>
      <c r="E163" s="44"/>
      <c r="F163" s="93"/>
      <c r="G163" s="93"/>
      <c r="H163" s="93"/>
      <c r="I163" s="93"/>
      <c r="J163" s="93"/>
      <c r="K163" s="93"/>
      <c r="L163" s="93"/>
      <c r="M163" s="93"/>
      <c r="N163" s="93"/>
      <c r="O163" s="93"/>
      <c r="P163" s="93"/>
      <c r="Q163" s="93"/>
      <c r="R163" s="93"/>
      <c r="S163" s="93"/>
      <c r="T163" s="93"/>
      <c r="U163" s="93"/>
      <c r="V163" s="93"/>
      <c r="W163" s="93"/>
      <c r="X163" s="93"/>
      <c r="Y163" s="93"/>
      <c r="Z163" s="93"/>
    </row>
    <row r="164">
      <c r="A164" s="1"/>
      <c r="C164" s="44"/>
      <c r="E164" s="44"/>
      <c r="F164" s="93"/>
      <c r="G164" s="93"/>
      <c r="H164" s="93"/>
      <c r="I164" s="93"/>
      <c r="J164" s="93"/>
      <c r="K164" s="93"/>
      <c r="L164" s="93"/>
      <c r="M164" s="93"/>
      <c r="N164" s="93"/>
      <c r="O164" s="93"/>
      <c r="P164" s="93"/>
      <c r="Q164" s="93"/>
      <c r="R164" s="93"/>
      <c r="S164" s="93"/>
      <c r="T164" s="93"/>
      <c r="U164" s="93"/>
      <c r="V164" s="93"/>
      <c r="W164" s="93"/>
      <c r="X164" s="93"/>
      <c r="Y164" s="93"/>
      <c r="Z164" s="93"/>
    </row>
    <row r="165">
      <c r="A165" s="1"/>
      <c r="C165" s="44"/>
      <c r="E165" s="44"/>
      <c r="F165" s="93"/>
      <c r="G165" s="93"/>
      <c r="H165" s="93"/>
      <c r="I165" s="93"/>
      <c r="J165" s="93"/>
      <c r="K165" s="93"/>
      <c r="L165" s="93"/>
      <c r="M165" s="93"/>
      <c r="N165" s="93"/>
      <c r="O165" s="93"/>
      <c r="P165" s="93"/>
      <c r="Q165" s="93"/>
      <c r="R165" s="93"/>
      <c r="S165" s="93"/>
      <c r="T165" s="93"/>
      <c r="U165" s="93"/>
      <c r="V165" s="93"/>
      <c r="W165" s="93"/>
      <c r="X165" s="93"/>
      <c r="Y165" s="93"/>
      <c r="Z165" s="93"/>
    </row>
    <row r="166">
      <c r="A166" s="1"/>
      <c r="C166" s="44"/>
      <c r="E166" s="44"/>
      <c r="F166" s="93"/>
      <c r="G166" s="93"/>
      <c r="H166" s="93"/>
      <c r="I166" s="93"/>
      <c r="J166" s="93"/>
      <c r="K166" s="93"/>
      <c r="L166" s="93"/>
      <c r="M166" s="93"/>
      <c r="N166" s="93"/>
      <c r="O166" s="93"/>
      <c r="P166" s="93"/>
      <c r="Q166" s="93"/>
      <c r="R166" s="93"/>
      <c r="S166" s="93"/>
      <c r="T166" s="93"/>
      <c r="U166" s="93"/>
      <c r="V166" s="93"/>
      <c r="W166" s="93"/>
      <c r="X166" s="93"/>
      <c r="Y166" s="93"/>
      <c r="Z166" s="93"/>
    </row>
    <row r="167">
      <c r="A167" s="1"/>
      <c r="C167" s="44"/>
      <c r="E167" s="44"/>
      <c r="F167" s="93"/>
      <c r="G167" s="93"/>
      <c r="H167" s="93"/>
      <c r="I167" s="93"/>
      <c r="J167" s="93"/>
      <c r="K167" s="93"/>
      <c r="L167" s="93"/>
      <c r="M167" s="93"/>
      <c r="N167" s="93"/>
      <c r="O167" s="93"/>
      <c r="P167" s="93"/>
      <c r="Q167" s="93"/>
      <c r="R167" s="93"/>
      <c r="S167" s="93"/>
      <c r="T167" s="93"/>
      <c r="U167" s="93"/>
      <c r="V167" s="93"/>
      <c r="W167" s="93"/>
      <c r="X167" s="93"/>
      <c r="Y167" s="93"/>
      <c r="Z167" s="93"/>
    </row>
    <row r="168">
      <c r="A168" s="1"/>
      <c r="C168" s="44"/>
      <c r="E168" s="44"/>
      <c r="F168" s="93"/>
      <c r="G168" s="93"/>
      <c r="H168" s="93"/>
      <c r="I168" s="93"/>
      <c r="J168" s="93"/>
      <c r="K168" s="93"/>
      <c r="L168" s="93"/>
      <c r="M168" s="93"/>
      <c r="N168" s="93"/>
      <c r="O168" s="93"/>
      <c r="P168" s="93"/>
      <c r="Q168" s="93"/>
      <c r="R168" s="93"/>
      <c r="S168" s="93"/>
      <c r="T168" s="93"/>
      <c r="U168" s="93"/>
      <c r="V168" s="93"/>
      <c r="W168" s="93"/>
      <c r="X168" s="93"/>
      <c r="Y168" s="93"/>
      <c r="Z168" s="93"/>
    </row>
    <row r="169">
      <c r="A169" s="1"/>
      <c r="C169" s="44"/>
      <c r="E169" s="44"/>
      <c r="F169" s="93"/>
      <c r="G169" s="93"/>
      <c r="H169" s="93"/>
      <c r="I169" s="93"/>
      <c r="J169" s="93"/>
      <c r="K169" s="93"/>
      <c r="L169" s="93"/>
      <c r="M169" s="93"/>
      <c r="N169" s="93"/>
      <c r="O169" s="93"/>
      <c r="P169" s="93"/>
      <c r="Q169" s="93"/>
      <c r="R169" s="93"/>
      <c r="S169" s="93"/>
      <c r="T169" s="93"/>
      <c r="U169" s="93"/>
      <c r="V169" s="93"/>
      <c r="W169" s="93"/>
      <c r="X169" s="93"/>
      <c r="Y169" s="93"/>
      <c r="Z169" s="93"/>
    </row>
    <row r="170">
      <c r="A170" s="1"/>
      <c r="C170" s="44"/>
      <c r="E170" s="44"/>
      <c r="F170" s="93"/>
      <c r="G170" s="93"/>
      <c r="H170" s="93"/>
      <c r="I170" s="93"/>
      <c r="J170" s="93"/>
      <c r="K170" s="93"/>
      <c r="L170" s="93"/>
      <c r="M170" s="93"/>
      <c r="N170" s="93"/>
      <c r="O170" s="93"/>
      <c r="P170" s="93"/>
      <c r="Q170" s="93"/>
      <c r="R170" s="93"/>
      <c r="S170" s="93"/>
      <c r="T170" s="93"/>
      <c r="U170" s="93"/>
      <c r="V170" s="93"/>
      <c r="W170" s="93"/>
      <c r="X170" s="93"/>
      <c r="Y170" s="93"/>
      <c r="Z170" s="93"/>
    </row>
    <row r="171">
      <c r="A171" s="1"/>
      <c r="C171" s="44"/>
      <c r="E171" s="44"/>
      <c r="F171" s="93"/>
      <c r="G171" s="93"/>
      <c r="H171" s="93"/>
      <c r="I171" s="93"/>
      <c r="J171" s="93"/>
      <c r="K171" s="93"/>
      <c r="L171" s="93"/>
      <c r="M171" s="93"/>
      <c r="N171" s="93"/>
      <c r="O171" s="93"/>
      <c r="P171" s="93"/>
      <c r="Q171" s="93"/>
      <c r="R171" s="93"/>
      <c r="S171" s="93"/>
      <c r="T171" s="93"/>
      <c r="U171" s="93"/>
      <c r="V171" s="93"/>
      <c r="W171" s="93"/>
      <c r="X171" s="93"/>
      <c r="Y171" s="93"/>
      <c r="Z171" s="93"/>
    </row>
    <row r="172">
      <c r="A172" s="1"/>
      <c r="C172" s="44"/>
      <c r="E172" s="44"/>
      <c r="F172" s="93"/>
      <c r="G172" s="93"/>
      <c r="H172" s="93"/>
      <c r="I172" s="93"/>
      <c r="J172" s="93"/>
      <c r="K172" s="93"/>
      <c r="L172" s="93"/>
      <c r="M172" s="93"/>
      <c r="N172" s="93"/>
      <c r="O172" s="93"/>
      <c r="P172" s="93"/>
      <c r="Q172" s="93"/>
      <c r="R172" s="93"/>
      <c r="S172" s="93"/>
      <c r="T172" s="93"/>
      <c r="U172" s="93"/>
      <c r="V172" s="93"/>
      <c r="W172" s="93"/>
      <c r="X172" s="93"/>
      <c r="Y172" s="93"/>
      <c r="Z172" s="93"/>
    </row>
    <row r="173">
      <c r="A173" s="1"/>
      <c r="C173" s="44"/>
      <c r="E173" s="44"/>
      <c r="F173" s="93"/>
      <c r="G173" s="93"/>
      <c r="H173" s="93"/>
      <c r="I173" s="93"/>
      <c r="J173" s="93"/>
      <c r="K173" s="93"/>
      <c r="L173" s="93"/>
      <c r="M173" s="93"/>
      <c r="N173" s="93"/>
      <c r="O173" s="93"/>
      <c r="P173" s="93"/>
      <c r="Q173" s="93"/>
      <c r="R173" s="93"/>
      <c r="S173" s="93"/>
      <c r="T173" s="93"/>
      <c r="U173" s="93"/>
      <c r="V173" s="93"/>
      <c r="W173" s="93"/>
      <c r="X173" s="93"/>
      <c r="Y173" s="93"/>
      <c r="Z173" s="93"/>
    </row>
    <row r="174">
      <c r="A174" s="1"/>
      <c r="C174" s="44"/>
      <c r="E174" s="44"/>
      <c r="F174" s="93"/>
      <c r="G174" s="93"/>
      <c r="H174" s="93"/>
      <c r="I174" s="93"/>
      <c r="J174" s="93"/>
      <c r="K174" s="93"/>
      <c r="L174" s="93"/>
      <c r="M174" s="93"/>
      <c r="N174" s="93"/>
      <c r="O174" s="93"/>
      <c r="P174" s="93"/>
      <c r="Q174" s="93"/>
      <c r="R174" s="93"/>
      <c r="S174" s="93"/>
      <c r="T174" s="93"/>
      <c r="U174" s="93"/>
      <c r="V174" s="93"/>
      <c r="W174" s="93"/>
      <c r="X174" s="93"/>
      <c r="Y174" s="93"/>
      <c r="Z174" s="93"/>
    </row>
    <row r="175">
      <c r="A175" s="1"/>
      <c r="C175" s="44"/>
      <c r="E175" s="44"/>
      <c r="F175" s="93"/>
      <c r="G175" s="93"/>
      <c r="H175" s="93"/>
      <c r="I175" s="93"/>
      <c r="J175" s="93"/>
      <c r="K175" s="93"/>
      <c r="L175" s="93"/>
      <c r="M175" s="93"/>
      <c r="N175" s="93"/>
      <c r="O175" s="93"/>
      <c r="P175" s="93"/>
      <c r="Q175" s="93"/>
      <c r="R175" s="93"/>
      <c r="S175" s="93"/>
      <c r="T175" s="93"/>
      <c r="U175" s="93"/>
      <c r="V175" s="93"/>
      <c r="W175" s="93"/>
      <c r="X175" s="93"/>
      <c r="Y175" s="93"/>
      <c r="Z175" s="93"/>
    </row>
    <row r="176">
      <c r="A176" s="1"/>
      <c r="C176" s="44"/>
      <c r="E176" s="44"/>
      <c r="F176" s="93"/>
      <c r="G176" s="93"/>
      <c r="H176" s="93"/>
      <c r="I176" s="93"/>
      <c r="J176" s="93"/>
      <c r="K176" s="93"/>
      <c r="L176" s="93"/>
      <c r="M176" s="93"/>
      <c r="N176" s="93"/>
      <c r="O176" s="93"/>
      <c r="P176" s="93"/>
      <c r="Q176" s="93"/>
      <c r="R176" s="93"/>
      <c r="S176" s="93"/>
      <c r="T176" s="93"/>
      <c r="U176" s="93"/>
      <c r="V176" s="93"/>
      <c r="W176" s="93"/>
      <c r="X176" s="93"/>
      <c r="Y176" s="93"/>
      <c r="Z176" s="93"/>
    </row>
    <row r="177">
      <c r="A177" s="1"/>
      <c r="C177" s="44"/>
      <c r="E177" s="44"/>
      <c r="F177" s="93"/>
      <c r="G177" s="93"/>
      <c r="H177" s="93"/>
      <c r="I177" s="93"/>
      <c r="J177" s="93"/>
      <c r="K177" s="93"/>
      <c r="L177" s="93"/>
      <c r="M177" s="93"/>
      <c r="N177" s="93"/>
      <c r="O177" s="93"/>
      <c r="P177" s="93"/>
      <c r="Q177" s="93"/>
      <c r="R177" s="93"/>
      <c r="S177" s="93"/>
      <c r="T177" s="93"/>
      <c r="U177" s="93"/>
      <c r="V177" s="93"/>
      <c r="W177" s="93"/>
      <c r="X177" s="93"/>
      <c r="Y177" s="93"/>
      <c r="Z177" s="93"/>
    </row>
    <row r="178">
      <c r="A178" s="1"/>
      <c r="C178" s="44"/>
      <c r="E178" s="44"/>
      <c r="F178" s="93"/>
      <c r="G178" s="93"/>
      <c r="H178" s="93"/>
      <c r="I178" s="93"/>
      <c r="J178" s="93"/>
      <c r="K178" s="93"/>
      <c r="L178" s="93"/>
      <c r="M178" s="93"/>
      <c r="N178" s="93"/>
      <c r="O178" s="93"/>
      <c r="P178" s="93"/>
      <c r="Q178" s="93"/>
      <c r="R178" s="93"/>
      <c r="S178" s="93"/>
      <c r="T178" s="93"/>
      <c r="U178" s="93"/>
      <c r="V178" s="93"/>
      <c r="W178" s="93"/>
      <c r="X178" s="93"/>
      <c r="Y178" s="93"/>
      <c r="Z178" s="93"/>
    </row>
    <row r="179">
      <c r="A179" s="1"/>
      <c r="C179" s="44"/>
      <c r="E179" s="44"/>
      <c r="F179" s="93"/>
      <c r="G179" s="93"/>
      <c r="H179" s="93"/>
      <c r="I179" s="93"/>
      <c r="J179" s="93"/>
      <c r="K179" s="93"/>
      <c r="L179" s="93"/>
      <c r="M179" s="93"/>
      <c r="N179" s="93"/>
      <c r="O179" s="93"/>
      <c r="P179" s="93"/>
      <c r="Q179" s="93"/>
      <c r="R179" s="93"/>
      <c r="S179" s="93"/>
      <c r="T179" s="93"/>
      <c r="U179" s="93"/>
      <c r="V179" s="93"/>
      <c r="W179" s="93"/>
      <c r="X179" s="93"/>
      <c r="Y179" s="93"/>
      <c r="Z179" s="93"/>
    </row>
    <row r="180">
      <c r="A180" s="1"/>
      <c r="C180" s="44"/>
      <c r="E180" s="44"/>
      <c r="F180" s="93"/>
      <c r="G180" s="93"/>
      <c r="H180" s="93"/>
      <c r="I180" s="93"/>
      <c r="J180" s="93"/>
      <c r="K180" s="93"/>
      <c r="L180" s="93"/>
      <c r="M180" s="93"/>
      <c r="N180" s="93"/>
      <c r="O180" s="93"/>
      <c r="P180" s="93"/>
      <c r="Q180" s="93"/>
      <c r="R180" s="93"/>
      <c r="S180" s="93"/>
      <c r="T180" s="93"/>
      <c r="U180" s="93"/>
      <c r="V180" s="93"/>
      <c r="W180" s="93"/>
      <c r="X180" s="93"/>
      <c r="Y180" s="93"/>
      <c r="Z180" s="93"/>
    </row>
    <row r="181">
      <c r="A181" s="1"/>
      <c r="C181" s="44"/>
      <c r="E181" s="44"/>
      <c r="F181" s="93"/>
      <c r="G181" s="93"/>
      <c r="H181" s="93"/>
      <c r="I181" s="93"/>
      <c r="J181" s="93"/>
      <c r="K181" s="93"/>
      <c r="L181" s="93"/>
      <c r="M181" s="93"/>
      <c r="N181" s="93"/>
      <c r="O181" s="93"/>
      <c r="P181" s="93"/>
      <c r="Q181" s="93"/>
      <c r="R181" s="93"/>
      <c r="S181" s="93"/>
      <c r="T181" s="93"/>
      <c r="U181" s="93"/>
      <c r="V181" s="93"/>
      <c r="W181" s="93"/>
      <c r="X181" s="93"/>
      <c r="Y181" s="93"/>
      <c r="Z181" s="93"/>
    </row>
    <row r="182">
      <c r="A182" s="1"/>
      <c r="C182" s="44"/>
      <c r="E182" s="44"/>
      <c r="F182" s="93"/>
      <c r="G182" s="93"/>
      <c r="H182" s="93"/>
      <c r="I182" s="93"/>
      <c r="J182" s="93"/>
      <c r="K182" s="93"/>
      <c r="L182" s="93"/>
      <c r="M182" s="93"/>
      <c r="N182" s="93"/>
      <c r="O182" s="93"/>
      <c r="P182" s="93"/>
      <c r="Q182" s="93"/>
      <c r="R182" s="93"/>
      <c r="S182" s="93"/>
      <c r="T182" s="93"/>
      <c r="U182" s="93"/>
      <c r="V182" s="93"/>
      <c r="W182" s="93"/>
      <c r="X182" s="93"/>
      <c r="Y182" s="93"/>
      <c r="Z182" s="93"/>
    </row>
    <row r="183">
      <c r="A183" s="1"/>
      <c r="C183" s="44"/>
      <c r="E183" s="44"/>
      <c r="F183" s="93"/>
      <c r="G183" s="93"/>
      <c r="H183" s="93"/>
      <c r="I183" s="93"/>
      <c r="J183" s="93"/>
      <c r="K183" s="93"/>
      <c r="L183" s="93"/>
      <c r="M183" s="93"/>
      <c r="N183" s="93"/>
      <c r="O183" s="93"/>
      <c r="P183" s="93"/>
      <c r="Q183" s="93"/>
      <c r="R183" s="93"/>
      <c r="S183" s="93"/>
      <c r="T183" s="93"/>
      <c r="U183" s="93"/>
      <c r="V183" s="93"/>
      <c r="W183" s="93"/>
      <c r="X183" s="93"/>
      <c r="Y183" s="93"/>
      <c r="Z183" s="93"/>
    </row>
    <row r="184">
      <c r="A184" s="1"/>
      <c r="C184" s="44"/>
      <c r="E184" s="44"/>
      <c r="F184" s="93"/>
      <c r="G184" s="93"/>
      <c r="H184" s="93"/>
      <c r="I184" s="93"/>
      <c r="J184" s="93"/>
      <c r="K184" s="93"/>
      <c r="L184" s="93"/>
      <c r="M184" s="93"/>
      <c r="N184" s="93"/>
      <c r="O184" s="93"/>
      <c r="P184" s="93"/>
      <c r="Q184" s="93"/>
      <c r="R184" s="93"/>
      <c r="S184" s="93"/>
      <c r="T184" s="93"/>
      <c r="U184" s="93"/>
      <c r="V184" s="93"/>
      <c r="W184" s="93"/>
      <c r="X184" s="93"/>
      <c r="Y184" s="93"/>
      <c r="Z184" s="93"/>
    </row>
    <row r="185">
      <c r="A185" s="1"/>
      <c r="C185" s="44"/>
      <c r="E185" s="44"/>
      <c r="F185" s="93"/>
      <c r="G185" s="93"/>
      <c r="H185" s="93"/>
      <c r="I185" s="93"/>
      <c r="J185" s="93"/>
      <c r="K185" s="93"/>
      <c r="L185" s="93"/>
      <c r="M185" s="93"/>
      <c r="N185" s="93"/>
      <c r="O185" s="93"/>
      <c r="P185" s="93"/>
      <c r="Q185" s="93"/>
      <c r="R185" s="93"/>
      <c r="S185" s="93"/>
      <c r="T185" s="93"/>
      <c r="U185" s="93"/>
      <c r="V185" s="93"/>
      <c r="W185" s="93"/>
      <c r="X185" s="93"/>
      <c r="Y185" s="93"/>
      <c r="Z185" s="93"/>
    </row>
    <row r="186">
      <c r="A186" s="1"/>
      <c r="C186" s="44"/>
      <c r="E186" s="44"/>
      <c r="F186" s="93"/>
      <c r="G186" s="93"/>
      <c r="H186" s="93"/>
      <c r="I186" s="93"/>
      <c r="J186" s="93"/>
      <c r="K186" s="93"/>
      <c r="L186" s="93"/>
      <c r="M186" s="93"/>
      <c r="N186" s="93"/>
      <c r="O186" s="93"/>
      <c r="P186" s="93"/>
      <c r="Q186" s="93"/>
      <c r="R186" s="93"/>
      <c r="S186" s="93"/>
      <c r="T186" s="93"/>
      <c r="U186" s="93"/>
      <c r="V186" s="93"/>
      <c r="W186" s="93"/>
      <c r="X186" s="93"/>
      <c r="Y186" s="93"/>
      <c r="Z186" s="93"/>
    </row>
    <row r="187">
      <c r="A187" s="1"/>
      <c r="C187" s="44"/>
      <c r="E187" s="44"/>
      <c r="F187" s="93"/>
      <c r="G187" s="93"/>
      <c r="H187" s="93"/>
      <c r="I187" s="93"/>
      <c r="J187" s="93"/>
      <c r="K187" s="93"/>
      <c r="L187" s="93"/>
      <c r="M187" s="93"/>
      <c r="N187" s="93"/>
      <c r="O187" s="93"/>
      <c r="P187" s="93"/>
      <c r="Q187" s="93"/>
      <c r="R187" s="93"/>
      <c r="S187" s="93"/>
      <c r="T187" s="93"/>
      <c r="U187" s="93"/>
      <c r="V187" s="93"/>
      <c r="W187" s="93"/>
      <c r="X187" s="93"/>
      <c r="Y187" s="93"/>
      <c r="Z187" s="93"/>
    </row>
    <row r="188">
      <c r="A188" s="1"/>
      <c r="C188" s="44"/>
      <c r="E188" s="44"/>
      <c r="F188" s="93"/>
      <c r="G188" s="93"/>
      <c r="H188" s="93"/>
      <c r="I188" s="93"/>
      <c r="J188" s="93"/>
      <c r="K188" s="93"/>
      <c r="L188" s="93"/>
      <c r="M188" s="93"/>
      <c r="N188" s="93"/>
      <c r="O188" s="93"/>
      <c r="P188" s="93"/>
      <c r="Q188" s="93"/>
      <c r="R188" s="93"/>
      <c r="S188" s="93"/>
      <c r="T188" s="93"/>
      <c r="U188" s="93"/>
      <c r="V188" s="93"/>
      <c r="W188" s="93"/>
      <c r="X188" s="93"/>
      <c r="Y188" s="93"/>
      <c r="Z188" s="93"/>
    </row>
    <row r="189">
      <c r="A189" s="1"/>
      <c r="C189" s="44"/>
      <c r="E189" s="44"/>
      <c r="F189" s="93"/>
      <c r="G189" s="93"/>
      <c r="H189" s="93"/>
      <c r="I189" s="93"/>
      <c r="J189" s="93"/>
      <c r="K189" s="93"/>
      <c r="L189" s="93"/>
      <c r="M189" s="93"/>
      <c r="N189" s="93"/>
      <c r="O189" s="93"/>
      <c r="P189" s="93"/>
      <c r="Q189" s="93"/>
      <c r="R189" s="93"/>
      <c r="S189" s="93"/>
      <c r="T189" s="93"/>
      <c r="U189" s="93"/>
      <c r="V189" s="93"/>
      <c r="W189" s="93"/>
      <c r="X189" s="93"/>
      <c r="Y189" s="93"/>
      <c r="Z189" s="93"/>
    </row>
    <row r="190">
      <c r="A190" s="1"/>
      <c r="C190" s="44"/>
      <c r="E190" s="44"/>
      <c r="F190" s="93"/>
      <c r="G190" s="93"/>
      <c r="H190" s="93"/>
      <c r="I190" s="93"/>
      <c r="J190" s="93"/>
      <c r="K190" s="93"/>
      <c r="L190" s="93"/>
      <c r="M190" s="93"/>
      <c r="N190" s="93"/>
      <c r="O190" s="93"/>
      <c r="P190" s="93"/>
      <c r="Q190" s="93"/>
      <c r="R190" s="93"/>
      <c r="S190" s="93"/>
      <c r="T190" s="93"/>
      <c r="U190" s="93"/>
      <c r="V190" s="93"/>
      <c r="W190" s="93"/>
      <c r="X190" s="93"/>
      <c r="Y190" s="93"/>
      <c r="Z190" s="93"/>
    </row>
    <row r="191">
      <c r="A191" s="1"/>
      <c r="C191" s="44"/>
      <c r="E191" s="44"/>
      <c r="F191" s="93"/>
      <c r="G191" s="93"/>
      <c r="H191" s="93"/>
      <c r="I191" s="93"/>
      <c r="J191" s="93"/>
      <c r="K191" s="93"/>
      <c r="L191" s="93"/>
      <c r="M191" s="93"/>
      <c r="N191" s="93"/>
      <c r="O191" s="93"/>
      <c r="P191" s="93"/>
      <c r="Q191" s="93"/>
      <c r="R191" s="93"/>
      <c r="S191" s="93"/>
      <c r="T191" s="93"/>
      <c r="U191" s="93"/>
      <c r="V191" s="93"/>
      <c r="W191" s="93"/>
      <c r="X191" s="93"/>
      <c r="Y191" s="93"/>
      <c r="Z191" s="93"/>
    </row>
    <row r="192">
      <c r="A192" s="1"/>
      <c r="C192" s="44"/>
      <c r="E192" s="44"/>
      <c r="F192" s="93"/>
      <c r="G192" s="93"/>
      <c r="H192" s="93"/>
      <c r="I192" s="93"/>
      <c r="J192" s="93"/>
      <c r="K192" s="93"/>
      <c r="L192" s="93"/>
      <c r="M192" s="93"/>
      <c r="N192" s="93"/>
      <c r="O192" s="93"/>
      <c r="P192" s="93"/>
      <c r="Q192" s="93"/>
      <c r="R192" s="93"/>
      <c r="S192" s="93"/>
      <c r="T192" s="93"/>
      <c r="U192" s="93"/>
      <c r="V192" s="93"/>
      <c r="W192" s="93"/>
      <c r="X192" s="93"/>
      <c r="Y192" s="93"/>
      <c r="Z192" s="93"/>
    </row>
    <row r="193">
      <c r="A193" s="1"/>
      <c r="C193" s="44"/>
      <c r="E193" s="44"/>
      <c r="F193" s="93"/>
      <c r="G193" s="93"/>
      <c r="H193" s="93"/>
      <c r="I193" s="93"/>
      <c r="J193" s="93"/>
      <c r="K193" s="93"/>
      <c r="L193" s="93"/>
      <c r="M193" s="93"/>
      <c r="N193" s="93"/>
      <c r="O193" s="93"/>
      <c r="P193" s="93"/>
      <c r="Q193" s="93"/>
      <c r="R193" s="93"/>
      <c r="S193" s="93"/>
      <c r="T193" s="93"/>
      <c r="U193" s="93"/>
      <c r="V193" s="93"/>
      <c r="W193" s="93"/>
      <c r="X193" s="93"/>
      <c r="Y193" s="93"/>
      <c r="Z193" s="93"/>
    </row>
    <row r="194">
      <c r="A194" s="1"/>
      <c r="C194" s="44"/>
      <c r="E194" s="44"/>
      <c r="F194" s="93"/>
      <c r="G194" s="93"/>
      <c r="H194" s="93"/>
      <c r="I194" s="93"/>
      <c r="J194" s="93"/>
      <c r="K194" s="93"/>
      <c r="L194" s="93"/>
      <c r="M194" s="93"/>
      <c r="N194" s="93"/>
      <c r="O194" s="93"/>
      <c r="P194" s="93"/>
      <c r="Q194" s="93"/>
      <c r="R194" s="93"/>
      <c r="S194" s="93"/>
      <c r="T194" s="93"/>
      <c r="U194" s="93"/>
      <c r="V194" s="93"/>
      <c r="W194" s="93"/>
      <c r="X194" s="93"/>
      <c r="Y194" s="93"/>
      <c r="Z194" s="93"/>
    </row>
    <row r="195">
      <c r="A195" s="1"/>
      <c r="C195" s="44"/>
      <c r="E195" s="44"/>
      <c r="F195" s="93"/>
      <c r="G195" s="93"/>
      <c r="H195" s="93"/>
      <c r="I195" s="93"/>
      <c r="J195" s="93"/>
      <c r="K195" s="93"/>
      <c r="L195" s="93"/>
      <c r="M195" s="93"/>
      <c r="N195" s="93"/>
      <c r="O195" s="93"/>
      <c r="P195" s="93"/>
      <c r="Q195" s="93"/>
      <c r="R195" s="93"/>
      <c r="S195" s="93"/>
      <c r="T195" s="93"/>
      <c r="U195" s="93"/>
      <c r="V195" s="93"/>
      <c r="W195" s="93"/>
      <c r="X195" s="93"/>
      <c r="Y195" s="93"/>
      <c r="Z195" s="93"/>
    </row>
    <row r="196">
      <c r="A196" s="1"/>
      <c r="C196" s="44"/>
      <c r="E196" s="44"/>
      <c r="F196" s="93"/>
      <c r="G196" s="93"/>
      <c r="H196" s="93"/>
      <c r="I196" s="93"/>
      <c r="J196" s="93"/>
      <c r="K196" s="93"/>
      <c r="L196" s="93"/>
      <c r="M196" s="93"/>
      <c r="N196" s="93"/>
      <c r="O196" s="93"/>
      <c r="P196" s="93"/>
      <c r="Q196" s="93"/>
      <c r="R196" s="93"/>
      <c r="S196" s="93"/>
      <c r="T196" s="93"/>
      <c r="U196" s="93"/>
      <c r="V196" s="93"/>
      <c r="W196" s="93"/>
      <c r="X196" s="93"/>
      <c r="Y196" s="93"/>
      <c r="Z196" s="93"/>
    </row>
    <row r="197">
      <c r="A197" s="1"/>
      <c r="C197" s="44"/>
      <c r="E197" s="44"/>
      <c r="F197" s="93"/>
      <c r="G197" s="93"/>
      <c r="H197" s="93"/>
      <c r="I197" s="93"/>
      <c r="J197" s="93"/>
      <c r="K197" s="93"/>
      <c r="L197" s="93"/>
      <c r="M197" s="93"/>
      <c r="N197" s="93"/>
      <c r="O197" s="93"/>
      <c r="P197" s="93"/>
      <c r="Q197" s="93"/>
      <c r="R197" s="93"/>
      <c r="S197" s="93"/>
      <c r="T197" s="93"/>
      <c r="U197" s="93"/>
      <c r="V197" s="93"/>
      <c r="W197" s="93"/>
      <c r="X197" s="93"/>
      <c r="Y197" s="93"/>
      <c r="Z197" s="93"/>
    </row>
    <row r="198">
      <c r="A198" s="1"/>
      <c r="C198" s="44"/>
      <c r="E198" s="44"/>
      <c r="F198" s="93"/>
      <c r="G198" s="93"/>
      <c r="H198" s="93"/>
      <c r="I198" s="93"/>
      <c r="J198" s="93"/>
      <c r="K198" s="93"/>
      <c r="L198" s="93"/>
      <c r="M198" s="93"/>
      <c r="N198" s="93"/>
      <c r="O198" s="93"/>
      <c r="P198" s="93"/>
      <c r="Q198" s="93"/>
      <c r="R198" s="93"/>
      <c r="S198" s="93"/>
      <c r="T198" s="93"/>
      <c r="U198" s="93"/>
      <c r="V198" s="93"/>
      <c r="W198" s="93"/>
      <c r="X198" s="93"/>
      <c r="Y198" s="93"/>
      <c r="Z198" s="93"/>
    </row>
    <row r="199">
      <c r="A199" s="1"/>
      <c r="C199" s="44"/>
      <c r="E199" s="44"/>
      <c r="F199" s="93"/>
      <c r="G199" s="93"/>
      <c r="H199" s="93"/>
      <c r="I199" s="93"/>
      <c r="J199" s="93"/>
      <c r="K199" s="93"/>
      <c r="L199" s="93"/>
      <c r="M199" s="93"/>
      <c r="N199" s="93"/>
      <c r="O199" s="93"/>
      <c r="P199" s="93"/>
      <c r="Q199" s="93"/>
      <c r="R199" s="93"/>
      <c r="S199" s="93"/>
      <c r="T199" s="93"/>
      <c r="U199" s="93"/>
      <c r="V199" s="93"/>
      <c r="W199" s="93"/>
      <c r="X199" s="93"/>
      <c r="Y199" s="93"/>
      <c r="Z199" s="93"/>
    </row>
    <row r="200">
      <c r="A200" s="1"/>
      <c r="C200" s="44"/>
      <c r="E200" s="44"/>
      <c r="F200" s="93"/>
      <c r="G200" s="93"/>
      <c r="H200" s="93"/>
      <c r="I200" s="93"/>
      <c r="J200" s="93"/>
      <c r="K200" s="93"/>
      <c r="L200" s="93"/>
      <c r="M200" s="93"/>
      <c r="N200" s="93"/>
      <c r="O200" s="93"/>
      <c r="P200" s="93"/>
      <c r="Q200" s="93"/>
      <c r="R200" s="93"/>
      <c r="S200" s="93"/>
      <c r="T200" s="93"/>
      <c r="U200" s="93"/>
      <c r="V200" s="93"/>
      <c r="W200" s="93"/>
      <c r="X200" s="93"/>
      <c r="Y200" s="93"/>
      <c r="Z200" s="93"/>
    </row>
    <row r="201">
      <c r="A201" s="1"/>
      <c r="C201" s="44"/>
      <c r="E201" s="44"/>
      <c r="F201" s="93"/>
      <c r="G201" s="93"/>
      <c r="H201" s="93"/>
      <c r="I201" s="93"/>
      <c r="J201" s="93"/>
      <c r="K201" s="93"/>
      <c r="L201" s="93"/>
      <c r="M201" s="93"/>
      <c r="N201" s="93"/>
      <c r="O201" s="93"/>
      <c r="P201" s="93"/>
      <c r="Q201" s="93"/>
      <c r="R201" s="93"/>
      <c r="S201" s="93"/>
      <c r="T201" s="93"/>
      <c r="U201" s="93"/>
      <c r="V201" s="93"/>
      <c r="W201" s="93"/>
      <c r="X201" s="93"/>
      <c r="Y201" s="93"/>
      <c r="Z201" s="93"/>
    </row>
    <row r="202">
      <c r="A202" s="1"/>
      <c r="C202" s="44"/>
      <c r="E202" s="44"/>
      <c r="F202" s="93"/>
      <c r="G202" s="93"/>
      <c r="H202" s="93"/>
      <c r="I202" s="93"/>
      <c r="J202" s="93"/>
      <c r="K202" s="93"/>
      <c r="L202" s="93"/>
      <c r="M202" s="93"/>
      <c r="N202" s="93"/>
      <c r="O202" s="93"/>
      <c r="P202" s="93"/>
      <c r="Q202" s="93"/>
      <c r="R202" s="93"/>
      <c r="S202" s="93"/>
      <c r="T202" s="93"/>
      <c r="U202" s="93"/>
      <c r="V202" s="93"/>
      <c r="W202" s="93"/>
      <c r="X202" s="93"/>
      <c r="Y202" s="93"/>
      <c r="Z202" s="93"/>
    </row>
    <row r="203">
      <c r="A203" s="1"/>
      <c r="C203" s="44"/>
      <c r="E203" s="44"/>
      <c r="F203" s="93"/>
      <c r="G203" s="93"/>
      <c r="H203" s="93"/>
      <c r="I203" s="93"/>
      <c r="J203" s="93"/>
      <c r="K203" s="93"/>
      <c r="L203" s="93"/>
      <c r="M203" s="93"/>
      <c r="N203" s="93"/>
      <c r="O203" s="93"/>
      <c r="P203" s="93"/>
      <c r="Q203" s="93"/>
      <c r="R203" s="93"/>
      <c r="S203" s="93"/>
      <c r="T203" s="93"/>
      <c r="U203" s="93"/>
      <c r="V203" s="93"/>
      <c r="W203" s="93"/>
      <c r="X203" s="93"/>
      <c r="Y203" s="93"/>
      <c r="Z203" s="93"/>
    </row>
    <row r="204">
      <c r="A204" s="1"/>
      <c r="C204" s="44"/>
      <c r="E204" s="44"/>
      <c r="F204" s="93"/>
      <c r="G204" s="93"/>
      <c r="H204" s="93"/>
      <c r="I204" s="93"/>
      <c r="J204" s="93"/>
      <c r="K204" s="93"/>
      <c r="L204" s="93"/>
      <c r="M204" s="93"/>
      <c r="N204" s="93"/>
      <c r="O204" s="93"/>
      <c r="P204" s="93"/>
      <c r="Q204" s="93"/>
      <c r="R204" s="93"/>
      <c r="S204" s="93"/>
      <c r="T204" s="93"/>
      <c r="U204" s="93"/>
      <c r="V204" s="93"/>
      <c r="W204" s="93"/>
      <c r="X204" s="93"/>
      <c r="Y204" s="93"/>
      <c r="Z204" s="93"/>
    </row>
    <row r="205">
      <c r="A205" s="1"/>
      <c r="C205" s="44"/>
      <c r="E205" s="44"/>
      <c r="F205" s="93"/>
      <c r="G205" s="93"/>
      <c r="H205" s="93"/>
      <c r="I205" s="93"/>
      <c r="J205" s="93"/>
      <c r="K205" s="93"/>
      <c r="L205" s="93"/>
      <c r="M205" s="93"/>
      <c r="N205" s="93"/>
      <c r="O205" s="93"/>
      <c r="P205" s="93"/>
      <c r="Q205" s="93"/>
      <c r="R205" s="93"/>
      <c r="S205" s="93"/>
      <c r="T205" s="93"/>
      <c r="U205" s="93"/>
      <c r="V205" s="93"/>
      <c r="W205" s="93"/>
      <c r="X205" s="93"/>
      <c r="Y205" s="93"/>
      <c r="Z205" s="93"/>
    </row>
    <row r="206">
      <c r="A206" s="1"/>
      <c r="C206" s="44"/>
      <c r="E206" s="44"/>
      <c r="F206" s="93"/>
      <c r="G206" s="93"/>
      <c r="H206" s="93"/>
      <c r="I206" s="93"/>
      <c r="J206" s="93"/>
      <c r="K206" s="93"/>
      <c r="L206" s="93"/>
      <c r="M206" s="93"/>
      <c r="N206" s="93"/>
      <c r="O206" s="93"/>
      <c r="P206" s="93"/>
      <c r="Q206" s="93"/>
      <c r="R206" s="93"/>
      <c r="S206" s="93"/>
      <c r="T206" s="93"/>
      <c r="U206" s="93"/>
      <c r="V206" s="93"/>
      <c r="W206" s="93"/>
      <c r="X206" s="93"/>
      <c r="Y206" s="93"/>
      <c r="Z206" s="93"/>
    </row>
    <row r="207">
      <c r="A207" s="1"/>
      <c r="C207" s="44"/>
      <c r="E207" s="44"/>
      <c r="F207" s="93"/>
      <c r="G207" s="93"/>
      <c r="H207" s="93"/>
      <c r="I207" s="93"/>
      <c r="J207" s="93"/>
      <c r="K207" s="93"/>
      <c r="L207" s="93"/>
      <c r="M207" s="93"/>
      <c r="N207" s="93"/>
      <c r="O207" s="93"/>
      <c r="P207" s="93"/>
      <c r="Q207" s="93"/>
      <c r="R207" s="93"/>
      <c r="S207" s="93"/>
      <c r="T207" s="93"/>
      <c r="U207" s="93"/>
      <c r="V207" s="93"/>
      <c r="W207" s="93"/>
      <c r="X207" s="93"/>
      <c r="Y207" s="93"/>
      <c r="Z207" s="93"/>
    </row>
    <row r="208">
      <c r="A208" s="1"/>
      <c r="C208" s="44"/>
      <c r="E208" s="44"/>
      <c r="F208" s="93"/>
      <c r="G208" s="93"/>
      <c r="H208" s="93"/>
      <c r="I208" s="93"/>
      <c r="J208" s="93"/>
      <c r="K208" s="93"/>
      <c r="L208" s="93"/>
      <c r="M208" s="93"/>
      <c r="N208" s="93"/>
      <c r="O208" s="93"/>
      <c r="P208" s="93"/>
      <c r="Q208" s="93"/>
      <c r="R208" s="93"/>
      <c r="S208" s="93"/>
      <c r="T208" s="93"/>
      <c r="U208" s="93"/>
      <c r="V208" s="93"/>
      <c r="W208" s="93"/>
      <c r="X208" s="93"/>
      <c r="Y208" s="93"/>
      <c r="Z208" s="93"/>
    </row>
    <row r="209">
      <c r="A209" s="1"/>
      <c r="C209" s="44"/>
      <c r="E209" s="44"/>
      <c r="F209" s="93"/>
      <c r="G209" s="93"/>
      <c r="H209" s="93"/>
      <c r="I209" s="93"/>
      <c r="J209" s="93"/>
      <c r="K209" s="93"/>
      <c r="L209" s="93"/>
      <c r="M209" s="93"/>
      <c r="N209" s="93"/>
      <c r="O209" s="93"/>
      <c r="P209" s="93"/>
      <c r="Q209" s="93"/>
      <c r="R209" s="93"/>
      <c r="S209" s="93"/>
      <c r="T209" s="93"/>
      <c r="U209" s="93"/>
      <c r="V209" s="93"/>
      <c r="W209" s="93"/>
      <c r="X209" s="93"/>
      <c r="Y209" s="93"/>
      <c r="Z209" s="93"/>
    </row>
    <row r="210">
      <c r="A210" s="1"/>
      <c r="C210" s="44"/>
      <c r="E210" s="44"/>
      <c r="F210" s="93"/>
      <c r="G210" s="93"/>
      <c r="H210" s="93"/>
      <c r="I210" s="93"/>
      <c r="J210" s="93"/>
      <c r="K210" s="93"/>
      <c r="L210" s="93"/>
      <c r="M210" s="93"/>
      <c r="N210" s="93"/>
      <c r="O210" s="93"/>
      <c r="P210" s="93"/>
      <c r="Q210" s="93"/>
      <c r="R210" s="93"/>
      <c r="S210" s="93"/>
      <c r="T210" s="93"/>
      <c r="U210" s="93"/>
      <c r="V210" s="93"/>
      <c r="W210" s="93"/>
      <c r="X210" s="93"/>
      <c r="Y210" s="93"/>
      <c r="Z210" s="93"/>
    </row>
    <row r="211">
      <c r="A211" s="1"/>
      <c r="C211" s="44"/>
      <c r="E211" s="44"/>
      <c r="F211" s="93"/>
      <c r="G211" s="93"/>
      <c r="H211" s="93"/>
      <c r="I211" s="93"/>
      <c r="J211" s="93"/>
      <c r="K211" s="93"/>
      <c r="L211" s="93"/>
      <c r="M211" s="93"/>
      <c r="N211" s="93"/>
      <c r="O211" s="93"/>
      <c r="P211" s="93"/>
      <c r="Q211" s="93"/>
      <c r="R211" s="93"/>
      <c r="S211" s="93"/>
      <c r="T211" s="93"/>
      <c r="U211" s="93"/>
      <c r="V211" s="93"/>
      <c r="W211" s="93"/>
      <c r="X211" s="93"/>
      <c r="Y211" s="93"/>
      <c r="Z211" s="93"/>
    </row>
    <row r="212">
      <c r="A212" s="1"/>
      <c r="C212" s="44"/>
      <c r="E212" s="44"/>
      <c r="F212" s="93"/>
      <c r="G212" s="93"/>
      <c r="H212" s="93"/>
      <c r="I212" s="93"/>
      <c r="J212" s="93"/>
      <c r="K212" s="93"/>
      <c r="L212" s="93"/>
      <c r="M212" s="93"/>
      <c r="N212" s="93"/>
      <c r="O212" s="93"/>
      <c r="P212" s="93"/>
      <c r="Q212" s="93"/>
      <c r="R212" s="93"/>
      <c r="S212" s="93"/>
      <c r="T212" s="93"/>
      <c r="U212" s="93"/>
      <c r="V212" s="93"/>
      <c r="W212" s="93"/>
      <c r="X212" s="93"/>
      <c r="Y212" s="93"/>
      <c r="Z212" s="93"/>
    </row>
    <row r="213">
      <c r="A213" s="1"/>
      <c r="C213" s="44"/>
      <c r="E213" s="44"/>
      <c r="F213" s="93"/>
      <c r="G213" s="93"/>
      <c r="H213" s="93"/>
      <c r="I213" s="93"/>
      <c r="J213" s="93"/>
      <c r="K213" s="93"/>
      <c r="L213" s="93"/>
      <c r="M213" s="93"/>
      <c r="N213" s="93"/>
      <c r="O213" s="93"/>
      <c r="P213" s="93"/>
      <c r="Q213" s="93"/>
      <c r="R213" s="93"/>
      <c r="S213" s="93"/>
      <c r="T213" s="93"/>
      <c r="U213" s="93"/>
      <c r="V213" s="93"/>
      <c r="W213" s="93"/>
      <c r="X213" s="93"/>
      <c r="Y213" s="93"/>
      <c r="Z213" s="93"/>
    </row>
    <row r="214">
      <c r="A214" s="1"/>
      <c r="C214" s="44"/>
      <c r="E214" s="44"/>
      <c r="F214" s="93"/>
      <c r="G214" s="93"/>
      <c r="H214" s="93"/>
      <c r="I214" s="93"/>
      <c r="J214" s="93"/>
      <c r="K214" s="93"/>
      <c r="L214" s="93"/>
      <c r="M214" s="93"/>
      <c r="N214" s="93"/>
      <c r="O214" s="93"/>
      <c r="P214" s="93"/>
      <c r="Q214" s="93"/>
      <c r="R214" s="93"/>
      <c r="S214" s="93"/>
      <c r="T214" s="93"/>
      <c r="U214" s="93"/>
      <c r="V214" s="93"/>
      <c r="W214" s="93"/>
      <c r="X214" s="93"/>
      <c r="Y214" s="93"/>
      <c r="Z214" s="93"/>
    </row>
    <row r="215">
      <c r="A215" s="1"/>
      <c r="C215" s="44"/>
      <c r="E215" s="44"/>
      <c r="F215" s="93"/>
      <c r="G215" s="93"/>
      <c r="H215" s="93"/>
      <c r="I215" s="93"/>
      <c r="J215" s="93"/>
      <c r="K215" s="93"/>
      <c r="L215" s="93"/>
      <c r="M215" s="93"/>
      <c r="N215" s="93"/>
      <c r="O215" s="93"/>
      <c r="P215" s="93"/>
      <c r="Q215" s="93"/>
      <c r="R215" s="93"/>
      <c r="S215" s="93"/>
      <c r="T215" s="93"/>
      <c r="U215" s="93"/>
      <c r="V215" s="93"/>
      <c r="W215" s="93"/>
      <c r="X215" s="93"/>
      <c r="Y215" s="93"/>
      <c r="Z215" s="93"/>
    </row>
    <row r="216">
      <c r="A216" s="1"/>
      <c r="C216" s="44"/>
      <c r="E216" s="44"/>
      <c r="F216" s="93"/>
      <c r="G216" s="93"/>
      <c r="H216" s="93"/>
      <c r="I216" s="93"/>
      <c r="J216" s="93"/>
      <c r="K216" s="93"/>
      <c r="L216" s="93"/>
      <c r="M216" s="93"/>
      <c r="N216" s="93"/>
      <c r="O216" s="93"/>
      <c r="P216" s="93"/>
      <c r="Q216" s="93"/>
      <c r="R216" s="93"/>
      <c r="S216" s="93"/>
      <c r="T216" s="93"/>
      <c r="U216" s="93"/>
      <c r="V216" s="93"/>
      <c r="W216" s="93"/>
      <c r="X216" s="93"/>
      <c r="Y216" s="93"/>
      <c r="Z216" s="93"/>
    </row>
    <row r="217">
      <c r="A217" s="1"/>
      <c r="C217" s="44"/>
      <c r="E217" s="44"/>
      <c r="F217" s="93"/>
      <c r="G217" s="93"/>
      <c r="H217" s="93"/>
      <c r="I217" s="93"/>
      <c r="J217" s="93"/>
      <c r="K217" s="93"/>
      <c r="L217" s="93"/>
      <c r="M217" s="93"/>
      <c r="N217" s="93"/>
      <c r="O217" s="93"/>
      <c r="P217" s="93"/>
      <c r="Q217" s="93"/>
      <c r="R217" s="93"/>
      <c r="S217" s="93"/>
      <c r="T217" s="93"/>
      <c r="U217" s="93"/>
      <c r="V217" s="93"/>
      <c r="W217" s="93"/>
      <c r="X217" s="93"/>
      <c r="Y217" s="93"/>
      <c r="Z217" s="93"/>
    </row>
    <row r="218">
      <c r="A218" s="1"/>
      <c r="C218" s="44"/>
      <c r="E218" s="44"/>
      <c r="F218" s="93"/>
      <c r="G218" s="93"/>
      <c r="H218" s="93"/>
      <c r="I218" s="93"/>
      <c r="J218" s="93"/>
      <c r="K218" s="93"/>
      <c r="L218" s="93"/>
      <c r="M218" s="93"/>
      <c r="N218" s="93"/>
      <c r="O218" s="93"/>
      <c r="P218" s="93"/>
      <c r="Q218" s="93"/>
      <c r="R218" s="93"/>
      <c r="S218" s="93"/>
      <c r="T218" s="93"/>
      <c r="U218" s="93"/>
      <c r="V218" s="93"/>
      <c r="W218" s="93"/>
      <c r="X218" s="93"/>
      <c r="Y218" s="93"/>
      <c r="Z218" s="93"/>
    </row>
    <row r="219">
      <c r="A219" s="1"/>
      <c r="C219" s="44"/>
      <c r="E219" s="44"/>
      <c r="F219" s="93"/>
      <c r="G219" s="93"/>
      <c r="H219" s="93"/>
      <c r="I219" s="93"/>
      <c r="J219" s="93"/>
      <c r="K219" s="93"/>
      <c r="L219" s="93"/>
      <c r="M219" s="93"/>
      <c r="N219" s="93"/>
      <c r="O219" s="93"/>
      <c r="P219" s="93"/>
      <c r="Q219" s="93"/>
      <c r="R219" s="93"/>
      <c r="S219" s="93"/>
      <c r="T219" s="93"/>
      <c r="U219" s="93"/>
      <c r="V219" s="93"/>
      <c r="W219" s="93"/>
      <c r="X219" s="93"/>
      <c r="Y219" s="93"/>
      <c r="Z219" s="93"/>
    </row>
    <row r="220">
      <c r="A220" s="1"/>
      <c r="C220" s="44"/>
      <c r="E220" s="44"/>
      <c r="F220" s="93"/>
      <c r="G220" s="93"/>
      <c r="H220" s="93"/>
      <c r="I220" s="93"/>
      <c r="J220" s="93"/>
      <c r="K220" s="93"/>
      <c r="L220" s="93"/>
      <c r="M220" s="93"/>
      <c r="N220" s="93"/>
      <c r="O220" s="93"/>
      <c r="P220" s="93"/>
      <c r="Q220" s="93"/>
      <c r="R220" s="93"/>
      <c r="S220" s="93"/>
      <c r="T220" s="93"/>
      <c r="U220" s="93"/>
      <c r="V220" s="93"/>
      <c r="W220" s="93"/>
      <c r="X220" s="93"/>
      <c r="Y220" s="93"/>
      <c r="Z220" s="93"/>
    </row>
    <row r="221">
      <c r="A221" s="1"/>
      <c r="C221" s="44"/>
      <c r="E221" s="44"/>
      <c r="F221" s="93"/>
      <c r="G221" s="93"/>
      <c r="H221" s="93"/>
      <c r="I221" s="93"/>
      <c r="J221" s="93"/>
      <c r="K221" s="93"/>
      <c r="L221" s="93"/>
      <c r="M221" s="93"/>
      <c r="N221" s="93"/>
      <c r="O221" s="93"/>
      <c r="P221" s="93"/>
      <c r="Q221" s="93"/>
      <c r="R221" s="93"/>
      <c r="S221" s="93"/>
      <c r="T221" s="93"/>
      <c r="U221" s="93"/>
      <c r="V221" s="93"/>
      <c r="W221" s="93"/>
      <c r="X221" s="93"/>
      <c r="Y221" s="93"/>
      <c r="Z221" s="93"/>
    </row>
    <row r="222">
      <c r="A222" s="1"/>
      <c r="C222" s="44"/>
      <c r="E222" s="44"/>
      <c r="F222" s="93"/>
      <c r="G222" s="93"/>
      <c r="H222" s="93"/>
      <c r="I222" s="93"/>
      <c r="J222" s="93"/>
      <c r="K222" s="93"/>
      <c r="L222" s="93"/>
      <c r="M222" s="93"/>
      <c r="N222" s="93"/>
      <c r="O222" s="93"/>
      <c r="P222" s="93"/>
      <c r="Q222" s="93"/>
      <c r="R222" s="93"/>
      <c r="S222" s="93"/>
      <c r="T222" s="93"/>
      <c r="U222" s="93"/>
      <c r="V222" s="93"/>
      <c r="W222" s="93"/>
      <c r="X222" s="93"/>
      <c r="Y222" s="93"/>
      <c r="Z222" s="93"/>
    </row>
    <row r="223">
      <c r="A223" s="1"/>
      <c r="C223" s="44"/>
      <c r="E223" s="44"/>
      <c r="F223" s="93"/>
      <c r="G223" s="93"/>
      <c r="H223" s="93"/>
      <c r="I223" s="93"/>
      <c r="J223" s="93"/>
      <c r="K223" s="93"/>
      <c r="L223" s="93"/>
      <c r="M223" s="93"/>
      <c r="N223" s="93"/>
      <c r="O223" s="93"/>
      <c r="P223" s="93"/>
      <c r="Q223" s="93"/>
      <c r="R223" s="93"/>
      <c r="S223" s="93"/>
      <c r="T223" s="93"/>
      <c r="U223" s="93"/>
      <c r="V223" s="93"/>
      <c r="W223" s="93"/>
      <c r="X223" s="93"/>
      <c r="Y223" s="93"/>
      <c r="Z223" s="93"/>
    </row>
    <row r="224">
      <c r="A224" s="1"/>
      <c r="C224" s="44"/>
      <c r="E224" s="44"/>
      <c r="F224" s="93"/>
      <c r="G224" s="93"/>
      <c r="H224" s="93"/>
      <c r="I224" s="93"/>
      <c r="J224" s="93"/>
      <c r="K224" s="93"/>
      <c r="L224" s="93"/>
      <c r="M224" s="93"/>
      <c r="N224" s="93"/>
      <c r="O224" s="93"/>
      <c r="P224" s="93"/>
      <c r="Q224" s="93"/>
      <c r="R224" s="93"/>
      <c r="S224" s="93"/>
      <c r="T224" s="93"/>
      <c r="U224" s="93"/>
      <c r="V224" s="93"/>
      <c r="W224" s="93"/>
      <c r="X224" s="93"/>
      <c r="Y224" s="93"/>
      <c r="Z224" s="93"/>
    </row>
    <row r="225">
      <c r="A225" s="1"/>
      <c r="C225" s="44"/>
      <c r="E225" s="44"/>
      <c r="F225" s="93"/>
      <c r="G225" s="93"/>
      <c r="H225" s="93"/>
      <c r="I225" s="93"/>
      <c r="J225" s="93"/>
      <c r="K225" s="93"/>
      <c r="L225" s="93"/>
      <c r="M225" s="93"/>
      <c r="N225" s="93"/>
      <c r="O225" s="93"/>
      <c r="P225" s="93"/>
      <c r="Q225" s="93"/>
      <c r="R225" s="93"/>
      <c r="S225" s="93"/>
      <c r="T225" s="93"/>
      <c r="U225" s="93"/>
      <c r="V225" s="93"/>
      <c r="W225" s="93"/>
      <c r="X225" s="93"/>
      <c r="Y225" s="93"/>
      <c r="Z225" s="93"/>
    </row>
    <row r="226">
      <c r="A226" s="1"/>
      <c r="C226" s="44"/>
      <c r="E226" s="44"/>
      <c r="F226" s="93"/>
      <c r="G226" s="93"/>
      <c r="H226" s="93"/>
      <c r="I226" s="93"/>
      <c r="J226" s="93"/>
      <c r="K226" s="93"/>
      <c r="L226" s="93"/>
      <c r="M226" s="93"/>
      <c r="N226" s="93"/>
      <c r="O226" s="93"/>
      <c r="P226" s="93"/>
      <c r="Q226" s="93"/>
      <c r="R226" s="93"/>
      <c r="S226" s="93"/>
      <c r="T226" s="93"/>
      <c r="U226" s="93"/>
      <c r="V226" s="93"/>
      <c r="W226" s="93"/>
      <c r="X226" s="93"/>
      <c r="Y226" s="93"/>
      <c r="Z226" s="93"/>
    </row>
    <row r="227">
      <c r="A227" s="1"/>
      <c r="C227" s="44"/>
      <c r="E227" s="44"/>
      <c r="F227" s="93"/>
      <c r="G227" s="93"/>
      <c r="H227" s="93"/>
      <c r="I227" s="93"/>
      <c r="J227" s="93"/>
      <c r="K227" s="93"/>
      <c r="L227" s="93"/>
      <c r="M227" s="93"/>
      <c r="N227" s="93"/>
      <c r="O227" s="93"/>
      <c r="P227" s="93"/>
      <c r="Q227" s="93"/>
      <c r="R227" s="93"/>
      <c r="S227" s="93"/>
      <c r="T227" s="93"/>
      <c r="U227" s="93"/>
      <c r="V227" s="93"/>
      <c r="W227" s="93"/>
      <c r="X227" s="93"/>
      <c r="Y227" s="93"/>
      <c r="Z227" s="93"/>
    </row>
    <row r="228">
      <c r="A228" s="1"/>
      <c r="C228" s="44"/>
      <c r="E228" s="44"/>
      <c r="F228" s="93"/>
      <c r="G228" s="93"/>
      <c r="H228" s="93"/>
      <c r="I228" s="93"/>
      <c r="J228" s="93"/>
      <c r="K228" s="93"/>
      <c r="L228" s="93"/>
      <c r="M228" s="93"/>
      <c r="N228" s="93"/>
      <c r="O228" s="93"/>
      <c r="P228" s="93"/>
      <c r="Q228" s="93"/>
      <c r="R228" s="93"/>
      <c r="S228" s="93"/>
      <c r="T228" s="93"/>
      <c r="U228" s="93"/>
      <c r="V228" s="93"/>
      <c r="W228" s="93"/>
      <c r="X228" s="93"/>
      <c r="Y228" s="93"/>
      <c r="Z228" s="93"/>
    </row>
    <row r="229">
      <c r="A229" s="1"/>
      <c r="C229" s="44"/>
      <c r="E229" s="44"/>
      <c r="F229" s="93"/>
      <c r="G229" s="93"/>
      <c r="H229" s="93"/>
      <c r="I229" s="93"/>
      <c r="J229" s="93"/>
      <c r="K229" s="93"/>
      <c r="L229" s="93"/>
      <c r="M229" s="93"/>
      <c r="N229" s="93"/>
      <c r="O229" s="93"/>
      <c r="P229" s="93"/>
      <c r="Q229" s="93"/>
      <c r="R229" s="93"/>
      <c r="S229" s="93"/>
      <c r="T229" s="93"/>
      <c r="U229" s="93"/>
      <c r="V229" s="93"/>
      <c r="W229" s="93"/>
      <c r="X229" s="93"/>
      <c r="Y229" s="93"/>
      <c r="Z229" s="93"/>
    </row>
    <row r="230">
      <c r="A230" s="1"/>
      <c r="C230" s="44"/>
      <c r="E230" s="44"/>
      <c r="F230" s="93"/>
      <c r="G230" s="93"/>
      <c r="H230" s="93"/>
      <c r="I230" s="93"/>
      <c r="J230" s="93"/>
      <c r="K230" s="93"/>
      <c r="L230" s="93"/>
      <c r="M230" s="93"/>
      <c r="N230" s="93"/>
      <c r="O230" s="93"/>
      <c r="P230" s="93"/>
      <c r="Q230" s="93"/>
      <c r="R230" s="93"/>
      <c r="S230" s="93"/>
      <c r="T230" s="93"/>
      <c r="U230" s="93"/>
      <c r="V230" s="93"/>
      <c r="W230" s="93"/>
      <c r="X230" s="93"/>
      <c r="Y230" s="93"/>
      <c r="Z230" s="93"/>
    </row>
    <row r="231">
      <c r="A231" s="1"/>
      <c r="C231" s="44"/>
      <c r="E231" s="44"/>
      <c r="F231" s="93"/>
      <c r="G231" s="93"/>
      <c r="H231" s="93"/>
      <c r="I231" s="93"/>
      <c r="J231" s="93"/>
      <c r="K231" s="93"/>
      <c r="L231" s="93"/>
      <c r="M231" s="93"/>
      <c r="N231" s="93"/>
      <c r="O231" s="93"/>
      <c r="P231" s="93"/>
      <c r="Q231" s="93"/>
      <c r="R231" s="93"/>
      <c r="S231" s="93"/>
      <c r="T231" s="93"/>
      <c r="U231" s="93"/>
      <c r="V231" s="93"/>
      <c r="W231" s="93"/>
      <c r="X231" s="93"/>
      <c r="Y231" s="93"/>
      <c r="Z231" s="93"/>
    </row>
    <row r="232">
      <c r="A232" s="1"/>
      <c r="C232" s="44"/>
      <c r="E232" s="44"/>
      <c r="F232" s="93"/>
      <c r="G232" s="93"/>
      <c r="H232" s="93"/>
      <c r="I232" s="93"/>
      <c r="J232" s="93"/>
      <c r="K232" s="93"/>
      <c r="L232" s="93"/>
      <c r="M232" s="93"/>
      <c r="N232" s="93"/>
      <c r="O232" s="93"/>
      <c r="P232" s="93"/>
      <c r="Q232" s="93"/>
      <c r="R232" s="93"/>
      <c r="S232" s="93"/>
      <c r="T232" s="93"/>
      <c r="U232" s="93"/>
      <c r="V232" s="93"/>
      <c r="W232" s="93"/>
      <c r="X232" s="93"/>
      <c r="Y232" s="93"/>
      <c r="Z232" s="93"/>
    </row>
    <row r="233">
      <c r="A233" s="1"/>
      <c r="C233" s="44"/>
      <c r="E233" s="44"/>
      <c r="F233" s="93"/>
      <c r="G233" s="93"/>
      <c r="H233" s="93"/>
      <c r="I233" s="93"/>
      <c r="J233" s="93"/>
      <c r="K233" s="93"/>
      <c r="L233" s="93"/>
      <c r="M233" s="93"/>
      <c r="N233" s="93"/>
      <c r="O233" s="93"/>
      <c r="P233" s="93"/>
      <c r="Q233" s="93"/>
      <c r="R233" s="93"/>
      <c r="S233" s="93"/>
      <c r="T233" s="93"/>
      <c r="U233" s="93"/>
      <c r="V233" s="93"/>
      <c r="W233" s="93"/>
      <c r="X233" s="93"/>
      <c r="Y233" s="93"/>
      <c r="Z233" s="93"/>
    </row>
    <row r="234">
      <c r="A234" s="1"/>
      <c r="C234" s="44"/>
      <c r="E234" s="44"/>
      <c r="F234" s="93"/>
      <c r="G234" s="93"/>
      <c r="H234" s="93"/>
      <c r="I234" s="93"/>
      <c r="J234" s="93"/>
      <c r="K234" s="93"/>
      <c r="L234" s="93"/>
      <c r="M234" s="93"/>
      <c r="N234" s="93"/>
      <c r="O234" s="93"/>
      <c r="P234" s="93"/>
      <c r="Q234" s="93"/>
      <c r="R234" s="93"/>
      <c r="S234" s="93"/>
      <c r="T234" s="93"/>
      <c r="U234" s="93"/>
      <c r="V234" s="93"/>
      <c r="W234" s="93"/>
      <c r="X234" s="93"/>
      <c r="Y234" s="93"/>
      <c r="Z234" s="93"/>
    </row>
    <row r="235">
      <c r="A235" s="1"/>
      <c r="C235" s="44"/>
      <c r="E235" s="44"/>
      <c r="F235" s="93"/>
      <c r="G235" s="93"/>
      <c r="H235" s="93"/>
      <c r="I235" s="93"/>
      <c r="J235" s="93"/>
      <c r="K235" s="93"/>
      <c r="L235" s="93"/>
      <c r="M235" s="93"/>
      <c r="N235" s="93"/>
      <c r="O235" s="93"/>
      <c r="P235" s="93"/>
      <c r="Q235" s="93"/>
      <c r="R235" s="93"/>
      <c r="S235" s="93"/>
      <c r="T235" s="93"/>
      <c r="U235" s="93"/>
      <c r="V235" s="93"/>
      <c r="W235" s="93"/>
      <c r="X235" s="93"/>
      <c r="Y235" s="93"/>
      <c r="Z235" s="93"/>
    </row>
    <row r="236">
      <c r="A236" s="1"/>
      <c r="C236" s="44"/>
      <c r="E236" s="44"/>
      <c r="F236" s="93"/>
      <c r="G236" s="93"/>
      <c r="H236" s="93"/>
      <c r="I236" s="93"/>
      <c r="J236" s="93"/>
      <c r="K236" s="93"/>
      <c r="L236" s="93"/>
      <c r="M236" s="93"/>
      <c r="N236" s="93"/>
      <c r="O236" s="93"/>
      <c r="P236" s="93"/>
      <c r="Q236" s="93"/>
      <c r="R236" s="93"/>
      <c r="S236" s="93"/>
      <c r="T236" s="93"/>
      <c r="U236" s="93"/>
      <c r="V236" s="93"/>
      <c r="W236" s="93"/>
      <c r="X236" s="93"/>
      <c r="Y236" s="93"/>
      <c r="Z236" s="93"/>
    </row>
    <row r="237">
      <c r="A237" s="1"/>
      <c r="C237" s="44"/>
      <c r="E237" s="44"/>
      <c r="F237" s="93"/>
      <c r="G237" s="93"/>
      <c r="H237" s="93"/>
      <c r="I237" s="93"/>
      <c r="J237" s="93"/>
      <c r="K237" s="93"/>
      <c r="L237" s="93"/>
      <c r="M237" s="93"/>
      <c r="N237" s="93"/>
      <c r="O237" s="93"/>
      <c r="P237" s="93"/>
      <c r="Q237" s="93"/>
      <c r="R237" s="93"/>
      <c r="S237" s="93"/>
      <c r="T237" s="93"/>
      <c r="U237" s="93"/>
      <c r="V237" s="93"/>
      <c r="W237" s="93"/>
      <c r="X237" s="93"/>
      <c r="Y237" s="93"/>
      <c r="Z237" s="93"/>
    </row>
    <row r="238">
      <c r="A238" s="1"/>
      <c r="C238" s="44"/>
      <c r="E238" s="44"/>
      <c r="F238" s="93"/>
      <c r="G238" s="93"/>
      <c r="H238" s="93"/>
      <c r="I238" s="93"/>
      <c r="J238" s="93"/>
      <c r="K238" s="93"/>
      <c r="L238" s="93"/>
      <c r="M238" s="93"/>
      <c r="N238" s="93"/>
      <c r="O238" s="93"/>
      <c r="P238" s="93"/>
      <c r="Q238" s="93"/>
      <c r="R238" s="93"/>
      <c r="S238" s="93"/>
      <c r="T238" s="93"/>
      <c r="U238" s="93"/>
      <c r="V238" s="93"/>
      <c r="W238" s="93"/>
      <c r="X238" s="93"/>
      <c r="Y238" s="93"/>
      <c r="Z238" s="93"/>
    </row>
    <row r="239">
      <c r="A239" s="1"/>
      <c r="C239" s="44"/>
      <c r="E239" s="44"/>
      <c r="F239" s="93"/>
      <c r="G239" s="93"/>
      <c r="H239" s="93"/>
      <c r="I239" s="93"/>
      <c r="J239" s="93"/>
      <c r="K239" s="93"/>
      <c r="L239" s="93"/>
      <c r="M239" s="93"/>
      <c r="N239" s="93"/>
      <c r="O239" s="93"/>
      <c r="P239" s="93"/>
      <c r="Q239" s="93"/>
      <c r="R239" s="93"/>
      <c r="S239" s="93"/>
      <c r="T239" s="93"/>
      <c r="U239" s="93"/>
      <c r="V239" s="93"/>
      <c r="W239" s="93"/>
      <c r="X239" s="93"/>
      <c r="Y239" s="93"/>
      <c r="Z239" s="93"/>
    </row>
    <row r="240">
      <c r="A240" s="1"/>
      <c r="C240" s="44"/>
      <c r="E240" s="44"/>
      <c r="F240" s="93"/>
      <c r="G240" s="93"/>
      <c r="H240" s="93"/>
      <c r="I240" s="93"/>
      <c r="J240" s="93"/>
      <c r="K240" s="93"/>
      <c r="L240" s="93"/>
      <c r="M240" s="93"/>
      <c r="N240" s="93"/>
      <c r="O240" s="93"/>
      <c r="P240" s="93"/>
      <c r="Q240" s="93"/>
      <c r="R240" s="93"/>
      <c r="S240" s="93"/>
      <c r="T240" s="93"/>
      <c r="U240" s="93"/>
      <c r="V240" s="93"/>
      <c r="W240" s="93"/>
      <c r="X240" s="93"/>
      <c r="Y240" s="93"/>
      <c r="Z240" s="93"/>
    </row>
    <row r="241">
      <c r="A241" s="1"/>
      <c r="C241" s="44"/>
      <c r="E241" s="44"/>
      <c r="F241" s="93"/>
      <c r="G241" s="93"/>
      <c r="H241" s="93"/>
      <c r="I241" s="93"/>
      <c r="J241" s="93"/>
      <c r="K241" s="93"/>
      <c r="L241" s="93"/>
      <c r="M241" s="93"/>
      <c r="N241" s="93"/>
      <c r="O241" s="93"/>
      <c r="P241" s="93"/>
      <c r="Q241" s="93"/>
      <c r="R241" s="93"/>
      <c r="S241" s="93"/>
      <c r="T241" s="93"/>
      <c r="U241" s="93"/>
      <c r="V241" s="93"/>
      <c r="W241" s="93"/>
      <c r="X241" s="93"/>
      <c r="Y241" s="93"/>
      <c r="Z241" s="93"/>
    </row>
    <row r="242">
      <c r="A242" s="1"/>
      <c r="C242" s="44"/>
      <c r="E242" s="44"/>
      <c r="F242" s="93"/>
      <c r="G242" s="93"/>
      <c r="H242" s="93"/>
      <c r="I242" s="93"/>
      <c r="J242" s="93"/>
      <c r="K242" s="93"/>
      <c r="L242" s="93"/>
      <c r="M242" s="93"/>
      <c r="N242" s="93"/>
      <c r="O242" s="93"/>
      <c r="P242" s="93"/>
      <c r="Q242" s="93"/>
      <c r="R242" s="93"/>
      <c r="S242" s="93"/>
      <c r="T242" s="93"/>
      <c r="U242" s="93"/>
      <c r="V242" s="93"/>
      <c r="W242" s="93"/>
      <c r="X242" s="93"/>
      <c r="Y242" s="93"/>
      <c r="Z242" s="93"/>
    </row>
    <row r="243">
      <c r="A243" s="1"/>
      <c r="C243" s="44"/>
      <c r="E243" s="44"/>
      <c r="F243" s="93"/>
      <c r="G243" s="93"/>
      <c r="H243" s="93"/>
      <c r="I243" s="93"/>
      <c r="J243" s="93"/>
      <c r="K243" s="93"/>
      <c r="L243" s="93"/>
      <c r="M243" s="93"/>
      <c r="N243" s="93"/>
      <c r="O243" s="93"/>
      <c r="P243" s="93"/>
      <c r="Q243" s="93"/>
      <c r="R243" s="93"/>
      <c r="S243" s="93"/>
      <c r="T243" s="93"/>
      <c r="U243" s="93"/>
      <c r="V243" s="93"/>
      <c r="W243" s="93"/>
      <c r="X243" s="93"/>
      <c r="Y243" s="93"/>
      <c r="Z243" s="93"/>
    </row>
    <row r="244">
      <c r="A244" s="1"/>
      <c r="C244" s="44"/>
      <c r="E244" s="44"/>
      <c r="F244" s="93"/>
      <c r="G244" s="93"/>
      <c r="H244" s="93"/>
      <c r="I244" s="93"/>
      <c r="J244" s="93"/>
      <c r="K244" s="93"/>
      <c r="L244" s="93"/>
      <c r="M244" s="93"/>
      <c r="N244" s="93"/>
      <c r="O244" s="93"/>
      <c r="P244" s="93"/>
      <c r="Q244" s="93"/>
      <c r="R244" s="93"/>
      <c r="S244" s="93"/>
      <c r="T244" s="93"/>
      <c r="U244" s="93"/>
      <c r="V244" s="93"/>
      <c r="W244" s="93"/>
      <c r="X244" s="93"/>
      <c r="Y244" s="93"/>
      <c r="Z244" s="93"/>
    </row>
    <row r="245">
      <c r="A245" s="1"/>
      <c r="C245" s="44"/>
      <c r="E245" s="44"/>
      <c r="F245" s="93"/>
      <c r="G245" s="93"/>
      <c r="H245" s="93"/>
      <c r="I245" s="93"/>
      <c r="J245" s="93"/>
      <c r="K245" s="93"/>
      <c r="L245" s="93"/>
      <c r="M245" s="93"/>
      <c r="N245" s="93"/>
      <c r="O245" s="93"/>
      <c r="P245" s="93"/>
      <c r="Q245" s="93"/>
      <c r="R245" s="93"/>
      <c r="S245" s="93"/>
      <c r="T245" s="93"/>
      <c r="U245" s="93"/>
      <c r="V245" s="93"/>
      <c r="W245" s="93"/>
      <c r="X245" s="93"/>
      <c r="Y245" s="93"/>
      <c r="Z245" s="93"/>
    </row>
    <row r="246">
      <c r="A246" s="1"/>
      <c r="C246" s="44"/>
      <c r="E246" s="44"/>
      <c r="F246" s="93"/>
      <c r="G246" s="93"/>
      <c r="H246" s="93"/>
      <c r="I246" s="93"/>
      <c r="J246" s="93"/>
      <c r="K246" s="93"/>
      <c r="L246" s="93"/>
      <c r="M246" s="93"/>
      <c r="N246" s="93"/>
      <c r="O246" s="93"/>
      <c r="P246" s="93"/>
      <c r="Q246" s="93"/>
      <c r="R246" s="93"/>
      <c r="S246" s="93"/>
      <c r="T246" s="93"/>
      <c r="U246" s="93"/>
      <c r="V246" s="93"/>
      <c r="W246" s="93"/>
      <c r="X246" s="93"/>
      <c r="Y246" s="93"/>
      <c r="Z246" s="93"/>
    </row>
    <row r="247">
      <c r="A247" s="1"/>
      <c r="C247" s="44"/>
      <c r="E247" s="44"/>
      <c r="F247" s="93"/>
      <c r="G247" s="93"/>
      <c r="H247" s="93"/>
      <c r="I247" s="93"/>
      <c r="J247" s="93"/>
      <c r="K247" s="93"/>
      <c r="L247" s="93"/>
      <c r="M247" s="93"/>
      <c r="N247" s="93"/>
      <c r="O247" s="93"/>
      <c r="P247" s="93"/>
      <c r="Q247" s="93"/>
      <c r="R247" s="93"/>
      <c r="S247" s="93"/>
      <c r="T247" s="93"/>
      <c r="U247" s="93"/>
      <c r="V247" s="93"/>
      <c r="W247" s="93"/>
      <c r="X247" s="93"/>
      <c r="Y247" s="93"/>
      <c r="Z247" s="93"/>
    </row>
    <row r="248">
      <c r="A248" s="1"/>
      <c r="C248" s="44"/>
      <c r="E248" s="44"/>
      <c r="F248" s="93"/>
      <c r="G248" s="93"/>
      <c r="H248" s="93"/>
      <c r="I248" s="93"/>
      <c r="J248" s="93"/>
      <c r="K248" s="93"/>
      <c r="L248" s="93"/>
      <c r="M248" s="93"/>
      <c r="N248" s="93"/>
      <c r="O248" s="93"/>
      <c r="P248" s="93"/>
      <c r="Q248" s="93"/>
      <c r="R248" s="93"/>
      <c r="S248" s="93"/>
      <c r="T248" s="93"/>
      <c r="U248" s="93"/>
      <c r="V248" s="93"/>
      <c r="W248" s="93"/>
      <c r="X248" s="93"/>
      <c r="Y248" s="93"/>
      <c r="Z248" s="93"/>
    </row>
    <row r="249">
      <c r="A249" s="1"/>
      <c r="C249" s="44"/>
      <c r="E249" s="44"/>
      <c r="F249" s="93"/>
      <c r="G249" s="93"/>
      <c r="H249" s="93"/>
      <c r="I249" s="93"/>
      <c r="J249" s="93"/>
      <c r="K249" s="93"/>
      <c r="L249" s="93"/>
      <c r="M249" s="93"/>
      <c r="N249" s="93"/>
      <c r="O249" s="93"/>
      <c r="P249" s="93"/>
      <c r="Q249" s="93"/>
      <c r="R249" s="93"/>
      <c r="S249" s="93"/>
      <c r="T249" s="93"/>
      <c r="U249" s="93"/>
      <c r="V249" s="93"/>
      <c r="W249" s="93"/>
      <c r="X249" s="93"/>
      <c r="Y249" s="93"/>
      <c r="Z249" s="93"/>
    </row>
    <row r="250">
      <c r="A250" s="1"/>
      <c r="C250" s="44"/>
      <c r="E250" s="44"/>
      <c r="F250" s="93"/>
      <c r="G250" s="93"/>
      <c r="H250" s="93"/>
      <c r="I250" s="93"/>
      <c r="J250" s="93"/>
      <c r="K250" s="93"/>
      <c r="L250" s="93"/>
      <c r="M250" s="93"/>
      <c r="N250" s="93"/>
      <c r="O250" s="93"/>
      <c r="P250" s="93"/>
      <c r="Q250" s="93"/>
      <c r="R250" s="93"/>
      <c r="S250" s="93"/>
      <c r="T250" s="93"/>
      <c r="U250" s="93"/>
      <c r="V250" s="93"/>
      <c r="W250" s="93"/>
      <c r="X250" s="93"/>
      <c r="Y250" s="93"/>
      <c r="Z250" s="93"/>
    </row>
    <row r="251">
      <c r="A251" s="1"/>
      <c r="C251" s="44"/>
      <c r="E251" s="44"/>
      <c r="F251" s="93"/>
      <c r="G251" s="93"/>
      <c r="H251" s="93"/>
      <c r="I251" s="93"/>
      <c r="J251" s="93"/>
      <c r="K251" s="93"/>
      <c r="L251" s="93"/>
      <c r="M251" s="93"/>
      <c r="N251" s="93"/>
      <c r="O251" s="93"/>
      <c r="P251" s="93"/>
      <c r="Q251" s="93"/>
      <c r="R251" s="93"/>
      <c r="S251" s="93"/>
      <c r="T251" s="93"/>
      <c r="U251" s="93"/>
      <c r="V251" s="93"/>
      <c r="W251" s="93"/>
      <c r="X251" s="93"/>
      <c r="Y251" s="93"/>
      <c r="Z251" s="93"/>
    </row>
    <row r="252">
      <c r="A252" s="1"/>
      <c r="C252" s="44"/>
      <c r="E252" s="44"/>
      <c r="F252" s="93"/>
      <c r="G252" s="93"/>
      <c r="H252" s="93"/>
      <c r="I252" s="93"/>
      <c r="J252" s="93"/>
      <c r="K252" s="93"/>
      <c r="L252" s="93"/>
      <c r="M252" s="93"/>
      <c r="N252" s="93"/>
      <c r="O252" s="93"/>
      <c r="P252" s="93"/>
      <c r="Q252" s="93"/>
      <c r="R252" s="93"/>
      <c r="S252" s="93"/>
      <c r="T252" s="93"/>
      <c r="U252" s="93"/>
      <c r="V252" s="93"/>
      <c r="W252" s="93"/>
      <c r="X252" s="93"/>
      <c r="Y252" s="93"/>
      <c r="Z252" s="93"/>
    </row>
    <row r="253">
      <c r="A253" s="1"/>
      <c r="C253" s="44"/>
      <c r="E253" s="44"/>
      <c r="F253" s="93"/>
      <c r="G253" s="93"/>
      <c r="H253" s="93"/>
      <c r="I253" s="93"/>
      <c r="J253" s="93"/>
      <c r="K253" s="93"/>
      <c r="L253" s="93"/>
      <c r="M253" s="93"/>
      <c r="N253" s="93"/>
      <c r="O253" s="93"/>
      <c r="P253" s="93"/>
      <c r="Q253" s="93"/>
      <c r="R253" s="93"/>
      <c r="S253" s="93"/>
      <c r="T253" s="93"/>
      <c r="U253" s="93"/>
      <c r="V253" s="93"/>
      <c r="W253" s="93"/>
      <c r="X253" s="93"/>
      <c r="Y253" s="93"/>
      <c r="Z253" s="93"/>
    </row>
    <row r="254">
      <c r="A254" s="1"/>
      <c r="C254" s="44"/>
      <c r="E254" s="44"/>
      <c r="F254" s="93"/>
      <c r="G254" s="93"/>
      <c r="H254" s="93"/>
      <c r="I254" s="93"/>
      <c r="J254" s="93"/>
      <c r="K254" s="93"/>
      <c r="L254" s="93"/>
      <c r="M254" s="93"/>
      <c r="N254" s="93"/>
      <c r="O254" s="93"/>
      <c r="P254" s="93"/>
      <c r="Q254" s="93"/>
      <c r="R254" s="93"/>
      <c r="S254" s="93"/>
      <c r="T254" s="93"/>
      <c r="U254" s="93"/>
      <c r="V254" s="93"/>
      <c r="W254" s="93"/>
      <c r="X254" s="93"/>
      <c r="Y254" s="93"/>
      <c r="Z254" s="93"/>
    </row>
    <row r="255">
      <c r="A255" s="1"/>
      <c r="C255" s="44"/>
      <c r="E255" s="44"/>
      <c r="F255" s="93"/>
      <c r="G255" s="93"/>
      <c r="H255" s="93"/>
      <c r="I255" s="93"/>
      <c r="J255" s="93"/>
      <c r="K255" s="93"/>
      <c r="L255" s="93"/>
      <c r="M255" s="93"/>
      <c r="N255" s="93"/>
      <c r="O255" s="93"/>
      <c r="P255" s="93"/>
      <c r="Q255" s="93"/>
      <c r="R255" s="93"/>
      <c r="S255" s="93"/>
      <c r="T255" s="93"/>
      <c r="U255" s="93"/>
      <c r="V255" s="93"/>
      <c r="W255" s="93"/>
      <c r="X255" s="93"/>
      <c r="Y255" s="93"/>
      <c r="Z255" s="93"/>
    </row>
    <row r="256">
      <c r="A256" s="1"/>
      <c r="C256" s="44"/>
      <c r="E256" s="44"/>
      <c r="F256" s="93"/>
      <c r="G256" s="93"/>
      <c r="H256" s="93"/>
      <c r="I256" s="93"/>
      <c r="J256" s="93"/>
      <c r="K256" s="93"/>
      <c r="L256" s="93"/>
      <c r="M256" s="93"/>
      <c r="N256" s="93"/>
      <c r="O256" s="93"/>
      <c r="P256" s="93"/>
      <c r="Q256" s="93"/>
      <c r="R256" s="93"/>
      <c r="S256" s="93"/>
      <c r="T256" s="93"/>
      <c r="U256" s="93"/>
      <c r="V256" s="93"/>
      <c r="W256" s="93"/>
      <c r="X256" s="93"/>
      <c r="Y256" s="93"/>
      <c r="Z256" s="93"/>
    </row>
    <row r="257">
      <c r="A257" s="1"/>
      <c r="C257" s="44"/>
      <c r="E257" s="44"/>
      <c r="F257" s="93"/>
      <c r="G257" s="93"/>
      <c r="H257" s="93"/>
      <c r="I257" s="93"/>
      <c r="J257" s="93"/>
      <c r="K257" s="93"/>
      <c r="L257" s="93"/>
      <c r="M257" s="93"/>
      <c r="N257" s="93"/>
      <c r="O257" s="93"/>
      <c r="P257" s="93"/>
      <c r="Q257" s="93"/>
      <c r="R257" s="93"/>
      <c r="S257" s="93"/>
      <c r="T257" s="93"/>
      <c r="U257" s="93"/>
      <c r="V257" s="93"/>
      <c r="W257" s="93"/>
      <c r="X257" s="93"/>
      <c r="Y257" s="93"/>
      <c r="Z257" s="93"/>
    </row>
    <row r="258">
      <c r="A258" s="1"/>
      <c r="C258" s="44"/>
      <c r="E258" s="44"/>
      <c r="F258" s="93"/>
      <c r="G258" s="93"/>
      <c r="H258" s="93"/>
      <c r="I258" s="93"/>
      <c r="J258" s="93"/>
      <c r="K258" s="93"/>
      <c r="L258" s="93"/>
      <c r="M258" s="93"/>
      <c r="N258" s="93"/>
      <c r="O258" s="93"/>
      <c r="P258" s="93"/>
      <c r="Q258" s="93"/>
      <c r="R258" s="93"/>
      <c r="S258" s="93"/>
      <c r="T258" s="93"/>
      <c r="U258" s="93"/>
      <c r="V258" s="93"/>
      <c r="W258" s="93"/>
      <c r="X258" s="93"/>
      <c r="Y258" s="93"/>
      <c r="Z258" s="93"/>
    </row>
    <row r="259">
      <c r="A259" s="1"/>
      <c r="C259" s="44"/>
      <c r="E259" s="44"/>
      <c r="F259" s="93"/>
      <c r="G259" s="93"/>
      <c r="H259" s="93"/>
      <c r="I259" s="93"/>
      <c r="J259" s="93"/>
      <c r="K259" s="93"/>
      <c r="L259" s="93"/>
      <c r="M259" s="93"/>
      <c r="N259" s="93"/>
      <c r="O259" s="93"/>
      <c r="P259" s="93"/>
      <c r="Q259" s="93"/>
      <c r="R259" s="93"/>
      <c r="S259" s="93"/>
      <c r="T259" s="93"/>
      <c r="U259" s="93"/>
      <c r="V259" s="93"/>
      <c r="W259" s="93"/>
      <c r="X259" s="93"/>
      <c r="Y259" s="93"/>
      <c r="Z259" s="93"/>
    </row>
    <row r="260">
      <c r="A260" s="1"/>
      <c r="C260" s="44"/>
      <c r="E260" s="44"/>
      <c r="F260" s="93"/>
      <c r="G260" s="93"/>
      <c r="H260" s="93"/>
      <c r="I260" s="93"/>
      <c r="J260" s="93"/>
      <c r="K260" s="93"/>
      <c r="L260" s="93"/>
      <c r="M260" s="93"/>
      <c r="N260" s="93"/>
      <c r="O260" s="93"/>
      <c r="P260" s="93"/>
      <c r="Q260" s="93"/>
      <c r="R260" s="93"/>
      <c r="S260" s="93"/>
      <c r="T260" s="93"/>
      <c r="U260" s="93"/>
      <c r="V260" s="93"/>
      <c r="W260" s="93"/>
      <c r="X260" s="93"/>
      <c r="Y260" s="93"/>
      <c r="Z260" s="93"/>
    </row>
    <row r="261">
      <c r="A261" s="1"/>
      <c r="C261" s="44"/>
      <c r="E261" s="44"/>
      <c r="F261" s="93"/>
      <c r="G261" s="93"/>
      <c r="H261" s="93"/>
      <c r="I261" s="93"/>
      <c r="J261" s="93"/>
      <c r="K261" s="93"/>
      <c r="L261" s="93"/>
      <c r="M261" s="93"/>
      <c r="N261" s="93"/>
      <c r="O261" s="93"/>
      <c r="P261" s="93"/>
      <c r="Q261" s="93"/>
      <c r="R261" s="93"/>
      <c r="S261" s="93"/>
      <c r="T261" s="93"/>
      <c r="U261" s="93"/>
      <c r="V261" s="93"/>
      <c r="W261" s="93"/>
      <c r="X261" s="93"/>
      <c r="Y261" s="93"/>
      <c r="Z261" s="93"/>
    </row>
    <row r="262">
      <c r="A262" s="1"/>
      <c r="C262" s="44"/>
      <c r="E262" s="44"/>
      <c r="F262" s="93"/>
      <c r="G262" s="93"/>
      <c r="H262" s="93"/>
      <c r="I262" s="93"/>
      <c r="J262" s="93"/>
      <c r="K262" s="93"/>
      <c r="L262" s="93"/>
      <c r="M262" s="93"/>
      <c r="N262" s="93"/>
      <c r="O262" s="93"/>
      <c r="P262" s="93"/>
      <c r="Q262" s="93"/>
      <c r="R262" s="93"/>
      <c r="S262" s="93"/>
      <c r="T262" s="93"/>
      <c r="U262" s="93"/>
      <c r="V262" s="93"/>
      <c r="W262" s="93"/>
      <c r="X262" s="93"/>
      <c r="Y262" s="93"/>
      <c r="Z262" s="93"/>
    </row>
    <row r="263">
      <c r="A263" s="1"/>
      <c r="C263" s="44"/>
      <c r="E263" s="44"/>
      <c r="F263" s="93"/>
      <c r="G263" s="93"/>
      <c r="H263" s="93"/>
      <c r="I263" s="93"/>
      <c r="J263" s="93"/>
      <c r="K263" s="93"/>
      <c r="L263" s="93"/>
      <c r="M263" s="93"/>
      <c r="N263" s="93"/>
      <c r="O263" s="93"/>
      <c r="P263" s="93"/>
      <c r="Q263" s="93"/>
      <c r="R263" s="93"/>
      <c r="S263" s="93"/>
      <c r="T263" s="93"/>
      <c r="U263" s="93"/>
      <c r="V263" s="93"/>
      <c r="W263" s="93"/>
      <c r="X263" s="93"/>
      <c r="Y263" s="93"/>
      <c r="Z263" s="93"/>
    </row>
    <row r="264">
      <c r="A264" s="1"/>
      <c r="C264" s="44"/>
      <c r="E264" s="44"/>
      <c r="F264" s="93"/>
      <c r="G264" s="93"/>
      <c r="H264" s="93"/>
      <c r="I264" s="93"/>
      <c r="J264" s="93"/>
      <c r="K264" s="93"/>
      <c r="L264" s="93"/>
      <c r="M264" s="93"/>
      <c r="N264" s="93"/>
      <c r="O264" s="93"/>
      <c r="P264" s="93"/>
      <c r="Q264" s="93"/>
      <c r="R264" s="93"/>
      <c r="S264" s="93"/>
      <c r="T264" s="93"/>
      <c r="U264" s="93"/>
      <c r="V264" s="93"/>
      <c r="W264" s="93"/>
      <c r="X264" s="93"/>
      <c r="Y264" s="93"/>
      <c r="Z264" s="93"/>
    </row>
    <row r="265">
      <c r="A265" s="1"/>
      <c r="C265" s="44"/>
      <c r="E265" s="44"/>
      <c r="F265" s="93"/>
      <c r="G265" s="93"/>
      <c r="H265" s="93"/>
      <c r="I265" s="93"/>
      <c r="J265" s="93"/>
      <c r="K265" s="93"/>
      <c r="L265" s="93"/>
      <c r="M265" s="93"/>
      <c r="N265" s="93"/>
      <c r="O265" s="93"/>
      <c r="P265" s="93"/>
      <c r="Q265" s="93"/>
      <c r="R265" s="93"/>
      <c r="S265" s="93"/>
      <c r="T265" s="93"/>
      <c r="U265" s="93"/>
      <c r="V265" s="93"/>
      <c r="W265" s="93"/>
      <c r="X265" s="93"/>
      <c r="Y265" s="93"/>
      <c r="Z265" s="93"/>
    </row>
    <row r="266">
      <c r="A266" s="1"/>
      <c r="C266" s="44"/>
      <c r="E266" s="44"/>
      <c r="F266" s="93"/>
      <c r="G266" s="93"/>
      <c r="H266" s="93"/>
      <c r="I266" s="93"/>
      <c r="J266" s="93"/>
      <c r="K266" s="93"/>
      <c r="L266" s="93"/>
      <c r="M266" s="93"/>
      <c r="N266" s="93"/>
      <c r="O266" s="93"/>
      <c r="P266" s="93"/>
      <c r="Q266" s="93"/>
      <c r="R266" s="93"/>
      <c r="S266" s="93"/>
      <c r="T266" s="93"/>
      <c r="U266" s="93"/>
      <c r="V266" s="93"/>
      <c r="W266" s="93"/>
      <c r="X266" s="93"/>
      <c r="Y266" s="93"/>
      <c r="Z266" s="93"/>
    </row>
    <row r="267">
      <c r="A267" s="1"/>
      <c r="C267" s="44"/>
      <c r="E267" s="44"/>
      <c r="F267" s="93"/>
      <c r="G267" s="93"/>
      <c r="H267" s="93"/>
      <c r="I267" s="93"/>
      <c r="J267" s="93"/>
      <c r="K267" s="93"/>
      <c r="L267" s="93"/>
      <c r="M267" s="93"/>
      <c r="N267" s="93"/>
      <c r="O267" s="93"/>
      <c r="P267" s="93"/>
      <c r="Q267" s="93"/>
      <c r="R267" s="93"/>
      <c r="S267" s="93"/>
      <c r="T267" s="93"/>
      <c r="U267" s="93"/>
      <c r="V267" s="93"/>
      <c r="W267" s="93"/>
      <c r="X267" s="93"/>
      <c r="Y267" s="93"/>
      <c r="Z267" s="93"/>
    </row>
    <row r="268">
      <c r="A268" s="1"/>
      <c r="C268" s="44"/>
      <c r="E268" s="44"/>
      <c r="F268" s="93"/>
      <c r="G268" s="93"/>
      <c r="H268" s="93"/>
      <c r="I268" s="93"/>
      <c r="J268" s="93"/>
      <c r="K268" s="93"/>
      <c r="L268" s="93"/>
      <c r="M268" s="93"/>
      <c r="N268" s="93"/>
      <c r="O268" s="93"/>
      <c r="P268" s="93"/>
      <c r="Q268" s="93"/>
      <c r="R268" s="93"/>
      <c r="S268" s="93"/>
      <c r="T268" s="93"/>
      <c r="U268" s="93"/>
      <c r="V268" s="93"/>
      <c r="W268" s="93"/>
      <c r="X268" s="93"/>
      <c r="Y268" s="93"/>
      <c r="Z268" s="93"/>
    </row>
    <row r="269">
      <c r="A269" s="1"/>
      <c r="C269" s="44"/>
      <c r="E269" s="44"/>
      <c r="F269" s="93"/>
      <c r="G269" s="93"/>
      <c r="H269" s="93"/>
      <c r="I269" s="93"/>
      <c r="J269" s="93"/>
      <c r="K269" s="93"/>
      <c r="L269" s="93"/>
      <c r="M269" s="93"/>
      <c r="N269" s="93"/>
      <c r="O269" s="93"/>
      <c r="P269" s="93"/>
      <c r="Q269" s="93"/>
      <c r="R269" s="93"/>
      <c r="S269" s="93"/>
      <c r="T269" s="93"/>
      <c r="U269" s="93"/>
      <c r="V269" s="93"/>
      <c r="W269" s="93"/>
      <c r="X269" s="93"/>
      <c r="Y269" s="93"/>
      <c r="Z269" s="93"/>
    </row>
    <row r="270">
      <c r="A270" s="1"/>
      <c r="C270" s="44"/>
      <c r="E270" s="44"/>
      <c r="F270" s="93"/>
      <c r="G270" s="93"/>
      <c r="H270" s="93"/>
      <c r="I270" s="93"/>
      <c r="J270" s="93"/>
      <c r="K270" s="93"/>
      <c r="L270" s="93"/>
      <c r="M270" s="93"/>
      <c r="N270" s="93"/>
      <c r="O270" s="93"/>
      <c r="P270" s="93"/>
      <c r="Q270" s="93"/>
      <c r="R270" s="93"/>
      <c r="S270" s="93"/>
      <c r="T270" s="93"/>
      <c r="U270" s="93"/>
      <c r="V270" s="93"/>
      <c r="W270" s="93"/>
      <c r="X270" s="93"/>
      <c r="Y270" s="93"/>
      <c r="Z270" s="93"/>
    </row>
    <row r="271">
      <c r="A271" s="1"/>
      <c r="C271" s="44"/>
      <c r="E271" s="44"/>
      <c r="F271" s="93"/>
      <c r="G271" s="93"/>
      <c r="H271" s="93"/>
      <c r="I271" s="93"/>
      <c r="J271" s="93"/>
      <c r="K271" s="93"/>
      <c r="L271" s="93"/>
      <c r="M271" s="93"/>
      <c r="N271" s="93"/>
      <c r="O271" s="93"/>
      <c r="P271" s="93"/>
      <c r="Q271" s="93"/>
      <c r="R271" s="93"/>
      <c r="S271" s="93"/>
      <c r="T271" s="93"/>
      <c r="U271" s="93"/>
      <c r="V271" s="93"/>
      <c r="W271" s="93"/>
      <c r="X271" s="93"/>
      <c r="Y271" s="93"/>
      <c r="Z271" s="93"/>
    </row>
    <row r="272">
      <c r="A272" s="1"/>
      <c r="C272" s="44"/>
      <c r="E272" s="44"/>
      <c r="F272" s="93"/>
      <c r="G272" s="93"/>
      <c r="H272" s="93"/>
      <c r="I272" s="93"/>
      <c r="J272" s="93"/>
      <c r="K272" s="93"/>
      <c r="L272" s="93"/>
      <c r="M272" s="93"/>
      <c r="N272" s="93"/>
      <c r="O272" s="93"/>
      <c r="P272" s="93"/>
      <c r="Q272" s="93"/>
      <c r="R272" s="93"/>
      <c r="S272" s="93"/>
      <c r="T272" s="93"/>
      <c r="U272" s="93"/>
      <c r="V272" s="93"/>
      <c r="W272" s="93"/>
      <c r="X272" s="93"/>
      <c r="Y272" s="93"/>
      <c r="Z272" s="93"/>
    </row>
    <row r="273">
      <c r="A273" s="1"/>
      <c r="C273" s="44"/>
      <c r="E273" s="44"/>
      <c r="F273" s="93"/>
      <c r="G273" s="93"/>
      <c r="H273" s="93"/>
      <c r="I273" s="93"/>
      <c r="J273" s="93"/>
      <c r="K273" s="93"/>
      <c r="L273" s="93"/>
      <c r="M273" s="93"/>
      <c r="N273" s="93"/>
      <c r="O273" s="93"/>
      <c r="P273" s="93"/>
      <c r="Q273" s="93"/>
      <c r="R273" s="93"/>
      <c r="S273" s="93"/>
      <c r="T273" s="93"/>
      <c r="U273" s="93"/>
      <c r="V273" s="93"/>
      <c r="W273" s="93"/>
      <c r="X273" s="93"/>
      <c r="Y273" s="93"/>
      <c r="Z273" s="93"/>
    </row>
    <row r="274">
      <c r="A274" s="1"/>
      <c r="C274" s="44"/>
      <c r="E274" s="44"/>
      <c r="F274" s="93"/>
      <c r="G274" s="93"/>
      <c r="H274" s="93"/>
      <c r="I274" s="93"/>
      <c r="J274" s="93"/>
      <c r="K274" s="93"/>
      <c r="L274" s="93"/>
      <c r="M274" s="93"/>
      <c r="N274" s="93"/>
      <c r="O274" s="93"/>
      <c r="P274" s="93"/>
      <c r="Q274" s="93"/>
      <c r="R274" s="93"/>
      <c r="S274" s="93"/>
      <c r="T274" s="93"/>
      <c r="U274" s="93"/>
      <c r="V274" s="93"/>
      <c r="W274" s="93"/>
      <c r="X274" s="93"/>
      <c r="Y274" s="93"/>
      <c r="Z274" s="93"/>
    </row>
    <row r="275">
      <c r="A275" s="1"/>
      <c r="C275" s="44"/>
      <c r="E275" s="44"/>
      <c r="F275" s="93"/>
      <c r="G275" s="93"/>
      <c r="H275" s="93"/>
      <c r="I275" s="93"/>
      <c r="J275" s="93"/>
      <c r="K275" s="93"/>
      <c r="L275" s="93"/>
      <c r="M275" s="93"/>
      <c r="N275" s="93"/>
      <c r="O275" s="93"/>
      <c r="P275" s="93"/>
      <c r="Q275" s="93"/>
      <c r="R275" s="93"/>
      <c r="S275" s="93"/>
      <c r="T275" s="93"/>
      <c r="U275" s="93"/>
      <c r="V275" s="93"/>
      <c r="W275" s="93"/>
      <c r="X275" s="93"/>
      <c r="Y275" s="93"/>
      <c r="Z275" s="93"/>
    </row>
    <row r="276">
      <c r="A276" s="1"/>
      <c r="C276" s="44"/>
      <c r="E276" s="44"/>
      <c r="F276" s="93"/>
      <c r="G276" s="93"/>
      <c r="H276" s="93"/>
      <c r="I276" s="93"/>
      <c r="J276" s="93"/>
      <c r="K276" s="93"/>
      <c r="L276" s="93"/>
      <c r="M276" s="93"/>
      <c r="N276" s="93"/>
      <c r="O276" s="93"/>
      <c r="P276" s="93"/>
      <c r="Q276" s="93"/>
      <c r="R276" s="93"/>
      <c r="S276" s="93"/>
      <c r="T276" s="93"/>
      <c r="U276" s="93"/>
      <c r="V276" s="93"/>
      <c r="W276" s="93"/>
      <c r="X276" s="93"/>
      <c r="Y276" s="93"/>
      <c r="Z276" s="93"/>
    </row>
    <row r="277">
      <c r="A277" s="1"/>
      <c r="C277" s="44"/>
      <c r="E277" s="44"/>
      <c r="F277" s="93"/>
      <c r="G277" s="93"/>
      <c r="H277" s="93"/>
      <c r="I277" s="93"/>
      <c r="J277" s="93"/>
      <c r="K277" s="93"/>
      <c r="L277" s="93"/>
      <c r="M277" s="93"/>
      <c r="N277" s="93"/>
      <c r="O277" s="93"/>
      <c r="P277" s="93"/>
      <c r="Q277" s="93"/>
      <c r="R277" s="93"/>
      <c r="S277" s="93"/>
      <c r="T277" s="93"/>
      <c r="U277" s="93"/>
      <c r="V277" s="93"/>
      <c r="W277" s="93"/>
      <c r="X277" s="93"/>
      <c r="Y277" s="93"/>
      <c r="Z277" s="93"/>
    </row>
    <row r="278">
      <c r="A278" s="1"/>
      <c r="C278" s="44"/>
      <c r="E278" s="44"/>
      <c r="F278" s="93"/>
      <c r="G278" s="93"/>
      <c r="H278" s="93"/>
      <c r="I278" s="93"/>
      <c r="J278" s="93"/>
      <c r="K278" s="93"/>
      <c r="L278" s="93"/>
      <c r="M278" s="93"/>
      <c r="N278" s="93"/>
      <c r="O278" s="93"/>
      <c r="P278" s="93"/>
      <c r="Q278" s="93"/>
      <c r="R278" s="93"/>
      <c r="S278" s="93"/>
      <c r="T278" s="93"/>
      <c r="U278" s="93"/>
      <c r="V278" s="93"/>
      <c r="W278" s="93"/>
      <c r="X278" s="93"/>
      <c r="Y278" s="93"/>
      <c r="Z278" s="93"/>
    </row>
    <row r="279">
      <c r="A279" s="1"/>
      <c r="C279" s="44"/>
      <c r="E279" s="44"/>
      <c r="F279" s="93"/>
      <c r="G279" s="93"/>
      <c r="H279" s="93"/>
      <c r="I279" s="93"/>
      <c r="J279" s="93"/>
      <c r="K279" s="93"/>
      <c r="L279" s="93"/>
      <c r="M279" s="93"/>
      <c r="N279" s="93"/>
      <c r="O279" s="93"/>
      <c r="P279" s="93"/>
      <c r="Q279" s="93"/>
      <c r="R279" s="93"/>
      <c r="S279" s="93"/>
      <c r="T279" s="93"/>
      <c r="U279" s="93"/>
      <c r="V279" s="93"/>
      <c r="W279" s="93"/>
      <c r="X279" s="93"/>
      <c r="Y279" s="93"/>
      <c r="Z279" s="93"/>
    </row>
    <row r="280">
      <c r="A280" s="1"/>
      <c r="C280" s="44"/>
      <c r="E280" s="44"/>
      <c r="F280" s="93"/>
      <c r="G280" s="93"/>
      <c r="H280" s="93"/>
      <c r="I280" s="93"/>
      <c r="J280" s="93"/>
      <c r="K280" s="93"/>
      <c r="L280" s="93"/>
      <c r="M280" s="93"/>
      <c r="N280" s="93"/>
      <c r="O280" s="93"/>
      <c r="P280" s="93"/>
      <c r="Q280" s="93"/>
      <c r="R280" s="93"/>
      <c r="S280" s="93"/>
      <c r="T280" s="93"/>
      <c r="U280" s="93"/>
      <c r="V280" s="93"/>
      <c r="W280" s="93"/>
      <c r="X280" s="93"/>
      <c r="Y280" s="93"/>
      <c r="Z280" s="93"/>
    </row>
    <row r="281">
      <c r="A281" s="1"/>
      <c r="C281" s="44"/>
      <c r="E281" s="44"/>
      <c r="F281" s="93"/>
      <c r="G281" s="93"/>
      <c r="H281" s="93"/>
      <c r="I281" s="93"/>
      <c r="J281" s="93"/>
      <c r="K281" s="93"/>
      <c r="L281" s="93"/>
      <c r="M281" s="93"/>
      <c r="N281" s="93"/>
      <c r="O281" s="93"/>
      <c r="P281" s="93"/>
      <c r="Q281" s="93"/>
      <c r="R281" s="93"/>
      <c r="S281" s="93"/>
      <c r="T281" s="93"/>
      <c r="U281" s="93"/>
      <c r="V281" s="93"/>
      <c r="W281" s="93"/>
      <c r="X281" s="93"/>
      <c r="Y281" s="93"/>
      <c r="Z281" s="93"/>
    </row>
    <row r="282">
      <c r="A282" s="1"/>
      <c r="C282" s="44"/>
      <c r="E282" s="44"/>
      <c r="F282" s="93"/>
      <c r="G282" s="93"/>
      <c r="H282" s="93"/>
      <c r="I282" s="93"/>
      <c r="J282" s="93"/>
      <c r="K282" s="93"/>
      <c r="L282" s="93"/>
      <c r="M282" s="93"/>
      <c r="N282" s="93"/>
      <c r="O282" s="93"/>
      <c r="P282" s="93"/>
      <c r="Q282" s="93"/>
      <c r="R282" s="93"/>
      <c r="S282" s="93"/>
      <c r="T282" s="93"/>
      <c r="U282" s="93"/>
      <c r="V282" s="93"/>
      <c r="W282" s="93"/>
      <c r="X282" s="93"/>
      <c r="Y282" s="93"/>
      <c r="Z282" s="93"/>
    </row>
    <row r="283">
      <c r="A283" s="1"/>
      <c r="C283" s="44"/>
      <c r="E283" s="44"/>
      <c r="F283" s="93"/>
      <c r="G283" s="93"/>
      <c r="H283" s="93"/>
      <c r="I283" s="93"/>
      <c r="J283" s="93"/>
      <c r="K283" s="93"/>
      <c r="L283" s="93"/>
      <c r="M283" s="93"/>
      <c r="N283" s="93"/>
      <c r="O283" s="93"/>
      <c r="P283" s="93"/>
      <c r="Q283" s="93"/>
      <c r="R283" s="93"/>
      <c r="S283" s="93"/>
      <c r="T283" s="93"/>
      <c r="U283" s="93"/>
      <c r="V283" s="93"/>
      <c r="W283" s="93"/>
      <c r="X283" s="93"/>
      <c r="Y283" s="93"/>
      <c r="Z283" s="93"/>
    </row>
    <row r="284">
      <c r="A284" s="1"/>
      <c r="C284" s="44"/>
      <c r="E284" s="44"/>
      <c r="F284" s="93"/>
      <c r="G284" s="93"/>
      <c r="H284" s="93"/>
      <c r="I284" s="93"/>
      <c r="J284" s="93"/>
      <c r="K284" s="93"/>
      <c r="L284" s="93"/>
      <c r="M284" s="93"/>
      <c r="N284" s="93"/>
      <c r="O284" s="93"/>
      <c r="P284" s="93"/>
      <c r="Q284" s="93"/>
      <c r="R284" s="93"/>
      <c r="S284" s="93"/>
      <c r="T284" s="93"/>
      <c r="U284" s="93"/>
      <c r="V284" s="93"/>
      <c r="W284" s="93"/>
      <c r="X284" s="93"/>
      <c r="Y284" s="93"/>
      <c r="Z284" s="93"/>
    </row>
    <row r="285">
      <c r="A285" s="1"/>
      <c r="C285" s="44"/>
      <c r="E285" s="44"/>
      <c r="F285" s="93"/>
      <c r="G285" s="93"/>
      <c r="H285" s="93"/>
      <c r="I285" s="93"/>
      <c r="J285" s="93"/>
      <c r="K285" s="93"/>
      <c r="L285" s="93"/>
      <c r="M285" s="93"/>
      <c r="N285" s="93"/>
      <c r="O285" s="93"/>
      <c r="P285" s="93"/>
      <c r="Q285" s="93"/>
      <c r="R285" s="93"/>
      <c r="S285" s="93"/>
      <c r="T285" s="93"/>
      <c r="U285" s="93"/>
      <c r="V285" s="93"/>
      <c r="W285" s="93"/>
      <c r="X285" s="93"/>
      <c r="Y285" s="93"/>
      <c r="Z285" s="93"/>
    </row>
    <row r="286">
      <c r="A286" s="1"/>
      <c r="C286" s="44"/>
      <c r="E286" s="44"/>
      <c r="F286" s="93"/>
      <c r="G286" s="93"/>
      <c r="H286" s="93"/>
      <c r="I286" s="93"/>
      <c r="J286" s="93"/>
      <c r="K286" s="93"/>
      <c r="L286" s="93"/>
      <c r="M286" s="93"/>
      <c r="N286" s="93"/>
      <c r="O286" s="93"/>
      <c r="P286" s="93"/>
      <c r="Q286" s="93"/>
      <c r="R286" s="93"/>
      <c r="S286" s="93"/>
      <c r="T286" s="93"/>
      <c r="U286" s="93"/>
      <c r="V286" s="93"/>
      <c r="W286" s="93"/>
      <c r="X286" s="93"/>
      <c r="Y286" s="93"/>
      <c r="Z286" s="93"/>
    </row>
    <row r="287">
      <c r="A287" s="1"/>
      <c r="C287" s="44"/>
      <c r="E287" s="44"/>
      <c r="F287" s="93"/>
      <c r="G287" s="93"/>
      <c r="H287" s="93"/>
      <c r="I287" s="93"/>
      <c r="J287" s="93"/>
      <c r="K287" s="93"/>
      <c r="L287" s="93"/>
      <c r="M287" s="93"/>
      <c r="N287" s="93"/>
      <c r="O287" s="93"/>
      <c r="P287" s="93"/>
      <c r="Q287" s="93"/>
      <c r="R287" s="93"/>
      <c r="S287" s="93"/>
      <c r="T287" s="93"/>
      <c r="U287" s="93"/>
      <c r="V287" s="93"/>
      <c r="W287" s="93"/>
      <c r="X287" s="93"/>
      <c r="Y287" s="93"/>
      <c r="Z287" s="93"/>
    </row>
    <row r="288">
      <c r="A288" s="1"/>
      <c r="C288" s="44"/>
      <c r="E288" s="44"/>
      <c r="F288" s="93"/>
      <c r="G288" s="93"/>
      <c r="H288" s="93"/>
      <c r="I288" s="93"/>
      <c r="J288" s="93"/>
      <c r="K288" s="93"/>
      <c r="L288" s="93"/>
      <c r="M288" s="93"/>
      <c r="N288" s="93"/>
      <c r="O288" s="93"/>
      <c r="P288" s="93"/>
      <c r="Q288" s="93"/>
      <c r="R288" s="93"/>
      <c r="S288" s="93"/>
      <c r="T288" s="93"/>
      <c r="U288" s="93"/>
      <c r="V288" s="93"/>
      <c r="W288" s="93"/>
      <c r="X288" s="93"/>
      <c r="Y288" s="93"/>
      <c r="Z288" s="93"/>
    </row>
    <row r="289">
      <c r="A289" s="1"/>
      <c r="C289" s="44"/>
      <c r="E289" s="44"/>
      <c r="F289" s="93"/>
      <c r="G289" s="93"/>
      <c r="H289" s="93"/>
      <c r="I289" s="93"/>
      <c r="J289" s="93"/>
      <c r="K289" s="93"/>
      <c r="L289" s="93"/>
      <c r="M289" s="93"/>
      <c r="N289" s="93"/>
      <c r="O289" s="93"/>
      <c r="P289" s="93"/>
      <c r="Q289" s="93"/>
      <c r="R289" s="93"/>
      <c r="S289" s="93"/>
      <c r="T289" s="93"/>
      <c r="U289" s="93"/>
      <c r="V289" s="93"/>
      <c r="W289" s="93"/>
      <c r="X289" s="93"/>
      <c r="Y289" s="93"/>
      <c r="Z289" s="93"/>
    </row>
    <row r="290">
      <c r="A290" s="1"/>
      <c r="C290" s="44"/>
      <c r="E290" s="44"/>
      <c r="F290" s="93"/>
      <c r="G290" s="93"/>
      <c r="H290" s="93"/>
      <c r="I290" s="93"/>
      <c r="J290" s="93"/>
      <c r="K290" s="93"/>
      <c r="L290" s="93"/>
      <c r="M290" s="93"/>
      <c r="N290" s="93"/>
      <c r="O290" s="93"/>
      <c r="P290" s="93"/>
      <c r="Q290" s="93"/>
      <c r="R290" s="93"/>
      <c r="S290" s="93"/>
      <c r="T290" s="93"/>
      <c r="U290" s="93"/>
      <c r="V290" s="93"/>
      <c r="W290" s="93"/>
      <c r="X290" s="93"/>
      <c r="Y290" s="93"/>
      <c r="Z290" s="93"/>
    </row>
    <row r="291">
      <c r="A291" s="1"/>
      <c r="C291" s="44"/>
      <c r="E291" s="44"/>
      <c r="F291" s="93"/>
      <c r="G291" s="93"/>
      <c r="H291" s="93"/>
      <c r="I291" s="93"/>
      <c r="J291" s="93"/>
      <c r="K291" s="93"/>
      <c r="L291" s="93"/>
      <c r="M291" s="93"/>
      <c r="N291" s="93"/>
      <c r="O291" s="93"/>
      <c r="P291" s="93"/>
      <c r="Q291" s="93"/>
      <c r="R291" s="93"/>
      <c r="S291" s="93"/>
      <c r="T291" s="93"/>
      <c r="U291" s="93"/>
      <c r="V291" s="93"/>
      <c r="W291" s="93"/>
      <c r="X291" s="93"/>
      <c r="Y291" s="93"/>
      <c r="Z291" s="93"/>
    </row>
    <row r="292">
      <c r="A292" s="1"/>
      <c r="C292" s="44"/>
      <c r="E292" s="44"/>
      <c r="F292" s="93"/>
      <c r="G292" s="93"/>
      <c r="H292" s="93"/>
      <c r="I292" s="93"/>
      <c r="J292" s="93"/>
      <c r="K292" s="93"/>
      <c r="L292" s="93"/>
      <c r="M292" s="93"/>
      <c r="N292" s="93"/>
      <c r="O292" s="93"/>
      <c r="P292" s="93"/>
      <c r="Q292" s="93"/>
      <c r="R292" s="93"/>
      <c r="S292" s="93"/>
      <c r="T292" s="93"/>
      <c r="U292" s="93"/>
      <c r="V292" s="93"/>
      <c r="W292" s="93"/>
      <c r="X292" s="93"/>
      <c r="Y292" s="93"/>
      <c r="Z292" s="93"/>
    </row>
    <row r="293">
      <c r="A293" s="1"/>
      <c r="C293" s="44"/>
      <c r="E293" s="44"/>
      <c r="F293" s="93"/>
      <c r="G293" s="93"/>
      <c r="H293" s="93"/>
      <c r="I293" s="93"/>
      <c r="J293" s="93"/>
      <c r="K293" s="93"/>
      <c r="L293" s="93"/>
      <c r="M293" s="93"/>
      <c r="N293" s="93"/>
      <c r="O293" s="93"/>
      <c r="P293" s="93"/>
      <c r="Q293" s="93"/>
      <c r="R293" s="93"/>
      <c r="S293" s="93"/>
      <c r="T293" s="93"/>
      <c r="U293" s="93"/>
      <c r="V293" s="93"/>
      <c r="W293" s="93"/>
      <c r="X293" s="93"/>
      <c r="Y293" s="93"/>
      <c r="Z293" s="93"/>
    </row>
    <row r="294">
      <c r="A294" s="1"/>
      <c r="C294" s="44"/>
      <c r="E294" s="44"/>
      <c r="F294" s="93"/>
      <c r="G294" s="93"/>
      <c r="H294" s="93"/>
      <c r="I294" s="93"/>
      <c r="J294" s="93"/>
      <c r="K294" s="93"/>
      <c r="L294" s="93"/>
      <c r="M294" s="93"/>
      <c r="N294" s="93"/>
      <c r="O294" s="93"/>
      <c r="P294" s="93"/>
      <c r="Q294" s="93"/>
      <c r="R294" s="93"/>
      <c r="S294" s="93"/>
      <c r="T294" s="93"/>
      <c r="U294" s="93"/>
      <c r="V294" s="93"/>
      <c r="W294" s="93"/>
      <c r="X294" s="93"/>
      <c r="Y294" s="93"/>
      <c r="Z294" s="93"/>
    </row>
    <row r="295">
      <c r="A295" s="1"/>
      <c r="C295" s="44"/>
      <c r="E295" s="44"/>
      <c r="F295" s="93"/>
      <c r="G295" s="93"/>
      <c r="H295" s="93"/>
      <c r="I295" s="93"/>
      <c r="J295" s="93"/>
      <c r="K295" s="93"/>
      <c r="L295" s="93"/>
      <c r="M295" s="93"/>
      <c r="N295" s="93"/>
      <c r="O295" s="93"/>
      <c r="P295" s="93"/>
      <c r="Q295" s="93"/>
      <c r="R295" s="93"/>
      <c r="S295" s="93"/>
      <c r="T295" s="93"/>
      <c r="U295" s="93"/>
      <c r="V295" s="93"/>
      <c r="W295" s="93"/>
      <c r="X295" s="93"/>
      <c r="Y295" s="93"/>
      <c r="Z295" s="93"/>
    </row>
    <row r="296">
      <c r="A296" s="1"/>
      <c r="C296" s="44"/>
      <c r="E296" s="44"/>
      <c r="F296" s="93"/>
      <c r="G296" s="93"/>
      <c r="H296" s="93"/>
      <c r="I296" s="93"/>
      <c r="J296" s="93"/>
      <c r="K296" s="93"/>
      <c r="L296" s="93"/>
      <c r="M296" s="93"/>
      <c r="N296" s="93"/>
      <c r="O296" s="93"/>
      <c r="P296" s="93"/>
      <c r="Q296" s="93"/>
      <c r="R296" s="93"/>
      <c r="S296" s="93"/>
      <c r="T296" s="93"/>
      <c r="U296" s="93"/>
      <c r="V296" s="93"/>
      <c r="W296" s="93"/>
      <c r="X296" s="93"/>
      <c r="Y296" s="93"/>
      <c r="Z296" s="93"/>
    </row>
    <row r="297">
      <c r="A297" s="1"/>
      <c r="C297" s="44"/>
      <c r="E297" s="44"/>
      <c r="F297" s="93"/>
      <c r="G297" s="93"/>
      <c r="H297" s="93"/>
      <c r="I297" s="93"/>
      <c r="J297" s="93"/>
      <c r="K297" s="93"/>
      <c r="L297" s="93"/>
      <c r="M297" s="93"/>
      <c r="N297" s="93"/>
      <c r="O297" s="93"/>
      <c r="P297" s="93"/>
      <c r="Q297" s="93"/>
      <c r="R297" s="93"/>
      <c r="S297" s="93"/>
      <c r="T297" s="93"/>
      <c r="U297" s="93"/>
      <c r="V297" s="93"/>
      <c r="W297" s="93"/>
      <c r="X297" s="93"/>
      <c r="Y297" s="93"/>
      <c r="Z297" s="93"/>
    </row>
    <row r="298">
      <c r="A298" s="1"/>
      <c r="C298" s="44"/>
      <c r="E298" s="44"/>
      <c r="F298" s="93"/>
      <c r="G298" s="93"/>
      <c r="H298" s="93"/>
      <c r="I298" s="93"/>
      <c r="J298" s="93"/>
      <c r="K298" s="93"/>
      <c r="L298" s="93"/>
      <c r="M298" s="93"/>
      <c r="N298" s="93"/>
      <c r="O298" s="93"/>
      <c r="P298" s="93"/>
      <c r="Q298" s="93"/>
      <c r="R298" s="93"/>
      <c r="S298" s="93"/>
      <c r="T298" s="93"/>
      <c r="U298" s="93"/>
      <c r="V298" s="93"/>
      <c r="W298" s="93"/>
      <c r="X298" s="93"/>
      <c r="Y298" s="93"/>
      <c r="Z298" s="93"/>
    </row>
    <row r="299">
      <c r="A299" s="1"/>
      <c r="C299" s="44"/>
      <c r="E299" s="44"/>
      <c r="F299" s="93"/>
      <c r="G299" s="93"/>
      <c r="H299" s="93"/>
      <c r="I299" s="93"/>
      <c r="J299" s="93"/>
      <c r="K299" s="93"/>
      <c r="L299" s="93"/>
      <c r="M299" s="93"/>
      <c r="N299" s="93"/>
      <c r="O299" s="93"/>
      <c r="P299" s="93"/>
      <c r="Q299" s="93"/>
      <c r="R299" s="93"/>
      <c r="S299" s="93"/>
      <c r="T299" s="93"/>
      <c r="U299" s="93"/>
      <c r="V299" s="93"/>
      <c r="W299" s="93"/>
      <c r="X299" s="93"/>
      <c r="Y299" s="93"/>
      <c r="Z299" s="93"/>
    </row>
    <row r="300">
      <c r="A300" s="1"/>
      <c r="C300" s="44"/>
      <c r="E300" s="44"/>
      <c r="F300" s="93"/>
      <c r="G300" s="93"/>
      <c r="H300" s="93"/>
      <c r="I300" s="93"/>
      <c r="J300" s="93"/>
      <c r="K300" s="93"/>
      <c r="L300" s="93"/>
      <c r="M300" s="93"/>
      <c r="N300" s="93"/>
      <c r="O300" s="93"/>
      <c r="P300" s="93"/>
      <c r="Q300" s="93"/>
      <c r="R300" s="93"/>
      <c r="S300" s="93"/>
      <c r="T300" s="93"/>
      <c r="U300" s="93"/>
      <c r="V300" s="93"/>
      <c r="W300" s="93"/>
      <c r="X300" s="93"/>
      <c r="Y300" s="93"/>
      <c r="Z300" s="93"/>
    </row>
    <row r="301">
      <c r="A301" s="1"/>
      <c r="C301" s="44"/>
      <c r="E301" s="44"/>
      <c r="F301" s="93"/>
      <c r="G301" s="93"/>
      <c r="H301" s="93"/>
      <c r="I301" s="93"/>
      <c r="J301" s="93"/>
      <c r="K301" s="93"/>
      <c r="L301" s="93"/>
      <c r="M301" s="93"/>
      <c r="N301" s="93"/>
      <c r="O301" s="93"/>
      <c r="P301" s="93"/>
      <c r="Q301" s="93"/>
      <c r="R301" s="93"/>
      <c r="S301" s="93"/>
      <c r="T301" s="93"/>
      <c r="U301" s="93"/>
      <c r="V301" s="93"/>
      <c r="W301" s="93"/>
      <c r="X301" s="93"/>
      <c r="Y301" s="93"/>
      <c r="Z301" s="93"/>
    </row>
    <row r="302">
      <c r="A302" s="1"/>
      <c r="C302" s="44"/>
      <c r="E302" s="44"/>
      <c r="F302" s="93"/>
      <c r="G302" s="93"/>
      <c r="H302" s="93"/>
      <c r="I302" s="93"/>
      <c r="J302" s="93"/>
      <c r="K302" s="93"/>
      <c r="L302" s="93"/>
      <c r="M302" s="93"/>
      <c r="N302" s="93"/>
      <c r="O302" s="93"/>
      <c r="P302" s="93"/>
      <c r="Q302" s="93"/>
      <c r="R302" s="93"/>
      <c r="S302" s="93"/>
      <c r="T302" s="93"/>
      <c r="U302" s="93"/>
      <c r="V302" s="93"/>
      <c r="W302" s="93"/>
      <c r="X302" s="93"/>
      <c r="Y302" s="93"/>
      <c r="Z302" s="93"/>
    </row>
    <row r="303">
      <c r="A303" s="1"/>
      <c r="C303" s="44"/>
      <c r="E303" s="44"/>
      <c r="F303" s="93"/>
      <c r="G303" s="93"/>
      <c r="H303" s="93"/>
      <c r="I303" s="93"/>
      <c r="J303" s="93"/>
      <c r="K303" s="93"/>
      <c r="L303" s="93"/>
      <c r="M303" s="93"/>
      <c r="N303" s="93"/>
      <c r="O303" s="93"/>
      <c r="P303" s="93"/>
      <c r="Q303" s="93"/>
      <c r="R303" s="93"/>
      <c r="S303" s="93"/>
      <c r="T303" s="93"/>
      <c r="U303" s="93"/>
      <c r="V303" s="93"/>
      <c r="W303" s="93"/>
      <c r="X303" s="93"/>
      <c r="Y303" s="93"/>
      <c r="Z303" s="93"/>
    </row>
    <row r="304">
      <c r="A304" s="1"/>
      <c r="C304" s="44"/>
      <c r="E304" s="44"/>
      <c r="F304" s="93"/>
      <c r="G304" s="93"/>
      <c r="H304" s="93"/>
      <c r="I304" s="93"/>
      <c r="J304" s="93"/>
      <c r="K304" s="93"/>
      <c r="L304" s="93"/>
      <c r="M304" s="93"/>
      <c r="N304" s="93"/>
      <c r="O304" s="93"/>
      <c r="P304" s="93"/>
      <c r="Q304" s="93"/>
      <c r="R304" s="93"/>
      <c r="S304" s="93"/>
      <c r="T304" s="93"/>
      <c r="U304" s="93"/>
      <c r="V304" s="93"/>
      <c r="W304" s="93"/>
      <c r="X304" s="93"/>
      <c r="Y304" s="93"/>
      <c r="Z304" s="93"/>
    </row>
    <row r="305">
      <c r="A305" s="1"/>
      <c r="C305" s="44"/>
      <c r="E305" s="44"/>
      <c r="F305" s="93"/>
      <c r="G305" s="93"/>
      <c r="H305" s="93"/>
      <c r="I305" s="93"/>
      <c r="J305" s="93"/>
      <c r="K305" s="93"/>
      <c r="L305" s="93"/>
      <c r="M305" s="93"/>
      <c r="N305" s="93"/>
      <c r="O305" s="93"/>
      <c r="P305" s="93"/>
      <c r="Q305" s="93"/>
      <c r="R305" s="93"/>
      <c r="S305" s="93"/>
      <c r="T305" s="93"/>
      <c r="U305" s="93"/>
      <c r="V305" s="93"/>
      <c r="W305" s="93"/>
      <c r="X305" s="93"/>
      <c r="Y305" s="93"/>
      <c r="Z305" s="93"/>
    </row>
    <row r="306">
      <c r="A306" s="1"/>
      <c r="C306" s="44"/>
      <c r="E306" s="44"/>
      <c r="F306" s="93"/>
      <c r="G306" s="93"/>
      <c r="H306" s="93"/>
      <c r="I306" s="93"/>
      <c r="J306" s="93"/>
      <c r="K306" s="93"/>
      <c r="L306" s="93"/>
      <c r="M306" s="93"/>
      <c r="N306" s="93"/>
      <c r="O306" s="93"/>
      <c r="P306" s="93"/>
      <c r="Q306" s="93"/>
      <c r="R306" s="93"/>
      <c r="S306" s="93"/>
      <c r="T306" s="93"/>
      <c r="U306" s="93"/>
      <c r="V306" s="93"/>
      <c r="W306" s="93"/>
      <c r="X306" s="93"/>
      <c r="Y306" s="93"/>
      <c r="Z306" s="93"/>
    </row>
    <row r="307">
      <c r="A307" s="1"/>
      <c r="C307" s="44"/>
      <c r="E307" s="44"/>
      <c r="F307" s="93"/>
      <c r="G307" s="93"/>
      <c r="H307" s="93"/>
      <c r="I307" s="93"/>
      <c r="J307" s="93"/>
      <c r="K307" s="93"/>
      <c r="L307" s="93"/>
      <c r="M307" s="93"/>
      <c r="N307" s="93"/>
      <c r="O307" s="93"/>
      <c r="P307" s="93"/>
      <c r="Q307" s="93"/>
      <c r="R307" s="93"/>
      <c r="S307" s="93"/>
      <c r="T307" s="93"/>
      <c r="U307" s="93"/>
      <c r="V307" s="93"/>
      <c r="W307" s="93"/>
      <c r="X307" s="93"/>
      <c r="Y307" s="93"/>
      <c r="Z307" s="93"/>
    </row>
    <row r="308">
      <c r="A308" s="1"/>
      <c r="C308" s="44"/>
      <c r="E308" s="44"/>
      <c r="F308" s="93"/>
      <c r="G308" s="93"/>
      <c r="H308" s="93"/>
      <c r="I308" s="93"/>
      <c r="J308" s="93"/>
      <c r="K308" s="93"/>
      <c r="L308" s="93"/>
      <c r="M308" s="93"/>
      <c r="N308" s="93"/>
      <c r="O308" s="93"/>
      <c r="P308" s="93"/>
      <c r="Q308" s="93"/>
      <c r="R308" s="93"/>
      <c r="S308" s="93"/>
      <c r="T308" s="93"/>
      <c r="U308" s="93"/>
      <c r="V308" s="93"/>
      <c r="W308" s="93"/>
      <c r="X308" s="93"/>
      <c r="Y308" s="93"/>
      <c r="Z308" s="93"/>
    </row>
    <row r="309">
      <c r="A309" s="1"/>
      <c r="C309" s="44"/>
      <c r="E309" s="44"/>
      <c r="F309" s="93"/>
      <c r="G309" s="93"/>
      <c r="H309" s="93"/>
      <c r="I309" s="93"/>
      <c r="J309" s="93"/>
      <c r="K309" s="93"/>
      <c r="L309" s="93"/>
      <c r="M309" s="93"/>
      <c r="N309" s="93"/>
      <c r="O309" s="93"/>
      <c r="P309" s="93"/>
      <c r="Q309" s="93"/>
      <c r="R309" s="93"/>
      <c r="S309" s="93"/>
      <c r="T309" s="93"/>
      <c r="U309" s="93"/>
      <c r="V309" s="93"/>
      <c r="W309" s="93"/>
      <c r="X309" s="93"/>
      <c r="Y309" s="93"/>
      <c r="Z309" s="93"/>
    </row>
    <row r="310">
      <c r="A310" s="1"/>
      <c r="C310" s="44"/>
      <c r="E310" s="44"/>
      <c r="F310" s="93"/>
      <c r="G310" s="93"/>
      <c r="H310" s="93"/>
      <c r="I310" s="93"/>
      <c r="J310" s="93"/>
      <c r="K310" s="93"/>
      <c r="L310" s="93"/>
      <c r="M310" s="93"/>
      <c r="N310" s="93"/>
      <c r="O310" s="93"/>
      <c r="P310" s="93"/>
      <c r="Q310" s="93"/>
      <c r="R310" s="93"/>
      <c r="S310" s="93"/>
      <c r="T310" s="93"/>
      <c r="U310" s="93"/>
      <c r="V310" s="93"/>
      <c r="W310" s="93"/>
      <c r="X310" s="93"/>
      <c r="Y310" s="93"/>
      <c r="Z310" s="93"/>
    </row>
    <row r="311">
      <c r="A311" s="1"/>
      <c r="C311" s="44"/>
      <c r="E311" s="44"/>
      <c r="F311" s="93"/>
      <c r="G311" s="93"/>
      <c r="H311" s="93"/>
      <c r="I311" s="93"/>
      <c r="J311" s="93"/>
      <c r="K311" s="93"/>
      <c r="L311" s="93"/>
      <c r="M311" s="93"/>
      <c r="N311" s="93"/>
      <c r="O311" s="93"/>
      <c r="P311" s="93"/>
      <c r="Q311" s="93"/>
      <c r="R311" s="93"/>
      <c r="S311" s="93"/>
      <c r="T311" s="93"/>
      <c r="U311" s="93"/>
      <c r="V311" s="93"/>
      <c r="W311" s="93"/>
      <c r="X311" s="93"/>
      <c r="Y311" s="93"/>
      <c r="Z311" s="93"/>
    </row>
    <row r="312">
      <c r="A312" s="1"/>
      <c r="C312" s="44"/>
      <c r="E312" s="44"/>
      <c r="F312" s="93"/>
      <c r="G312" s="93"/>
      <c r="H312" s="93"/>
      <c r="I312" s="93"/>
      <c r="J312" s="93"/>
      <c r="K312" s="93"/>
      <c r="L312" s="93"/>
      <c r="M312" s="93"/>
      <c r="N312" s="93"/>
      <c r="O312" s="93"/>
      <c r="P312" s="93"/>
      <c r="Q312" s="93"/>
      <c r="R312" s="93"/>
      <c r="S312" s="93"/>
      <c r="T312" s="93"/>
      <c r="U312" s="93"/>
      <c r="V312" s="93"/>
      <c r="W312" s="93"/>
      <c r="X312" s="93"/>
      <c r="Y312" s="93"/>
      <c r="Z312" s="93"/>
    </row>
    <row r="313">
      <c r="A313" s="1"/>
      <c r="C313" s="44"/>
      <c r="E313" s="44"/>
      <c r="F313" s="93"/>
      <c r="G313" s="93"/>
      <c r="H313" s="93"/>
      <c r="I313" s="93"/>
      <c r="J313" s="93"/>
      <c r="K313" s="93"/>
      <c r="L313" s="93"/>
      <c r="M313" s="93"/>
      <c r="N313" s="93"/>
      <c r="O313" s="93"/>
      <c r="P313" s="93"/>
      <c r="Q313" s="93"/>
      <c r="R313" s="93"/>
      <c r="S313" s="93"/>
      <c r="T313" s="93"/>
      <c r="U313" s="93"/>
      <c r="V313" s="93"/>
      <c r="W313" s="93"/>
      <c r="X313" s="93"/>
      <c r="Y313" s="93"/>
      <c r="Z313" s="93"/>
    </row>
    <row r="314">
      <c r="A314" s="1"/>
      <c r="C314" s="44"/>
      <c r="E314" s="44"/>
      <c r="F314" s="93"/>
      <c r="G314" s="93"/>
      <c r="H314" s="93"/>
      <c r="I314" s="93"/>
      <c r="J314" s="93"/>
      <c r="K314" s="93"/>
      <c r="L314" s="93"/>
      <c r="M314" s="93"/>
      <c r="N314" s="93"/>
      <c r="O314" s="93"/>
      <c r="P314" s="93"/>
      <c r="Q314" s="93"/>
      <c r="R314" s="93"/>
      <c r="S314" s="93"/>
      <c r="T314" s="93"/>
      <c r="U314" s="93"/>
      <c r="V314" s="93"/>
      <c r="W314" s="93"/>
      <c r="X314" s="93"/>
      <c r="Y314" s="93"/>
      <c r="Z314" s="93"/>
    </row>
    <row r="315">
      <c r="A315" s="1"/>
      <c r="C315" s="44"/>
      <c r="E315" s="44"/>
      <c r="F315" s="93"/>
      <c r="G315" s="93"/>
      <c r="H315" s="93"/>
      <c r="I315" s="93"/>
      <c r="J315" s="93"/>
      <c r="K315" s="93"/>
      <c r="L315" s="93"/>
      <c r="M315" s="93"/>
      <c r="N315" s="93"/>
      <c r="O315" s="93"/>
      <c r="P315" s="93"/>
      <c r="Q315" s="93"/>
      <c r="R315" s="93"/>
      <c r="S315" s="93"/>
      <c r="T315" s="93"/>
      <c r="U315" s="93"/>
      <c r="V315" s="93"/>
      <c r="W315" s="93"/>
      <c r="X315" s="93"/>
      <c r="Y315" s="93"/>
      <c r="Z315" s="93"/>
    </row>
    <row r="316">
      <c r="A316" s="1"/>
      <c r="C316" s="44"/>
      <c r="E316" s="44"/>
      <c r="F316" s="93"/>
      <c r="G316" s="93"/>
      <c r="H316" s="93"/>
      <c r="I316" s="93"/>
      <c r="J316" s="93"/>
      <c r="K316" s="93"/>
      <c r="L316" s="93"/>
      <c r="M316" s="93"/>
      <c r="N316" s="93"/>
      <c r="O316" s="93"/>
      <c r="P316" s="93"/>
      <c r="Q316" s="93"/>
      <c r="R316" s="93"/>
      <c r="S316" s="93"/>
      <c r="T316" s="93"/>
      <c r="U316" s="93"/>
      <c r="V316" s="93"/>
      <c r="W316" s="93"/>
      <c r="X316" s="93"/>
      <c r="Y316" s="93"/>
      <c r="Z316" s="93"/>
    </row>
    <row r="317">
      <c r="A317" s="1"/>
      <c r="C317" s="44"/>
      <c r="E317" s="44"/>
      <c r="F317" s="93"/>
      <c r="G317" s="93"/>
      <c r="H317" s="93"/>
      <c r="I317" s="93"/>
      <c r="J317" s="93"/>
      <c r="K317" s="93"/>
      <c r="L317" s="93"/>
      <c r="M317" s="93"/>
      <c r="N317" s="93"/>
      <c r="O317" s="93"/>
      <c r="P317" s="93"/>
      <c r="Q317" s="93"/>
      <c r="R317" s="93"/>
      <c r="S317" s="93"/>
      <c r="T317" s="93"/>
      <c r="U317" s="93"/>
      <c r="V317" s="93"/>
      <c r="W317" s="93"/>
      <c r="X317" s="93"/>
      <c r="Y317" s="93"/>
      <c r="Z317" s="93"/>
    </row>
    <row r="318">
      <c r="A318" s="1"/>
      <c r="C318" s="44"/>
      <c r="E318" s="44"/>
      <c r="F318" s="93"/>
      <c r="G318" s="93"/>
      <c r="H318" s="93"/>
      <c r="I318" s="93"/>
      <c r="J318" s="93"/>
      <c r="K318" s="93"/>
      <c r="L318" s="93"/>
      <c r="M318" s="93"/>
      <c r="N318" s="93"/>
      <c r="O318" s="93"/>
      <c r="P318" s="93"/>
      <c r="Q318" s="93"/>
      <c r="R318" s="93"/>
      <c r="S318" s="93"/>
      <c r="T318" s="93"/>
      <c r="U318" s="93"/>
      <c r="V318" s="93"/>
      <c r="W318" s="93"/>
      <c r="X318" s="93"/>
      <c r="Y318" s="93"/>
      <c r="Z318" s="93"/>
    </row>
    <row r="319">
      <c r="A319" s="1"/>
      <c r="C319" s="44"/>
      <c r="E319" s="44"/>
      <c r="F319" s="93"/>
      <c r="G319" s="93"/>
      <c r="H319" s="93"/>
      <c r="I319" s="93"/>
      <c r="J319" s="93"/>
      <c r="K319" s="93"/>
      <c r="L319" s="93"/>
      <c r="M319" s="93"/>
      <c r="N319" s="93"/>
      <c r="O319" s="93"/>
      <c r="P319" s="93"/>
      <c r="Q319" s="93"/>
      <c r="R319" s="93"/>
      <c r="S319" s="93"/>
      <c r="T319" s="93"/>
      <c r="U319" s="93"/>
      <c r="V319" s="93"/>
      <c r="W319" s="93"/>
      <c r="X319" s="93"/>
      <c r="Y319" s="93"/>
      <c r="Z319" s="93"/>
    </row>
    <row r="320">
      <c r="A320" s="1"/>
      <c r="C320" s="44"/>
      <c r="E320" s="44"/>
      <c r="F320" s="93"/>
      <c r="G320" s="93"/>
      <c r="H320" s="93"/>
      <c r="I320" s="93"/>
      <c r="J320" s="93"/>
      <c r="K320" s="93"/>
      <c r="L320" s="93"/>
      <c r="M320" s="93"/>
      <c r="N320" s="93"/>
      <c r="O320" s="93"/>
      <c r="P320" s="93"/>
      <c r="Q320" s="93"/>
      <c r="R320" s="93"/>
      <c r="S320" s="93"/>
      <c r="T320" s="93"/>
      <c r="U320" s="93"/>
      <c r="V320" s="93"/>
      <c r="W320" s="93"/>
      <c r="X320" s="93"/>
      <c r="Y320" s="93"/>
      <c r="Z320" s="93"/>
    </row>
    <row r="321">
      <c r="A321" s="1"/>
      <c r="C321" s="44"/>
      <c r="E321" s="44"/>
      <c r="F321" s="93"/>
      <c r="G321" s="93"/>
      <c r="H321" s="93"/>
      <c r="I321" s="93"/>
      <c r="J321" s="93"/>
      <c r="K321" s="93"/>
      <c r="L321" s="93"/>
      <c r="M321" s="93"/>
      <c r="N321" s="93"/>
      <c r="O321" s="93"/>
      <c r="P321" s="93"/>
      <c r="Q321" s="93"/>
      <c r="R321" s="93"/>
      <c r="S321" s="93"/>
      <c r="T321" s="93"/>
      <c r="U321" s="93"/>
      <c r="V321" s="93"/>
      <c r="W321" s="93"/>
      <c r="X321" s="93"/>
      <c r="Y321" s="93"/>
      <c r="Z321" s="93"/>
    </row>
    <row r="322">
      <c r="A322" s="1"/>
      <c r="C322" s="44"/>
      <c r="E322" s="44"/>
      <c r="F322" s="93"/>
      <c r="G322" s="93"/>
      <c r="H322" s="93"/>
      <c r="I322" s="93"/>
      <c r="J322" s="93"/>
      <c r="K322" s="93"/>
      <c r="L322" s="93"/>
      <c r="M322" s="93"/>
      <c r="N322" s="93"/>
      <c r="O322" s="93"/>
      <c r="P322" s="93"/>
      <c r="Q322" s="93"/>
      <c r="R322" s="93"/>
      <c r="S322" s="93"/>
      <c r="T322" s="93"/>
      <c r="U322" s="93"/>
      <c r="V322" s="93"/>
      <c r="W322" s="93"/>
      <c r="X322" s="93"/>
      <c r="Y322" s="93"/>
      <c r="Z322" s="93"/>
    </row>
    <row r="323">
      <c r="A323" s="1"/>
      <c r="C323" s="44"/>
      <c r="E323" s="44"/>
      <c r="F323" s="93"/>
      <c r="G323" s="93"/>
      <c r="H323" s="93"/>
      <c r="I323" s="93"/>
      <c r="J323" s="93"/>
      <c r="K323" s="93"/>
      <c r="L323" s="93"/>
      <c r="M323" s="93"/>
      <c r="N323" s="93"/>
      <c r="O323" s="93"/>
      <c r="P323" s="93"/>
      <c r="Q323" s="93"/>
      <c r="R323" s="93"/>
      <c r="S323" s="93"/>
      <c r="T323" s="93"/>
      <c r="U323" s="93"/>
      <c r="V323" s="93"/>
      <c r="W323" s="93"/>
      <c r="X323" s="93"/>
      <c r="Y323" s="93"/>
      <c r="Z323" s="93"/>
    </row>
    <row r="324">
      <c r="A324" s="1"/>
      <c r="C324" s="44"/>
      <c r="E324" s="44"/>
      <c r="F324" s="93"/>
      <c r="G324" s="93"/>
      <c r="H324" s="93"/>
      <c r="I324" s="93"/>
      <c r="J324" s="93"/>
      <c r="K324" s="93"/>
      <c r="L324" s="93"/>
      <c r="M324" s="93"/>
      <c r="N324" s="93"/>
      <c r="O324" s="93"/>
      <c r="P324" s="93"/>
      <c r="Q324" s="93"/>
      <c r="R324" s="93"/>
      <c r="S324" s="93"/>
      <c r="T324" s="93"/>
      <c r="U324" s="93"/>
      <c r="V324" s="93"/>
      <c r="W324" s="93"/>
      <c r="X324" s="93"/>
      <c r="Y324" s="93"/>
      <c r="Z324" s="93"/>
    </row>
    <row r="325">
      <c r="A325" s="1"/>
      <c r="C325" s="44"/>
      <c r="E325" s="44"/>
      <c r="F325" s="93"/>
      <c r="G325" s="93"/>
      <c r="H325" s="93"/>
      <c r="I325" s="93"/>
      <c r="J325" s="93"/>
      <c r="K325" s="93"/>
      <c r="L325" s="93"/>
      <c r="M325" s="93"/>
      <c r="N325" s="93"/>
      <c r="O325" s="93"/>
      <c r="P325" s="93"/>
      <c r="Q325" s="93"/>
      <c r="R325" s="93"/>
      <c r="S325" s="93"/>
      <c r="T325" s="93"/>
      <c r="U325" s="93"/>
      <c r="V325" s="93"/>
      <c r="W325" s="93"/>
      <c r="X325" s="93"/>
      <c r="Y325" s="93"/>
      <c r="Z325" s="93"/>
    </row>
    <row r="326">
      <c r="A326" s="1"/>
      <c r="C326" s="44"/>
      <c r="E326" s="44"/>
      <c r="F326" s="93"/>
      <c r="G326" s="93"/>
      <c r="H326" s="93"/>
      <c r="I326" s="93"/>
      <c r="J326" s="93"/>
      <c r="K326" s="93"/>
      <c r="L326" s="93"/>
      <c r="M326" s="93"/>
      <c r="N326" s="93"/>
      <c r="O326" s="93"/>
      <c r="P326" s="93"/>
      <c r="Q326" s="93"/>
      <c r="R326" s="93"/>
      <c r="S326" s="93"/>
      <c r="T326" s="93"/>
      <c r="U326" s="93"/>
      <c r="V326" s="93"/>
      <c r="W326" s="93"/>
      <c r="X326" s="93"/>
      <c r="Y326" s="93"/>
      <c r="Z326" s="93"/>
    </row>
    <row r="327">
      <c r="A327" s="1"/>
      <c r="C327" s="44"/>
      <c r="E327" s="44"/>
      <c r="F327" s="93"/>
      <c r="G327" s="93"/>
      <c r="H327" s="93"/>
      <c r="I327" s="93"/>
      <c r="J327" s="93"/>
      <c r="K327" s="93"/>
      <c r="L327" s="93"/>
      <c r="M327" s="93"/>
      <c r="N327" s="93"/>
      <c r="O327" s="93"/>
      <c r="P327" s="93"/>
      <c r="Q327" s="93"/>
      <c r="R327" s="93"/>
      <c r="S327" s="93"/>
      <c r="T327" s="93"/>
      <c r="U327" s="93"/>
      <c r="V327" s="93"/>
      <c r="W327" s="93"/>
      <c r="X327" s="93"/>
      <c r="Y327" s="93"/>
      <c r="Z327" s="93"/>
    </row>
    <row r="328">
      <c r="A328" s="1"/>
      <c r="C328" s="44"/>
      <c r="E328" s="44"/>
      <c r="F328" s="93"/>
      <c r="G328" s="93"/>
      <c r="H328" s="93"/>
      <c r="I328" s="93"/>
      <c r="J328" s="93"/>
      <c r="K328" s="93"/>
      <c r="L328" s="93"/>
      <c r="M328" s="93"/>
      <c r="N328" s="93"/>
      <c r="O328" s="93"/>
      <c r="P328" s="93"/>
      <c r="Q328" s="93"/>
      <c r="R328" s="93"/>
      <c r="S328" s="93"/>
      <c r="T328" s="93"/>
      <c r="U328" s="93"/>
      <c r="V328" s="93"/>
      <c r="W328" s="93"/>
      <c r="X328" s="93"/>
      <c r="Y328" s="93"/>
      <c r="Z328" s="93"/>
    </row>
    <row r="329">
      <c r="A329" s="1"/>
      <c r="C329" s="44"/>
      <c r="E329" s="44"/>
      <c r="F329" s="93"/>
      <c r="G329" s="93"/>
      <c r="H329" s="93"/>
      <c r="I329" s="93"/>
      <c r="J329" s="93"/>
      <c r="K329" s="93"/>
      <c r="L329" s="93"/>
      <c r="M329" s="93"/>
      <c r="N329" s="93"/>
      <c r="O329" s="93"/>
      <c r="P329" s="93"/>
      <c r="Q329" s="93"/>
      <c r="R329" s="93"/>
      <c r="S329" s="93"/>
      <c r="T329" s="93"/>
      <c r="U329" s="93"/>
      <c r="V329" s="93"/>
      <c r="W329" s="93"/>
      <c r="X329" s="93"/>
      <c r="Y329" s="93"/>
      <c r="Z329" s="93"/>
    </row>
    <row r="330">
      <c r="A330" s="1"/>
      <c r="C330" s="44"/>
      <c r="E330" s="44"/>
      <c r="F330" s="93"/>
      <c r="G330" s="93"/>
      <c r="H330" s="93"/>
      <c r="I330" s="93"/>
      <c r="J330" s="93"/>
      <c r="K330" s="93"/>
      <c r="L330" s="93"/>
      <c r="M330" s="93"/>
      <c r="N330" s="93"/>
      <c r="O330" s="93"/>
      <c r="P330" s="93"/>
      <c r="Q330" s="93"/>
      <c r="R330" s="93"/>
      <c r="S330" s="93"/>
      <c r="T330" s="93"/>
      <c r="U330" s="93"/>
      <c r="V330" s="93"/>
      <c r="W330" s="93"/>
      <c r="X330" s="93"/>
      <c r="Y330" s="93"/>
      <c r="Z330" s="93"/>
    </row>
    <row r="331">
      <c r="A331" s="1"/>
      <c r="C331" s="44"/>
      <c r="E331" s="44"/>
      <c r="F331" s="93"/>
      <c r="G331" s="93"/>
      <c r="H331" s="93"/>
      <c r="I331" s="93"/>
      <c r="J331" s="93"/>
      <c r="K331" s="93"/>
      <c r="L331" s="93"/>
      <c r="M331" s="93"/>
      <c r="N331" s="93"/>
      <c r="O331" s="93"/>
      <c r="P331" s="93"/>
      <c r="Q331" s="93"/>
      <c r="R331" s="93"/>
      <c r="S331" s="93"/>
      <c r="T331" s="93"/>
      <c r="U331" s="93"/>
      <c r="V331" s="93"/>
      <c r="W331" s="93"/>
      <c r="X331" s="93"/>
      <c r="Y331" s="93"/>
      <c r="Z331" s="93"/>
    </row>
    <row r="332">
      <c r="A332" s="1"/>
      <c r="C332" s="44"/>
      <c r="E332" s="44"/>
      <c r="F332" s="93"/>
      <c r="G332" s="93"/>
      <c r="H332" s="93"/>
      <c r="I332" s="93"/>
      <c r="J332" s="93"/>
      <c r="K332" s="93"/>
      <c r="L332" s="93"/>
      <c r="M332" s="93"/>
      <c r="N332" s="93"/>
      <c r="O332" s="93"/>
      <c r="P332" s="93"/>
      <c r="Q332" s="93"/>
      <c r="R332" s="93"/>
      <c r="S332" s="93"/>
      <c r="T332" s="93"/>
      <c r="U332" s="93"/>
      <c r="V332" s="93"/>
      <c r="W332" s="93"/>
      <c r="X332" s="93"/>
      <c r="Y332" s="93"/>
      <c r="Z332" s="93"/>
    </row>
    <row r="333">
      <c r="A333" s="1"/>
      <c r="C333" s="44"/>
      <c r="E333" s="44"/>
      <c r="F333" s="93"/>
      <c r="G333" s="93"/>
      <c r="H333" s="93"/>
      <c r="I333" s="93"/>
      <c r="J333" s="93"/>
      <c r="K333" s="93"/>
      <c r="L333" s="93"/>
      <c r="M333" s="93"/>
      <c r="N333" s="93"/>
      <c r="O333" s="93"/>
      <c r="P333" s="93"/>
      <c r="Q333" s="93"/>
      <c r="R333" s="93"/>
      <c r="S333" s="93"/>
      <c r="T333" s="93"/>
      <c r="U333" s="93"/>
      <c r="V333" s="93"/>
      <c r="W333" s="93"/>
      <c r="X333" s="93"/>
      <c r="Y333" s="93"/>
      <c r="Z333" s="93"/>
    </row>
    <row r="334">
      <c r="A334" s="1"/>
      <c r="C334" s="44"/>
      <c r="E334" s="44"/>
      <c r="F334" s="93"/>
      <c r="G334" s="93"/>
      <c r="H334" s="93"/>
      <c r="I334" s="93"/>
      <c r="J334" s="93"/>
      <c r="K334" s="93"/>
      <c r="L334" s="93"/>
      <c r="M334" s="93"/>
      <c r="N334" s="93"/>
      <c r="O334" s="93"/>
      <c r="P334" s="93"/>
      <c r="Q334" s="93"/>
      <c r="R334" s="93"/>
      <c r="S334" s="93"/>
      <c r="T334" s="93"/>
      <c r="U334" s="93"/>
      <c r="V334" s="93"/>
      <c r="W334" s="93"/>
      <c r="X334" s="93"/>
      <c r="Y334" s="93"/>
      <c r="Z334" s="93"/>
    </row>
    <row r="335">
      <c r="A335" s="1"/>
      <c r="C335" s="44"/>
      <c r="E335" s="44"/>
      <c r="F335" s="93"/>
      <c r="G335" s="93"/>
      <c r="H335" s="93"/>
      <c r="I335" s="93"/>
      <c r="J335" s="93"/>
      <c r="K335" s="93"/>
      <c r="L335" s="93"/>
      <c r="M335" s="93"/>
      <c r="N335" s="93"/>
      <c r="O335" s="93"/>
      <c r="P335" s="93"/>
      <c r="Q335" s="93"/>
      <c r="R335" s="93"/>
      <c r="S335" s="93"/>
      <c r="T335" s="93"/>
      <c r="U335" s="93"/>
      <c r="V335" s="93"/>
      <c r="W335" s="93"/>
      <c r="X335" s="93"/>
      <c r="Y335" s="93"/>
      <c r="Z335" s="93"/>
    </row>
    <row r="336">
      <c r="A336" s="1"/>
      <c r="C336" s="44"/>
      <c r="E336" s="44"/>
      <c r="F336" s="93"/>
      <c r="G336" s="93"/>
      <c r="H336" s="93"/>
      <c r="I336" s="93"/>
      <c r="J336" s="93"/>
      <c r="K336" s="93"/>
      <c r="L336" s="93"/>
      <c r="M336" s="93"/>
      <c r="N336" s="93"/>
      <c r="O336" s="93"/>
      <c r="P336" s="93"/>
      <c r="Q336" s="93"/>
      <c r="R336" s="93"/>
      <c r="S336" s="93"/>
      <c r="T336" s="93"/>
      <c r="U336" s="93"/>
      <c r="V336" s="93"/>
      <c r="W336" s="93"/>
      <c r="X336" s="93"/>
      <c r="Y336" s="93"/>
      <c r="Z336" s="93"/>
    </row>
    <row r="337">
      <c r="A337" s="1"/>
      <c r="C337" s="44"/>
      <c r="E337" s="44"/>
      <c r="F337" s="93"/>
      <c r="G337" s="93"/>
      <c r="H337" s="93"/>
      <c r="I337" s="93"/>
      <c r="J337" s="93"/>
      <c r="K337" s="93"/>
      <c r="L337" s="93"/>
      <c r="M337" s="93"/>
      <c r="N337" s="93"/>
      <c r="O337" s="93"/>
      <c r="P337" s="93"/>
      <c r="Q337" s="93"/>
      <c r="R337" s="93"/>
      <c r="S337" s="93"/>
      <c r="T337" s="93"/>
      <c r="U337" s="93"/>
      <c r="V337" s="93"/>
      <c r="W337" s="93"/>
      <c r="X337" s="93"/>
      <c r="Y337" s="93"/>
      <c r="Z337" s="93"/>
    </row>
    <row r="338">
      <c r="A338" s="1"/>
      <c r="C338" s="44"/>
      <c r="E338" s="44"/>
      <c r="F338" s="93"/>
      <c r="G338" s="93"/>
      <c r="H338" s="93"/>
      <c r="I338" s="93"/>
      <c r="J338" s="93"/>
      <c r="K338" s="93"/>
      <c r="L338" s="93"/>
      <c r="M338" s="93"/>
      <c r="N338" s="93"/>
      <c r="O338" s="93"/>
      <c r="P338" s="93"/>
      <c r="Q338" s="93"/>
      <c r="R338" s="93"/>
      <c r="S338" s="93"/>
      <c r="T338" s="93"/>
      <c r="U338" s="93"/>
      <c r="V338" s="93"/>
      <c r="W338" s="93"/>
      <c r="X338" s="93"/>
      <c r="Y338" s="93"/>
      <c r="Z338" s="93"/>
    </row>
    <row r="339">
      <c r="A339" s="1"/>
      <c r="C339" s="44"/>
      <c r="E339" s="44"/>
      <c r="F339" s="93"/>
      <c r="G339" s="93"/>
      <c r="H339" s="93"/>
      <c r="I339" s="93"/>
      <c r="J339" s="93"/>
      <c r="K339" s="93"/>
      <c r="L339" s="93"/>
      <c r="M339" s="93"/>
      <c r="N339" s="93"/>
      <c r="O339" s="93"/>
      <c r="P339" s="93"/>
      <c r="Q339" s="93"/>
      <c r="R339" s="93"/>
      <c r="S339" s="93"/>
      <c r="T339" s="93"/>
      <c r="U339" s="93"/>
      <c r="V339" s="93"/>
      <c r="W339" s="93"/>
      <c r="X339" s="93"/>
      <c r="Y339" s="93"/>
      <c r="Z339" s="93"/>
    </row>
    <row r="340">
      <c r="A340" s="1"/>
      <c r="C340" s="44"/>
      <c r="E340" s="44"/>
      <c r="F340" s="93"/>
      <c r="G340" s="93"/>
      <c r="H340" s="93"/>
      <c r="I340" s="93"/>
      <c r="J340" s="93"/>
      <c r="K340" s="93"/>
      <c r="L340" s="93"/>
      <c r="M340" s="93"/>
      <c r="N340" s="93"/>
      <c r="O340" s="93"/>
      <c r="P340" s="93"/>
      <c r="Q340" s="93"/>
      <c r="R340" s="93"/>
      <c r="S340" s="93"/>
      <c r="T340" s="93"/>
      <c r="U340" s="93"/>
      <c r="V340" s="93"/>
      <c r="W340" s="93"/>
      <c r="X340" s="93"/>
      <c r="Y340" s="93"/>
      <c r="Z340" s="93"/>
    </row>
    <row r="341">
      <c r="A341" s="1"/>
      <c r="C341" s="44"/>
      <c r="E341" s="44"/>
      <c r="F341" s="93"/>
      <c r="G341" s="93"/>
      <c r="H341" s="93"/>
      <c r="I341" s="93"/>
      <c r="J341" s="93"/>
      <c r="K341" s="93"/>
      <c r="L341" s="93"/>
      <c r="M341" s="93"/>
      <c r="N341" s="93"/>
      <c r="O341" s="93"/>
      <c r="P341" s="93"/>
      <c r="Q341" s="93"/>
      <c r="R341" s="93"/>
      <c r="S341" s="93"/>
      <c r="T341" s="93"/>
      <c r="U341" s="93"/>
      <c r="V341" s="93"/>
      <c r="W341" s="93"/>
      <c r="X341" s="93"/>
      <c r="Y341" s="93"/>
      <c r="Z341" s="93"/>
    </row>
    <row r="342">
      <c r="A342" s="1"/>
      <c r="C342" s="44"/>
      <c r="E342" s="44"/>
      <c r="F342" s="93"/>
      <c r="G342" s="93"/>
      <c r="H342" s="93"/>
      <c r="I342" s="93"/>
      <c r="J342" s="93"/>
      <c r="K342" s="93"/>
      <c r="L342" s="93"/>
      <c r="M342" s="93"/>
      <c r="N342" s="93"/>
      <c r="O342" s="93"/>
      <c r="P342" s="93"/>
      <c r="Q342" s="93"/>
      <c r="R342" s="93"/>
      <c r="S342" s="93"/>
      <c r="T342" s="93"/>
      <c r="U342" s="93"/>
      <c r="V342" s="93"/>
      <c r="W342" s="93"/>
      <c r="X342" s="93"/>
      <c r="Y342" s="93"/>
      <c r="Z342" s="93"/>
    </row>
    <row r="343">
      <c r="A343" s="1"/>
      <c r="C343" s="44"/>
      <c r="E343" s="44"/>
      <c r="F343" s="93"/>
      <c r="G343" s="93"/>
      <c r="H343" s="93"/>
      <c r="I343" s="93"/>
      <c r="J343" s="93"/>
      <c r="K343" s="93"/>
      <c r="L343" s="93"/>
      <c r="M343" s="93"/>
      <c r="N343" s="93"/>
      <c r="O343" s="93"/>
      <c r="P343" s="93"/>
      <c r="Q343" s="93"/>
      <c r="R343" s="93"/>
      <c r="S343" s="93"/>
      <c r="T343" s="93"/>
      <c r="U343" s="93"/>
      <c r="V343" s="93"/>
      <c r="W343" s="93"/>
      <c r="X343" s="93"/>
      <c r="Y343" s="93"/>
      <c r="Z343" s="93"/>
    </row>
    <row r="344">
      <c r="A344" s="1"/>
      <c r="C344" s="44"/>
      <c r="E344" s="44"/>
      <c r="F344" s="93"/>
      <c r="G344" s="93"/>
      <c r="H344" s="93"/>
      <c r="I344" s="93"/>
      <c r="J344" s="93"/>
      <c r="K344" s="93"/>
      <c r="L344" s="93"/>
      <c r="M344" s="93"/>
      <c r="N344" s="93"/>
      <c r="O344" s="93"/>
      <c r="P344" s="93"/>
      <c r="Q344" s="93"/>
      <c r="R344" s="93"/>
      <c r="S344" s="93"/>
      <c r="T344" s="93"/>
      <c r="U344" s="93"/>
      <c r="V344" s="93"/>
      <c r="W344" s="93"/>
      <c r="X344" s="93"/>
      <c r="Y344" s="93"/>
      <c r="Z344" s="93"/>
    </row>
    <row r="345">
      <c r="A345" s="1"/>
      <c r="C345" s="44"/>
      <c r="E345" s="44"/>
      <c r="F345" s="93"/>
      <c r="G345" s="93"/>
      <c r="H345" s="93"/>
      <c r="I345" s="93"/>
      <c r="J345" s="93"/>
      <c r="K345" s="93"/>
      <c r="L345" s="93"/>
      <c r="M345" s="93"/>
      <c r="N345" s="93"/>
      <c r="O345" s="93"/>
      <c r="P345" s="93"/>
      <c r="Q345" s="93"/>
      <c r="R345" s="93"/>
      <c r="S345" s="93"/>
      <c r="T345" s="93"/>
      <c r="U345" s="93"/>
      <c r="V345" s="93"/>
      <c r="W345" s="93"/>
      <c r="X345" s="93"/>
      <c r="Y345" s="93"/>
      <c r="Z345" s="93"/>
    </row>
    <row r="346">
      <c r="A346" s="1"/>
      <c r="C346" s="44"/>
      <c r="E346" s="44"/>
      <c r="F346" s="93"/>
      <c r="G346" s="93"/>
      <c r="H346" s="93"/>
      <c r="I346" s="93"/>
      <c r="J346" s="93"/>
      <c r="K346" s="93"/>
      <c r="L346" s="93"/>
      <c r="M346" s="93"/>
      <c r="N346" s="93"/>
      <c r="O346" s="93"/>
      <c r="P346" s="93"/>
      <c r="Q346" s="93"/>
      <c r="R346" s="93"/>
      <c r="S346" s="93"/>
      <c r="T346" s="93"/>
      <c r="U346" s="93"/>
      <c r="V346" s="93"/>
      <c r="W346" s="93"/>
      <c r="X346" s="93"/>
      <c r="Y346" s="93"/>
      <c r="Z346" s="93"/>
    </row>
    <row r="347">
      <c r="A347" s="1"/>
      <c r="C347" s="44"/>
      <c r="E347" s="44"/>
      <c r="F347" s="93"/>
      <c r="G347" s="93"/>
      <c r="H347" s="93"/>
      <c r="I347" s="93"/>
      <c r="J347" s="93"/>
      <c r="K347" s="93"/>
      <c r="L347" s="93"/>
      <c r="M347" s="93"/>
      <c r="N347" s="93"/>
      <c r="O347" s="93"/>
      <c r="P347" s="93"/>
      <c r="Q347" s="93"/>
      <c r="R347" s="93"/>
      <c r="S347" s="93"/>
      <c r="T347" s="93"/>
      <c r="U347" s="93"/>
      <c r="V347" s="93"/>
      <c r="W347" s="93"/>
      <c r="X347" s="93"/>
      <c r="Y347" s="93"/>
      <c r="Z347" s="93"/>
    </row>
    <row r="348">
      <c r="A348" s="1"/>
      <c r="C348" s="44"/>
      <c r="E348" s="44"/>
      <c r="F348" s="93"/>
      <c r="G348" s="93"/>
      <c r="H348" s="93"/>
      <c r="I348" s="93"/>
      <c r="J348" s="93"/>
      <c r="K348" s="93"/>
      <c r="L348" s="93"/>
      <c r="M348" s="93"/>
      <c r="N348" s="93"/>
      <c r="O348" s="93"/>
      <c r="P348" s="93"/>
      <c r="Q348" s="93"/>
      <c r="R348" s="93"/>
      <c r="S348" s="93"/>
      <c r="T348" s="93"/>
      <c r="U348" s="93"/>
      <c r="V348" s="93"/>
      <c r="W348" s="93"/>
      <c r="X348" s="93"/>
      <c r="Y348" s="93"/>
      <c r="Z348" s="93"/>
    </row>
    <row r="349">
      <c r="A349" s="1"/>
      <c r="C349" s="44"/>
      <c r="E349" s="44"/>
      <c r="F349" s="93"/>
      <c r="G349" s="93"/>
      <c r="H349" s="93"/>
      <c r="I349" s="93"/>
      <c r="J349" s="93"/>
      <c r="K349" s="93"/>
      <c r="L349" s="93"/>
      <c r="M349" s="93"/>
      <c r="N349" s="93"/>
      <c r="O349" s="93"/>
      <c r="P349" s="93"/>
      <c r="Q349" s="93"/>
      <c r="R349" s="93"/>
      <c r="S349" s="93"/>
      <c r="T349" s="93"/>
      <c r="U349" s="93"/>
      <c r="V349" s="93"/>
      <c r="W349" s="93"/>
      <c r="X349" s="93"/>
      <c r="Y349" s="93"/>
      <c r="Z349" s="93"/>
    </row>
    <row r="350">
      <c r="A350" s="1"/>
      <c r="C350" s="44"/>
      <c r="E350" s="44"/>
      <c r="F350" s="93"/>
      <c r="G350" s="93"/>
      <c r="H350" s="93"/>
      <c r="I350" s="93"/>
      <c r="J350" s="93"/>
      <c r="K350" s="93"/>
      <c r="L350" s="93"/>
      <c r="M350" s="93"/>
      <c r="N350" s="93"/>
      <c r="O350" s="93"/>
      <c r="P350" s="93"/>
      <c r="Q350" s="93"/>
      <c r="R350" s="93"/>
      <c r="S350" s="93"/>
      <c r="T350" s="93"/>
      <c r="U350" s="93"/>
      <c r="V350" s="93"/>
      <c r="W350" s="93"/>
      <c r="X350" s="93"/>
      <c r="Y350" s="93"/>
      <c r="Z350" s="93"/>
    </row>
    <row r="351">
      <c r="A351" s="1"/>
      <c r="C351" s="44"/>
      <c r="E351" s="44"/>
      <c r="F351" s="93"/>
      <c r="G351" s="93"/>
      <c r="H351" s="93"/>
      <c r="I351" s="93"/>
      <c r="J351" s="93"/>
      <c r="K351" s="93"/>
      <c r="L351" s="93"/>
      <c r="M351" s="93"/>
      <c r="N351" s="93"/>
      <c r="O351" s="93"/>
      <c r="P351" s="93"/>
      <c r="Q351" s="93"/>
      <c r="R351" s="93"/>
      <c r="S351" s="93"/>
      <c r="T351" s="93"/>
      <c r="U351" s="93"/>
      <c r="V351" s="93"/>
      <c r="W351" s="93"/>
      <c r="X351" s="93"/>
      <c r="Y351" s="93"/>
      <c r="Z351" s="93"/>
    </row>
    <row r="352">
      <c r="A352" s="1"/>
      <c r="C352" s="44"/>
      <c r="E352" s="44"/>
      <c r="F352" s="93"/>
      <c r="G352" s="93"/>
      <c r="H352" s="93"/>
      <c r="I352" s="93"/>
      <c r="J352" s="93"/>
      <c r="K352" s="93"/>
      <c r="L352" s="93"/>
      <c r="M352" s="93"/>
      <c r="N352" s="93"/>
      <c r="O352" s="93"/>
      <c r="P352" s="93"/>
      <c r="Q352" s="93"/>
      <c r="R352" s="93"/>
      <c r="S352" s="93"/>
      <c r="T352" s="93"/>
      <c r="U352" s="93"/>
      <c r="V352" s="93"/>
      <c r="W352" s="93"/>
      <c r="X352" s="93"/>
      <c r="Y352" s="93"/>
      <c r="Z352" s="93"/>
    </row>
    <row r="353">
      <c r="A353" s="1"/>
      <c r="C353" s="44"/>
      <c r="E353" s="44"/>
      <c r="F353" s="93"/>
      <c r="G353" s="93"/>
      <c r="H353" s="93"/>
      <c r="I353" s="93"/>
      <c r="J353" s="93"/>
      <c r="K353" s="93"/>
      <c r="L353" s="93"/>
      <c r="M353" s="93"/>
      <c r="N353" s="93"/>
      <c r="O353" s="93"/>
      <c r="P353" s="93"/>
      <c r="Q353" s="93"/>
      <c r="R353" s="93"/>
      <c r="S353" s="93"/>
      <c r="T353" s="93"/>
      <c r="U353" s="93"/>
      <c r="V353" s="93"/>
      <c r="W353" s="93"/>
      <c r="X353" s="93"/>
      <c r="Y353" s="93"/>
      <c r="Z353" s="93"/>
    </row>
    <row r="354">
      <c r="A354" s="1"/>
      <c r="C354" s="44"/>
      <c r="E354" s="44"/>
      <c r="F354" s="93"/>
      <c r="G354" s="93"/>
      <c r="H354" s="93"/>
      <c r="I354" s="93"/>
      <c r="J354" s="93"/>
      <c r="K354" s="93"/>
      <c r="L354" s="93"/>
      <c r="M354" s="93"/>
      <c r="N354" s="93"/>
      <c r="O354" s="93"/>
      <c r="P354" s="93"/>
      <c r="Q354" s="93"/>
      <c r="R354" s="93"/>
      <c r="S354" s="93"/>
      <c r="T354" s="93"/>
      <c r="U354" s="93"/>
      <c r="V354" s="93"/>
      <c r="W354" s="93"/>
      <c r="X354" s="93"/>
      <c r="Y354" s="93"/>
      <c r="Z354" s="93"/>
    </row>
    <row r="355">
      <c r="A355" s="1"/>
      <c r="C355" s="44"/>
      <c r="E355" s="44"/>
      <c r="F355" s="93"/>
      <c r="G355" s="93"/>
      <c r="H355" s="93"/>
      <c r="I355" s="93"/>
      <c r="J355" s="93"/>
      <c r="K355" s="93"/>
      <c r="L355" s="93"/>
      <c r="M355" s="93"/>
      <c r="N355" s="93"/>
      <c r="O355" s="93"/>
      <c r="P355" s="93"/>
      <c r="Q355" s="93"/>
      <c r="R355" s="93"/>
      <c r="S355" s="93"/>
      <c r="T355" s="93"/>
      <c r="U355" s="93"/>
      <c r="V355" s="93"/>
      <c r="W355" s="93"/>
      <c r="X355" s="93"/>
      <c r="Y355" s="93"/>
      <c r="Z355" s="93"/>
    </row>
    <row r="356">
      <c r="A356" s="1"/>
      <c r="C356" s="44"/>
      <c r="E356" s="44"/>
      <c r="F356" s="93"/>
      <c r="G356" s="93"/>
      <c r="H356" s="93"/>
      <c r="I356" s="93"/>
      <c r="J356" s="93"/>
      <c r="K356" s="93"/>
      <c r="L356" s="93"/>
      <c r="M356" s="93"/>
      <c r="N356" s="93"/>
      <c r="O356" s="93"/>
      <c r="P356" s="93"/>
      <c r="Q356" s="93"/>
      <c r="R356" s="93"/>
      <c r="S356" s="93"/>
      <c r="T356" s="93"/>
      <c r="U356" s="93"/>
      <c r="V356" s="93"/>
      <c r="W356" s="93"/>
      <c r="X356" s="93"/>
      <c r="Y356" s="93"/>
      <c r="Z356" s="93"/>
    </row>
    <row r="357">
      <c r="A357" s="1"/>
      <c r="C357" s="44"/>
      <c r="E357" s="44"/>
      <c r="F357" s="93"/>
      <c r="G357" s="93"/>
      <c r="H357" s="93"/>
      <c r="I357" s="93"/>
      <c r="J357" s="93"/>
      <c r="K357" s="93"/>
      <c r="L357" s="93"/>
      <c r="M357" s="93"/>
      <c r="N357" s="93"/>
      <c r="O357" s="93"/>
      <c r="P357" s="93"/>
      <c r="Q357" s="93"/>
      <c r="R357" s="93"/>
      <c r="S357" s="93"/>
      <c r="T357" s="93"/>
      <c r="U357" s="93"/>
      <c r="V357" s="93"/>
      <c r="W357" s="93"/>
      <c r="X357" s="93"/>
      <c r="Y357" s="93"/>
      <c r="Z357" s="93"/>
    </row>
    <row r="358">
      <c r="A358" s="1"/>
      <c r="C358" s="44"/>
      <c r="E358" s="44"/>
      <c r="F358" s="93"/>
      <c r="G358" s="93"/>
      <c r="H358" s="93"/>
      <c r="I358" s="93"/>
      <c r="J358" s="93"/>
      <c r="K358" s="93"/>
      <c r="L358" s="93"/>
      <c r="M358" s="93"/>
      <c r="N358" s="93"/>
      <c r="O358" s="93"/>
      <c r="P358" s="93"/>
      <c r="Q358" s="93"/>
      <c r="R358" s="93"/>
      <c r="S358" s="93"/>
      <c r="T358" s="93"/>
      <c r="U358" s="93"/>
      <c r="V358" s="93"/>
      <c r="W358" s="93"/>
      <c r="X358" s="93"/>
      <c r="Y358" s="93"/>
      <c r="Z358" s="93"/>
    </row>
    <row r="359">
      <c r="A359" s="1"/>
      <c r="C359" s="44"/>
      <c r="E359" s="44"/>
      <c r="F359" s="93"/>
      <c r="G359" s="93"/>
      <c r="H359" s="93"/>
      <c r="I359" s="93"/>
      <c r="J359" s="93"/>
      <c r="K359" s="93"/>
      <c r="L359" s="93"/>
      <c r="M359" s="93"/>
      <c r="N359" s="93"/>
      <c r="O359" s="93"/>
      <c r="P359" s="93"/>
      <c r="Q359" s="93"/>
      <c r="R359" s="93"/>
      <c r="S359" s="93"/>
      <c r="T359" s="93"/>
      <c r="U359" s="93"/>
      <c r="V359" s="93"/>
      <c r="W359" s="93"/>
      <c r="X359" s="93"/>
      <c r="Y359" s="93"/>
      <c r="Z359" s="93"/>
    </row>
    <row r="360">
      <c r="A360" s="1"/>
      <c r="C360" s="44"/>
      <c r="E360" s="44"/>
      <c r="F360" s="93"/>
      <c r="G360" s="93"/>
      <c r="H360" s="93"/>
      <c r="I360" s="93"/>
      <c r="J360" s="93"/>
      <c r="K360" s="93"/>
      <c r="L360" s="93"/>
      <c r="M360" s="93"/>
      <c r="N360" s="93"/>
      <c r="O360" s="93"/>
      <c r="P360" s="93"/>
      <c r="Q360" s="93"/>
      <c r="R360" s="93"/>
      <c r="S360" s="93"/>
      <c r="T360" s="93"/>
      <c r="U360" s="93"/>
      <c r="V360" s="93"/>
      <c r="W360" s="93"/>
      <c r="X360" s="93"/>
      <c r="Y360" s="93"/>
      <c r="Z360" s="93"/>
    </row>
    <row r="361">
      <c r="A361" s="1"/>
      <c r="C361" s="44"/>
      <c r="E361" s="44"/>
      <c r="F361" s="93"/>
      <c r="G361" s="93"/>
      <c r="H361" s="93"/>
      <c r="I361" s="93"/>
      <c r="J361" s="93"/>
      <c r="K361" s="93"/>
      <c r="L361" s="93"/>
      <c r="M361" s="93"/>
      <c r="N361" s="93"/>
      <c r="O361" s="93"/>
      <c r="P361" s="93"/>
      <c r="Q361" s="93"/>
      <c r="R361" s="93"/>
      <c r="S361" s="93"/>
      <c r="T361" s="93"/>
      <c r="U361" s="93"/>
      <c r="V361" s="93"/>
      <c r="W361" s="93"/>
      <c r="X361" s="93"/>
      <c r="Y361" s="93"/>
      <c r="Z361" s="93"/>
    </row>
    <row r="362">
      <c r="A362" s="1"/>
      <c r="C362" s="44"/>
      <c r="E362" s="44"/>
      <c r="F362" s="93"/>
      <c r="G362" s="93"/>
      <c r="H362" s="93"/>
      <c r="I362" s="93"/>
      <c r="J362" s="93"/>
      <c r="K362" s="93"/>
      <c r="L362" s="93"/>
      <c r="M362" s="93"/>
      <c r="N362" s="93"/>
      <c r="O362" s="93"/>
      <c r="P362" s="93"/>
      <c r="Q362" s="93"/>
      <c r="R362" s="93"/>
      <c r="S362" s="93"/>
      <c r="T362" s="93"/>
      <c r="U362" s="93"/>
      <c r="V362" s="93"/>
      <c r="W362" s="93"/>
      <c r="X362" s="93"/>
      <c r="Y362" s="93"/>
      <c r="Z362" s="93"/>
    </row>
    <row r="363">
      <c r="A363" s="1"/>
      <c r="C363" s="44"/>
      <c r="E363" s="44"/>
      <c r="F363" s="93"/>
      <c r="G363" s="93"/>
      <c r="H363" s="93"/>
      <c r="I363" s="93"/>
      <c r="J363" s="93"/>
      <c r="K363" s="93"/>
      <c r="L363" s="93"/>
      <c r="M363" s="93"/>
      <c r="N363" s="93"/>
      <c r="O363" s="93"/>
      <c r="P363" s="93"/>
      <c r="Q363" s="93"/>
      <c r="R363" s="93"/>
      <c r="S363" s="93"/>
      <c r="T363" s="93"/>
      <c r="U363" s="93"/>
      <c r="V363" s="93"/>
      <c r="W363" s="93"/>
      <c r="X363" s="93"/>
      <c r="Y363" s="93"/>
      <c r="Z363" s="93"/>
    </row>
    <row r="364">
      <c r="A364" s="1"/>
      <c r="C364" s="44"/>
      <c r="E364" s="44"/>
      <c r="F364" s="93"/>
      <c r="G364" s="93"/>
      <c r="H364" s="93"/>
      <c r="I364" s="93"/>
      <c r="J364" s="93"/>
      <c r="K364" s="93"/>
      <c r="L364" s="93"/>
      <c r="M364" s="93"/>
      <c r="N364" s="93"/>
      <c r="O364" s="93"/>
      <c r="P364" s="93"/>
      <c r="Q364" s="93"/>
      <c r="R364" s="93"/>
      <c r="S364" s="93"/>
      <c r="T364" s="93"/>
      <c r="U364" s="93"/>
      <c r="V364" s="93"/>
      <c r="W364" s="93"/>
      <c r="X364" s="93"/>
      <c r="Y364" s="93"/>
      <c r="Z364" s="93"/>
    </row>
    <row r="365">
      <c r="A365" s="1"/>
      <c r="C365" s="44"/>
      <c r="E365" s="44"/>
      <c r="F365" s="93"/>
      <c r="G365" s="93"/>
      <c r="H365" s="93"/>
      <c r="I365" s="93"/>
      <c r="J365" s="93"/>
      <c r="K365" s="93"/>
      <c r="L365" s="93"/>
      <c r="M365" s="93"/>
      <c r="N365" s="93"/>
      <c r="O365" s="93"/>
      <c r="P365" s="93"/>
      <c r="Q365" s="93"/>
      <c r="R365" s="93"/>
      <c r="S365" s="93"/>
      <c r="T365" s="93"/>
      <c r="U365" s="93"/>
      <c r="V365" s="93"/>
      <c r="W365" s="93"/>
      <c r="X365" s="93"/>
      <c r="Y365" s="93"/>
      <c r="Z365" s="93"/>
    </row>
    <row r="366">
      <c r="A366" s="1"/>
      <c r="C366" s="44"/>
      <c r="E366" s="44"/>
      <c r="F366" s="93"/>
      <c r="G366" s="93"/>
      <c r="H366" s="93"/>
      <c r="I366" s="93"/>
      <c r="J366" s="93"/>
      <c r="K366" s="93"/>
      <c r="L366" s="93"/>
      <c r="M366" s="93"/>
      <c r="N366" s="93"/>
      <c r="O366" s="93"/>
      <c r="P366" s="93"/>
      <c r="Q366" s="93"/>
      <c r="R366" s="93"/>
      <c r="S366" s="93"/>
      <c r="T366" s="93"/>
      <c r="U366" s="93"/>
      <c r="V366" s="93"/>
      <c r="W366" s="93"/>
      <c r="X366" s="93"/>
      <c r="Y366" s="93"/>
      <c r="Z366" s="93"/>
    </row>
    <row r="367">
      <c r="A367" s="1"/>
      <c r="C367" s="44"/>
      <c r="E367" s="44"/>
      <c r="F367" s="93"/>
      <c r="G367" s="93"/>
      <c r="H367" s="93"/>
      <c r="I367" s="93"/>
      <c r="J367" s="93"/>
      <c r="K367" s="93"/>
      <c r="L367" s="93"/>
      <c r="M367" s="93"/>
      <c r="N367" s="93"/>
      <c r="O367" s="93"/>
      <c r="P367" s="93"/>
      <c r="Q367" s="93"/>
      <c r="R367" s="93"/>
      <c r="S367" s="93"/>
      <c r="T367" s="93"/>
      <c r="U367" s="93"/>
      <c r="V367" s="93"/>
      <c r="W367" s="93"/>
      <c r="X367" s="93"/>
      <c r="Y367" s="93"/>
      <c r="Z367" s="93"/>
    </row>
    <row r="368">
      <c r="A368" s="1"/>
      <c r="C368" s="44"/>
      <c r="E368" s="44"/>
      <c r="F368" s="93"/>
      <c r="G368" s="93"/>
      <c r="H368" s="93"/>
      <c r="I368" s="93"/>
      <c r="J368" s="93"/>
      <c r="K368" s="93"/>
      <c r="L368" s="93"/>
      <c r="M368" s="93"/>
      <c r="N368" s="93"/>
      <c r="O368" s="93"/>
      <c r="P368" s="93"/>
      <c r="Q368" s="93"/>
      <c r="R368" s="93"/>
      <c r="S368" s="93"/>
      <c r="T368" s="93"/>
      <c r="U368" s="93"/>
      <c r="V368" s="93"/>
      <c r="W368" s="93"/>
      <c r="X368" s="93"/>
      <c r="Y368" s="93"/>
      <c r="Z368" s="93"/>
    </row>
    <row r="369">
      <c r="A369" s="1"/>
      <c r="C369" s="44"/>
      <c r="E369" s="44"/>
      <c r="F369" s="93"/>
      <c r="G369" s="93"/>
      <c r="H369" s="93"/>
      <c r="I369" s="93"/>
      <c r="J369" s="93"/>
      <c r="K369" s="93"/>
      <c r="L369" s="93"/>
      <c r="M369" s="93"/>
      <c r="N369" s="93"/>
      <c r="O369" s="93"/>
      <c r="P369" s="93"/>
      <c r="Q369" s="93"/>
      <c r="R369" s="93"/>
      <c r="S369" s="93"/>
      <c r="T369" s="93"/>
      <c r="U369" s="93"/>
      <c r="V369" s="93"/>
      <c r="W369" s="93"/>
      <c r="X369" s="93"/>
      <c r="Y369" s="93"/>
      <c r="Z369" s="93"/>
    </row>
    <row r="370">
      <c r="A370" s="1"/>
      <c r="C370" s="44"/>
      <c r="E370" s="44"/>
      <c r="F370" s="93"/>
      <c r="G370" s="93"/>
      <c r="H370" s="93"/>
      <c r="I370" s="93"/>
      <c r="J370" s="93"/>
      <c r="K370" s="93"/>
      <c r="L370" s="93"/>
      <c r="M370" s="93"/>
      <c r="N370" s="93"/>
      <c r="O370" s="93"/>
      <c r="P370" s="93"/>
      <c r="Q370" s="93"/>
      <c r="R370" s="93"/>
      <c r="S370" s="93"/>
      <c r="T370" s="93"/>
      <c r="U370" s="93"/>
      <c r="V370" s="93"/>
      <c r="W370" s="93"/>
      <c r="X370" s="93"/>
      <c r="Y370" s="93"/>
      <c r="Z370" s="93"/>
    </row>
    <row r="371">
      <c r="A371" s="1"/>
      <c r="C371" s="44"/>
      <c r="E371" s="44"/>
      <c r="F371" s="93"/>
      <c r="G371" s="93"/>
      <c r="H371" s="93"/>
      <c r="I371" s="93"/>
      <c r="J371" s="93"/>
      <c r="K371" s="93"/>
      <c r="L371" s="93"/>
      <c r="M371" s="93"/>
      <c r="N371" s="93"/>
      <c r="O371" s="93"/>
      <c r="P371" s="93"/>
      <c r="Q371" s="93"/>
      <c r="R371" s="93"/>
      <c r="S371" s="93"/>
      <c r="T371" s="93"/>
      <c r="U371" s="93"/>
      <c r="V371" s="93"/>
      <c r="W371" s="93"/>
      <c r="X371" s="93"/>
      <c r="Y371" s="93"/>
      <c r="Z371" s="93"/>
    </row>
    <row r="372">
      <c r="A372" s="1"/>
      <c r="C372" s="44"/>
      <c r="E372" s="44"/>
      <c r="F372" s="93"/>
      <c r="G372" s="93"/>
      <c r="H372" s="93"/>
      <c r="I372" s="93"/>
      <c r="J372" s="93"/>
      <c r="K372" s="93"/>
      <c r="L372" s="93"/>
      <c r="M372" s="93"/>
      <c r="N372" s="93"/>
      <c r="O372" s="93"/>
      <c r="P372" s="93"/>
      <c r="Q372" s="93"/>
      <c r="R372" s="93"/>
      <c r="S372" s="93"/>
      <c r="T372" s="93"/>
      <c r="U372" s="93"/>
      <c r="V372" s="93"/>
      <c r="W372" s="93"/>
      <c r="X372" s="93"/>
      <c r="Y372" s="93"/>
      <c r="Z372" s="93"/>
    </row>
    <row r="373">
      <c r="A373" s="1"/>
      <c r="C373" s="44"/>
      <c r="E373" s="44"/>
      <c r="F373" s="93"/>
      <c r="G373" s="93"/>
      <c r="H373" s="93"/>
      <c r="I373" s="93"/>
      <c r="J373" s="93"/>
      <c r="K373" s="93"/>
      <c r="L373" s="93"/>
      <c r="M373" s="93"/>
      <c r="N373" s="93"/>
      <c r="O373" s="93"/>
      <c r="P373" s="93"/>
      <c r="Q373" s="93"/>
      <c r="R373" s="93"/>
      <c r="S373" s="93"/>
      <c r="T373" s="93"/>
      <c r="U373" s="93"/>
      <c r="V373" s="93"/>
      <c r="W373" s="93"/>
      <c r="X373" s="93"/>
      <c r="Y373" s="93"/>
      <c r="Z373" s="93"/>
    </row>
    <row r="374">
      <c r="A374" s="1"/>
      <c r="C374" s="44"/>
      <c r="E374" s="44"/>
      <c r="F374" s="93"/>
      <c r="G374" s="93"/>
      <c r="H374" s="93"/>
      <c r="I374" s="93"/>
      <c r="J374" s="93"/>
      <c r="K374" s="93"/>
      <c r="L374" s="93"/>
      <c r="M374" s="93"/>
      <c r="N374" s="93"/>
      <c r="O374" s="93"/>
      <c r="P374" s="93"/>
      <c r="Q374" s="93"/>
      <c r="R374" s="93"/>
      <c r="S374" s="93"/>
      <c r="T374" s="93"/>
      <c r="U374" s="93"/>
      <c r="V374" s="93"/>
      <c r="W374" s="93"/>
      <c r="X374" s="93"/>
      <c r="Y374" s="93"/>
      <c r="Z374" s="93"/>
    </row>
    <row r="375">
      <c r="A375" s="1"/>
      <c r="C375" s="44"/>
      <c r="E375" s="44"/>
      <c r="F375" s="93"/>
      <c r="G375" s="93"/>
      <c r="H375" s="93"/>
      <c r="I375" s="93"/>
      <c r="J375" s="93"/>
      <c r="K375" s="93"/>
      <c r="L375" s="93"/>
      <c r="M375" s="93"/>
      <c r="N375" s="93"/>
      <c r="O375" s="93"/>
      <c r="P375" s="93"/>
      <c r="Q375" s="93"/>
      <c r="R375" s="93"/>
      <c r="S375" s="93"/>
      <c r="T375" s="93"/>
      <c r="U375" s="93"/>
      <c r="V375" s="93"/>
      <c r="W375" s="93"/>
      <c r="X375" s="93"/>
      <c r="Y375" s="93"/>
      <c r="Z375" s="93"/>
    </row>
    <row r="376">
      <c r="A376" s="1"/>
      <c r="C376" s="44"/>
      <c r="E376" s="44"/>
      <c r="F376" s="93"/>
      <c r="G376" s="93"/>
      <c r="H376" s="93"/>
      <c r="I376" s="93"/>
      <c r="J376" s="93"/>
      <c r="K376" s="93"/>
      <c r="L376" s="93"/>
      <c r="M376" s="93"/>
      <c r="N376" s="93"/>
      <c r="O376" s="93"/>
      <c r="P376" s="93"/>
      <c r="Q376" s="93"/>
      <c r="R376" s="93"/>
      <c r="S376" s="93"/>
      <c r="T376" s="93"/>
      <c r="U376" s="93"/>
      <c r="V376" s="93"/>
      <c r="W376" s="93"/>
      <c r="X376" s="93"/>
      <c r="Y376" s="93"/>
      <c r="Z376" s="93"/>
    </row>
    <row r="377">
      <c r="A377" s="1"/>
      <c r="C377" s="44"/>
      <c r="E377" s="44"/>
      <c r="F377" s="93"/>
      <c r="G377" s="93"/>
      <c r="H377" s="93"/>
      <c r="I377" s="93"/>
      <c r="J377" s="93"/>
      <c r="K377" s="93"/>
      <c r="L377" s="93"/>
      <c r="M377" s="93"/>
      <c r="N377" s="93"/>
      <c r="O377" s="93"/>
      <c r="P377" s="93"/>
      <c r="Q377" s="93"/>
      <c r="R377" s="93"/>
      <c r="S377" s="93"/>
      <c r="T377" s="93"/>
      <c r="U377" s="93"/>
      <c r="V377" s="93"/>
      <c r="W377" s="93"/>
      <c r="X377" s="93"/>
      <c r="Y377" s="93"/>
      <c r="Z377" s="93"/>
    </row>
    <row r="378">
      <c r="A378" s="1"/>
      <c r="C378" s="44"/>
      <c r="E378" s="44"/>
      <c r="F378" s="93"/>
      <c r="G378" s="93"/>
      <c r="H378" s="93"/>
      <c r="I378" s="93"/>
      <c r="J378" s="93"/>
      <c r="K378" s="93"/>
      <c r="L378" s="93"/>
      <c r="M378" s="93"/>
      <c r="N378" s="93"/>
      <c r="O378" s="93"/>
      <c r="P378" s="93"/>
      <c r="Q378" s="93"/>
      <c r="R378" s="93"/>
      <c r="S378" s="93"/>
      <c r="T378" s="93"/>
      <c r="U378" s="93"/>
      <c r="V378" s="93"/>
      <c r="W378" s="93"/>
      <c r="X378" s="93"/>
      <c r="Y378" s="93"/>
      <c r="Z378" s="93"/>
    </row>
    <row r="379">
      <c r="A379" s="1"/>
      <c r="C379" s="44"/>
      <c r="E379" s="44"/>
      <c r="F379" s="93"/>
      <c r="G379" s="93"/>
      <c r="H379" s="93"/>
      <c r="I379" s="93"/>
      <c r="J379" s="93"/>
      <c r="K379" s="93"/>
      <c r="L379" s="93"/>
      <c r="M379" s="93"/>
      <c r="N379" s="93"/>
      <c r="O379" s="93"/>
      <c r="P379" s="93"/>
      <c r="Q379" s="93"/>
      <c r="R379" s="93"/>
      <c r="S379" s="93"/>
      <c r="T379" s="93"/>
      <c r="U379" s="93"/>
      <c r="V379" s="93"/>
      <c r="W379" s="93"/>
      <c r="X379" s="93"/>
      <c r="Y379" s="93"/>
      <c r="Z379" s="93"/>
    </row>
    <row r="380">
      <c r="A380" s="1"/>
      <c r="C380" s="44"/>
      <c r="E380" s="44"/>
      <c r="F380" s="93"/>
      <c r="G380" s="93"/>
      <c r="H380" s="93"/>
      <c r="I380" s="93"/>
      <c r="J380" s="93"/>
      <c r="K380" s="93"/>
      <c r="L380" s="93"/>
      <c r="M380" s="93"/>
      <c r="N380" s="93"/>
      <c r="O380" s="93"/>
      <c r="P380" s="93"/>
      <c r="Q380" s="93"/>
      <c r="R380" s="93"/>
      <c r="S380" s="93"/>
      <c r="T380" s="93"/>
      <c r="U380" s="93"/>
      <c r="V380" s="93"/>
      <c r="W380" s="93"/>
      <c r="X380" s="93"/>
      <c r="Y380" s="93"/>
      <c r="Z380" s="93"/>
    </row>
    <row r="381">
      <c r="A381" s="1"/>
      <c r="C381" s="44"/>
      <c r="E381" s="44"/>
      <c r="F381" s="93"/>
      <c r="G381" s="93"/>
      <c r="H381" s="93"/>
      <c r="I381" s="93"/>
      <c r="J381" s="93"/>
      <c r="K381" s="93"/>
      <c r="L381" s="93"/>
      <c r="M381" s="93"/>
      <c r="N381" s="93"/>
      <c r="O381" s="93"/>
      <c r="P381" s="93"/>
      <c r="Q381" s="93"/>
      <c r="R381" s="93"/>
      <c r="S381" s="93"/>
      <c r="T381" s="93"/>
      <c r="U381" s="93"/>
      <c r="V381" s="93"/>
      <c r="W381" s="93"/>
      <c r="X381" s="93"/>
      <c r="Y381" s="93"/>
      <c r="Z381" s="93"/>
    </row>
    <row r="382">
      <c r="A382" s="1"/>
      <c r="C382" s="44"/>
      <c r="E382" s="44"/>
      <c r="F382" s="93"/>
      <c r="G382" s="93"/>
      <c r="H382" s="93"/>
      <c r="I382" s="93"/>
      <c r="J382" s="93"/>
      <c r="K382" s="93"/>
      <c r="L382" s="93"/>
      <c r="M382" s="93"/>
      <c r="N382" s="93"/>
      <c r="O382" s="93"/>
      <c r="P382" s="93"/>
      <c r="Q382" s="93"/>
      <c r="R382" s="93"/>
      <c r="S382" s="93"/>
      <c r="T382" s="93"/>
      <c r="U382" s="93"/>
      <c r="V382" s="93"/>
      <c r="W382" s="93"/>
      <c r="X382" s="93"/>
      <c r="Y382" s="93"/>
      <c r="Z382" s="93"/>
    </row>
    <row r="383">
      <c r="A383" s="1"/>
      <c r="C383" s="44"/>
      <c r="E383" s="44"/>
      <c r="F383" s="93"/>
      <c r="G383" s="93"/>
      <c r="H383" s="93"/>
      <c r="I383" s="93"/>
      <c r="J383" s="93"/>
      <c r="K383" s="93"/>
      <c r="L383" s="93"/>
      <c r="M383" s="93"/>
      <c r="N383" s="93"/>
      <c r="O383" s="93"/>
      <c r="P383" s="93"/>
      <c r="Q383" s="93"/>
      <c r="R383" s="93"/>
      <c r="S383" s="93"/>
      <c r="T383" s="93"/>
      <c r="U383" s="93"/>
      <c r="V383" s="93"/>
      <c r="W383" s="93"/>
      <c r="X383" s="93"/>
      <c r="Y383" s="93"/>
      <c r="Z383" s="93"/>
    </row>
    <row r="384">
      <c r="A384" s="1"/>
      <c r="C384" s="44"/>
      <c r="E384" s="44"/>
      <c r="F384" s="93"/>
      <c r="G384" s="93"/>
      <c r="H384" s="93"/>
      <c r="I384" s="93"/>
      <c r="J384" s="93"/>
      <c r="K384" s="93"/>
      <c r="L384" s="93"/>
      <c r="M384" s="93"/>
      <c r="N384" s="93"/>
      <c r="O384" s="93"/>
      <c r="P384" s="93"/>
      <c r="Q384" s="93"/>
      <c r="R384" s="93"/>
      <c r="S384" s="93"/>
      <c r="T384" s="93"/>
      <c r="U384" s="93"/>
      <c r="V384" s="93"/>
      <c r="W384" s="93"/>
      <c r="X384" s="93"/>
      <c r="Y384" s="93"/>
      <c r="Z384" s="93"/>
    </row>
    <row r="385">
      <c r="A385" s="1"/>
      <c r="C385" s="44"/>
      <c r="E385" s="44"/>
      <c r="F385" s="93"/>
      <c r="G385" s="93"/>
      <c r="H385" s="93"/>
      <c r="I385" s="93"/>
      <c r="J385" s="93"/>
      <c r="K385" s="93"/>
      <c r="L385" s="93"/>
      <c r="M385" s="93"/>
      <c r="N385" s="93"/>
      <c r="O385" s="93"/>
      <c r="P385" s="93"/>
      <c r="Q385" s="93"/>
      <c r="R385" s="93"/>
      <c r="S385" s="93"/>
      <c r="T385" s="93"/>
      <c r="U385" s="93"/>
      <c r="V385" s="93"/>
      <c r="W385" s="93"/>
      <c r="X385" s="93"/>
      <c r="Y385" s="93"/>
      <c r="Z385" s="93"/>
    </row>
    <row r="386">
      <c r="A386" s="1"/>
      <c r="C386" s="44"/>
      <c r="E386" s="44"/>
      <c r="F386" s="93"/>
      <c r="G386" s="93"/>
      <c r="H386" s="93"/>
      <c r="I386" s="93"/>
      <c r="J386" s="93"/>
      <c r="K386" s="93"/>
      <c r="L386" s="93"/>
      <c r="M386" s="93"/>
      <c r="N386" s="93"/>
      <c r="O386" s="93"/>
      <c r="P386" s="93"/>
      <c r="Q386" s="93"/>
      <c r="R386" s="93"/>
      <c r="S386" s="93"/>
      <c r="T386" s="93"/>
      <c r="U386" s="93"/>
      <c r="V386" s="93"/>
      <c r="W386" s="93"/>
      <c r="X386" s="93"/>
      <c r="Y386" s="93"/>
      <c r="Z386" s="93"/>
    </row>
    <row r="387">
      <c r="A387" s="1"/>
      <c r="C387" s="44"/>
      <c r="E387" s="44"/>
      <c r="F387" s="93"/>
      <c r="G387" s="93"/>
      <c r="H387" s="93"/>
      <c r="I387" s="93"/>
      <c r="J387" s="93"/>
      <c r="K387" s="93"/>
      <c r="L387" s="93"/>
      <c r="M387" s="93"/>
      <c r="N387" s="93"/>
      <c r="O387" s="93"/>
      <c r="P387" s="93"/>
      <c r="Q387" s="93"/>
      <c r="R387" s="93"/>
      <c r="S387" s="93"/>
      <c r="T387" s="93"/>
      <c r="U387" s="93"/>
      <c r="V387" s="93"/>
      <c r="W387" s="93"/>
      <c r="X387" s="93"/>
      <c r="Y387" s="93"/>
      <c r="Z387" s="93"/>
    </row>
    <row r="388">
      <c r="A388" s="1"/>
      <c r="C388" s="44"/>
      <c r="E388" s="44"/>
      <c r="F388" s="93"/>
      <c r="G388" s="93"/>
      <c r="H388" s="93"/>
      <c r="I388" s="93"/>
      <c r="J388" s="93"/>
      <c r="K388" s="93"/>
      <c r="L388" s="93"/>
      <c r="M388" s="93"/>
      <c r="N388" s="93"/>
      <c r="O388" s="93"/>
      <c r="P388" s="93"/>
      <c r="Q388" s="93"/>
      <c r="R388" s="93"/>
      <c r="S388" s="93"/>
      <c r="T388" s="93"/>
      <c r="U388" s="93"/>
      <c r="V388" s="93"/>
      <c r="W388" s="93"/>
      <c r="X388" s="93"/>
      <c r="Y388" s="93"/>
      <c r="Z388" s="93"/>
    </row>
    <row r="389">
      <c r="A389" s="1"/>
      <c r="C389" s="44"/>
      <c r="E389" s="44"/>
      <c r="F389" s="93"/>
      <c r="G389" s="93"/>
      <c r="H389" s="93"/>
      <c r="I389" s="93"/>
      <c r="J389" s="93"/>
      <c r="K389" s="93"/>
      <c r="L389" s="93"/>
      <c r="M389" s="93"/>
      <c r="N389" s="93"/>
      <c r="O389" s="93"/>
      <c r="P389" s="93"/>
      <c r="Q389" s="93"/>
      <c r="R389" s="93"/>
      <c r="S389" s="93"/>
      <c r="T389" s="93"/>
      <c r="U389" s="93"/>
      <c r="V389" s="93"/>
      <c r="W389" s="93"/>
      <c r="X389" s="93"/>
      <c r="Y389" s="93"/>
      <c r="Z389" s="93"/>
    </row>
    <row r="390">
      <c r="A390" s="1"/>
      <c r="C390" s="44"/>
      <c r="E390" s="44"/>
      <c r="F390" s="93"/>
      <c r="G390" s="93"/>
      <c r="H390" s="93"/>
      <c r="I390" s="93"/>
      <c r="J390" s="93"/>
      <c r="K390" s="93"/>
      <c r="L390" s="93"/>
      <c r="M390" s="93"/>
      <c r="N390" s="93"/>
      <c r="O390" s="93"/>
      <c r="P390" s="93"/>
      <c r="Q390" s="93"/>
      <c r="R390" s="93"/>
      <c r="S390" s="93"/>
      <c r="T390" s="93"/>
      <c r="U390" s="93"/>
      <c r="V390" s="93"/>
      <c r="W390" s="93"/>
      <c r="X390" s="93"/>
      <c r="Y390" s="93"/>
      <c r="Z390" s="93"/>
    </row>
    <row r="391">
      <c r="A391" s="1"/>
      <c r="C391" s="44"/>
      <c r="E391" s="44"/>
      <c r="F391" s="93"/>
      <c r="G391" s="93"/>
      <c r="H391" s="93"/>
      <c r="I391" s="93"/>
      <c r="J391" s="93"/>
      <c r="K391" s="93"/>
      <c r="L391" s="93"/>
      <c r="M391" s="93"/>
      <c r="N391" s="93"/>
      <c r="O391" s="93"/>
      <c r="P391" s="93"/>
      <c r="Q391" s="93"/>
      <c r="R391" s="93"/>
      <c r="S391" s="93"/>
      <c r="T391" s="93"/>
      <c r="U391" s="93"/>
      <c r="V391" s="93"/>
      <c r="W391" s="93"/>
      <c r="X391" s="93"/>
      <c r="Y391" s="93"/>
      <c r="Z391" s="93"/>
    </row>
    <row r="392">
      <c r="A392" s="1"/>
      <c r="C392" s="44"/>
      <c r="E392" s="44"/>
      <c r="F392" s="93"/>
      <c r="G392" s="93"/>
      <c r="H392" s="93"/>
      <c r="I392" s="93"/>
      <c r="J392" s="93"/>
      <c r="K392" s="93"/>
      <c r="L392" s="93"/>
      <c r="M392" s="93"/>
      <c r="N392" s="93"/>
      <c r="O392" s="93"/>
      <c r="P392" s="93"/>
      <c r="Q392" s="93"/>
      <c r="R392" s="93"/>
      <c r="S392" s="93"/>
      <c r="T392" s="93"/>
      <c r="U392" s="93"/>
      <c r="V392" s="93"/>
      <c r="W392" s="93"/>
      <c r="X392" s="93"/>
      <c r="Y392" s="93"/>
      <c r="Z392" s="93"/>
    </row>
    <row r="393">
      <c r="A393" s="1"/>
      <c r="C393" s="44"/>
      <c r="E393" s="44"/>
      <c r="F393" s="93"/>
      <c r="G393" s="93"/>
      <c r="H393" s="93"/>
      <c r="I393" s="93"/>
      <c r="J393" s="93"/>
      <c r="K393" s="93"/>
      <c r="L393" s="93"/>
      <c r="M393" s="93"/>
      <c r="N393" s="93"/>
      <c r="O393" s="93"/>
      <c r="P393" s="93"/>
      <c r="Q393" s="93"/>
      <c r="R393" s="93"/>
      <c r="S393" s="93"/>
      <c r="T393" s="93"/>
      <c r="U393" s="93"/>
      <c r="V393" s="93"/>
      <c r="W393" s="93"/>
      <c r="X393" s="93"/>
      <c r="Y393" s="93"/>
      <c r="Z393" s="93"/>
    </row>
    <row r="394">
      <c r="A394" s="1"/>
      <c r="C394" s="44"/>
      <c r="E394" s="44"/>
      <c r="F394" s="93"/>
      <c r="G394" s="93"/>
      <c r="H394" s="93"/>
      <c r="I394" s="93"/>
      <c r="J394" s="93"/>
      <c r="K394" s="93"/>
      <c r="L394" s="93"/>
      <c r="M394" s="93"/>
      <c r="N394" s="93"/>
      <c r="O394" s="93"/>
      <c r="P394" s="93"/>
      <c r="Q394" s="93"/>
      <c r="R394" s="93"/>
      <c r="S394" s="93"/>
      <c r="T394" s="93"/>
      <c r="U394" s="93"/>
      <c r="V394" s="93"/>
      <c r="W394" s="93"/>
      <c r="X394" s="93"/>
      <c r="Y394" s="93"/>
      <c r="Z394" s="93"/>
    </row>
    <row r="395">
      <c r="A395" s="1"/>
      <c r="C395" s="44"/>
      <c r="E395" s="44"/>
      <c r="F395" s="93"/>
      <c r="G395" s="93"/>
      <c r="H395" s="93"/>
      <c r="I395" s="93"/>
      <c r="J395" s="93"/>
      <c r="K395" s="93"/>
      <c r="L395" s="93"/>
      <c r="M395" s="93"/>
      <c r="N395" s="93"/>
      <c r="O395" s="93"/>
      <c r="P395" s="93"/>
      <c r="Q395" s="93"/>
      <c r="R395" s="93"/>
      <c r="S395" s="93"/>
      <c r="T395" s="93"/>
      <c r="U395" s="93"/>
      <c r="V395" s="93"/>
      <c r="W395" s="93"/>
      <c r="X395" s="93"/>
      <c r="Y395" s="93"/>
      <c r="Z395" s="93"/>
    </row>
    <row r="396">
      <c r="A396" s="1"/>
      <c r="C396" s="44"/>
      <c r="E396" s="44"/>
      <c r="F396" s="93"/>
      <c r="G396" s="93"/>
      <c r="H396" s="93"/>
      <c r="I396" s="93"/>
      <c r="J396" s="93"/>
      <c r="K396" s="93"/>
      <c r="L396" s="93"/>
      <c r="M396" s="93"/>
      <c r="N396" s="93"/>
      <c r="O396" s="93"/>
      <c r="P396" s="93"/>
      <c r="Q396" s="93"/>
      <c r="R396" s="93"/>
      <c r="S396" s="93"/>
      <c r="T396" s="93"/>
      <c r="U396" s="93"/>
      <c r="V396" s="93"/>
      <c r="W396" s="93"/>
      <c r="X396" s="93"/>
      <c r="Y396" s="93"/>
      <c r="Z396" s="93"/>
    </row>
    <row r="397">
      <c r="A397" s="1"/>
      <c r="C397" s="44"/>
      <c r="E397" s="44"/>
      <c r="F397" s="93"/>
      <c r="G397" s="93"/>
      <c r="H397" s="93"/>
      <c r="I397" s="93"/>
      <c r="J397" s="93"/>
      <c r="K397" s="93"/>
      <c r="L397" s="93"/>
      <c r="M397" s="93"/>
      <c r="N397" s="93"/>
      <c r="O397" s="93"/>
      <c r="P397" s="93"/>
      <c r="Q397" s="93"/>
      <c r="R397" s="93"/>
      <c r="S397" s="93"/>
      <c r="T397" s="93"/>
      <c r="U397" s="93"/>
      <c r="V397" s="93"/>
      <c r="W397" s="93"/>
      <c r="X397" s="93"/>
      <c r="Y397" s="93"/>
      <c r="Z397" s="93"/>
    </row>
    <row r="398">
      <c r="A398" s="1"/>
      <c r="C398" s="44"/>
      <c r="E398" s="44"/>
      <c r="F398" s="93"/>
      <c r="G398" s="93"/>
      <c r="H398" s="93"/>
      <c r="I398" s="93"/>
      <c r="J398" s="93"/>
      <c r="K398" s="93"/>
      <c r="L398" s="93"/>
      <c r="M398" s="93"/>
      <c r="N398" s="93"/>
      <c r="O398" s="93"/>
      <c r="P398" s="93"/>
      <c r="Q398" s="93"/>
      <c r="R398" s="93"/>
      <c r="S398" s="93"/>
      <c r="T398" s="93"/>
      <c r="U398" s="93"/>
      <c r="V398" s="93"/>
      <c r="W398" s="93"/>
      <c r="X398" s="93"/>
      <c r="Y398" s="93"/>
      <c r="Z398" s="93"/>
    </row>
    <row r="399">
      <c r="A399" s="1"/>
      <c r="C399" s="44"/>
      <c r="E399" s="44"/>
      <c r="F399" s="93"/>
      <c r="G399" s="93"/>
      <c r="H399" s="93"/>
      <c r="I399" s="93"/>
      <c r="J399" s="93"/>
      <c r="K399" s="93"/>
      <c r="L399" s="93"/>
      <c r="M399" s="93"/>
      <c r="N399" s="93"/>
      <c r="O399" s="93"/>
      <c r="P399" s="93"/>
      <c r="Q399" s="93"/>
      <c r="R399" s="93"/>
      <c r="S399" s="93"/>
      <c r="T399" s="93"/>
      <c r="U399" s="93"/>
      <c r="V399" s="93"/>
      <c r="W399" s="93"/>
      <c r="X399" s="93"/>
      <c r="Y399" s="93"/>
      <c r="Z399" s="93"/>
    </row>
    <row r="400">
      <c r="A400" s="1"/>
      <c r="C400" s="44"/>
      <c r="E400" s="44"/>
      <c r="F400" s="93"/>
      <c r="G400" s="93"/>
      <c r="H400" s="93"/>
      <c r="I400" s="93"/>
      <c r="J400" s="93"/>
      <c r="K400" s="93"/>
      <c r="L400" s="93"/>
      <c r="M400" s="93"/>
      <c r="N400" s="93"/>
      <c r="O400" s="93"/>
      <c r="P400" s="93"/>
      <c r="Q400" s="93"/>
      <c r="R400" s="93"/>
      <c r="S400" s="93"/>
      <c r="T400" s="93"/>
      <c r="U400" s="93"/>
      <c r="V400" s="93"/>
      <c r="W400" s="93"/>
      <c r="X400" s="93"/>
      <c r="Y400" s="93"/>
      <c r="Z400" s="93"/>
    </row>
    <row r="401">
      <c r="A401" s="1"/>
      <c r="C401" s="44"/>
      <c r="E401" s="44"/>
      <c r="F401" s="93"/>
      <c r="G401" s="93"/>
      <c r="H401" s="93"/>
      <c r="I401" s="93"/>
      <c r="J401" s="93"/>
      <c r="K401" s="93"/>
      <c r="L401" s="93"/>
      <c r="M401" s="93"/>
      <c r="N401" s="93"/>
      <c r="O401" s="93"/>
      <c r="P401" s="93"/>
      <c r="Q401" s="93"/>
      <c r="R401" s="93"/>
      <c r="S401" s="93"/>
      <c r="T401" s="93"/>
      <c r="U401" s="93"/>
      <c r="V401" s="93"/>
      <c r="W401" s="93"/>
      <c r="X401" s="93"/>
      <c r="Y401" s="93"/>
      <c r="Z401" s="93"/>
    </row>
    <row r="402">
      <c r="A402" s="1"/>
      <c r="C402" s="44"/>
      <c r="E402" s="44"/>
      <c r="F402" s="93"/>
      <c r="G402" s="93"/>
      <c r="H402" s="93"/>
      <c r="I402" s="93"/>
      <c r="J402" s="93"/>
      <c r="K402" s="93"/>
      <c r="L402" s="93"/>
      <c r="M402" s="93"/>
      <c r="N402" s="93"/>
      <c r="O402" s="93"/>
      <c r="P402" s="93"/>
      <c r="Q402" s="93"/>
      <c r="R402" s="93"/>
      <c r="S402" s="93"/>
      <c r="T402" s="93"/>
      <c r="U402" s="93"/>
      <c r="V402" s="93"/>
      <c r="W402" s="93"/>
      <c r="X402" s="93"/>
      <c r="Y402" s="93"/>
      <c r="Z402" s="93"/>
    </row>
    <row r="403">
      <c r="A403" s="1"/>
      <c r="C403" s="44"/>
      <c r="E403" s="44"/>
      <c r="F403" s="93"/>
      <c r="G403" s="93"/>
      <c r="H403" s="93"/>
      <c r="I403" s="93"/>
      <c r="J403" s="93"/>
      <c r="K403" s="93"/>
      <c r="L403" s="93"/>
      <c r="M403" s="93"/>
      <c r="N403" s="93"/>
      <c r="O403" s="93"/>
      <c r="P403" s="93"/>
      <c r="Q403" s="93"/>
      <c r="R403" s="93"/>
      <c r="S403" s="93"/>
      <c r="T403" s="93"/>
      <c r="U403" s="93"/>
      <c r="V403" s="93"/>
      <c r="W403" s="93"/>
      <c r="X403" s="93"/>
      <c r="Y403" s="93"/>
      <c r="Z403" s="93"/>
    </row>
    <row r="404">
      <c r="A404" s="1"/>
      <c r="C404" s="44"/>
      <c r="E404" s="44"/>
      <c r="F404" s="93"/>
      <c r="G404" s="93"/>
      <c r="H404" s="93"/>
      <c r="I404" s="93"/>
      <c r="J404" s="93"/>
      <c r="K404" s="93"/>
      <c r="L404" s="93"/>
      <c r="M404" s="93"/>
      <c r="N404" s="93"/>
      <c r="O404" s="93"/>
      <c r="P404" s="93"/>
      <c r="Q404" s="93"/>
      <c r="R404" s="93"/>
      <c r="S404" s="93"/>
      <c r="T404" s="93"/>
      <c r="U404" s="93"/>
      <c r="V404" s="93"/>
      <c r="W404" s="93"/>
      <c r="X404" s="93"/>
      <c r="Y404" s="93"/>
      <c r="Z404" s="93"/>
    </row>
    <row r="405">
      <c r="A405" s="1"/>
      <c r="C405" s="44"/>
      <c r="E405" s="44"/>
      <c r="F405" s="93"/>
      <c r="G405" s="93"/>
      <c r="H405" s="93"/>
      <c r="I405" s="93"/>
      <c r="J405" s="93"/>
      <c r="K405" s="93"/>
      <c r="L405" s="93"/>
      <c r="M405" s="93"/>
      <c r="N405" s="93"/>
      <c r="O405" s="93"/>
      <c r="P405" s="93"/>
      <c r="Q405" s="93"/>
      <c r="R405" s="93"/>
      <c r="S405" s="93"/>
      <c r="T405" s="93"/>
      <c r="U405" s="93"/>
      <c r="V405" s="93"/>
      <c r="W405" s="93"/>
      <c r="X405" s="93"/>
      <c r="Y405" s="93"/>
      <c r="Z405" s="93"/>
    </row>
    <row r="406">
      <c r="A406" s="1"/>
      <c r="C406" s="44"/>
      <c r="E406" s="44"/>
      <c r="F406" s="93"/>
      <c r="G406" s="93"/>
      <c r="H406" s="93"/>
      <c r="I406" s="93"/>
      <c r="J406" s="93"/>
      <c r="K406" s="93"/>
      <c r="L406" s="93"/>
      <c r="M406" s="93"/>
      <c r="N406" s="93"/>
      <c r="O406" s="93"/>
      <c r="P406" s="93"/>
      <c r="Q406" s="93"/>
      <c r="R406" s="93"/>
      <c r="S406" s="93"/>
      <c r="T406" s="93"/>
      <c r="U406" s="93"/>
      <c r="V406" s="93"/>
      <c r="W406" s="93"/>
      <c r="X406" s="93"/>
      <c r="Y406" s="93"/>
      <c r="Z406" s="93"/>
    </row>
    <row r="407">
      <c r="A407" s="1"/>
      <c r="C407" s="44"/>
      <c r="E407" s="44"/>
      <c r="F407" s="93"/>
      <c r="G407" s="93"/>
      <c r="H407" s="93"/>
      <c r="I407" s="93"/>
      <c r="J407" s="93"/>
      <c r="K407" s="93"/>
      <c r="L407" s="93"/>
      <c r="M407" s="93"/>
      <c r="N407" s="93"/>
      <c r="O407" s="93"/>
      <c r="P407" s="93"/>
      <c r="Q407" s="93"/>
      <c r="R407" s="93"/>
      <c r="S407" s="93"/>
      <c r="T407" s="93"/>
      <c r="U407" s="93"/>
      <c r="V407" s="93"/>
      <c r="W407" s="93"/>
      <c r="X407" s="93"/>
      <c r="Y407" s="93"/>
      <c r="Z407" s="93"/>
    </row>
    <row r="408">
      <c r="A408" s="1"/>
      <c r="C408" s="44"/>
      <c r="E408" s="44"/>
      <c r="F408" s="93"/>
      <c r="G408" s="93"/>
      <c r="H408" s="93"/>
      <c r="I408" s="93"/>
      <c r="J408" s="93"/>
      <c r="K408" s="93"/>
      <c r="L408" s="93"/>
      <c r="M408" s="93"/>
      <c r="N408" s="93"/>
      <c r="O408" s="93"/>
      <c r="P408" s="93"/>
      <c r="Q408" s="93"/>
      <c r="R408" s="93"/>
      <c r="S408" s="93"/>
      <c r="T408" s="93"/>
      <c r="U408" s="93"/>
      <c r="V408" s="93"/>
      <c r="W408" s="93"/>
      <c r="X408" s="93"/>
      <c r="Y408" s="93"/>
      <c r="Z408" s="93"/>
    </row>
    <row r="409">
      <c r="A409" s="1"/>
      <c r="C409" s="44"/>
      <c r="E409" s="44"/>
      <c r="F409" s="93"/>
      <c r="G409" s="93"/>
      <c r="H409" s="93"/>
      <c r="I409" s="93"/>
      <c r="J409" s="93"/>
      <c r="K409" s="93"/>
      <c r="L409" s="93"/>
      <c r="M409" s="93"/>
      <c r="N409" s="93"/>
      <c r="O409" s="93"/>
      <c r="P409" s="93"/>
      <c r="Q409" s="93"/>
      <c r="R409" s="93"/>
      <c r="S409" s="93"/>
      <c r="T409" s="93"/>
      <c r="U409" s="93"/>
      <c r="V409" s="93"/>
      <c r="W409" s="93"/>
      <c r="X409" s="93"/>
      <c r="Y409" s="93"/>
      <c r="Z409" s="93"/>
    </row>
    <row r="410">
      <c r="A410" s="1"/>
      <c r="C410" s="44"/>
      <c r="E410" s="44"/>
      <c r="F410" s="93"/>
      <c r="G410" s="93"/>
      <c r="H410" s="93"/>
      <c r="I410" s="93"/>
      <c r="J410" s="93"/>
      <c r="K410" s="93"/>
      <c r="L410" s="93"/>
      <c r="M410" s="93"/>
      <c r="N410" s="93"/>
      <c r="O410" s="93"/>
      <c r="P410" s="93"/>
      <c r="Q410" s="93"/>
      <c r="R410" s="93"/>
      <c r="S410" s="93"/>
      <c r="T410" s="93"/>
      <c r="U410" s="93"/>
      <c r="V410" s="93"/>
      <c r="W410" s="93"/>
      <c r="X410" s="93"/>
      <c r="Y410" s="93"/>
      <c r="Z410" s="93"/>
    </row>
    <row r="411">
      <c r="A411" s="1"/>
      <c r="C411" s="44"/>
      <c r="E411" s="44"/>
      <c r="F411" s="93"/>
      <c r="G411" s="93"/>
      <c r="H411" s="93"/>
      <c r="I411" s="93"/>
      <c r="J411" s="93"/>
      <c r="K411" s="93"/>
      <c r="L411" s="93"/>
      <c r="M411" s="93"/>
      <c r="N411" s="93"/>
      <c r="O411" s="93"/>
      <c r="P411" s="93"/>
      <c r="Q411" s="93"/>
      <c r="R411" s="93"/>
      <c r="S411" s="93"/>
      <c r="T411" s="93"/>
      <c r="U411" s="93"/>
      <c r="V411" s="93"/>
      <c r="W411" s="93"/>
      <c r="X411" s="93"/>
      <c r="Y411" s="93"/>
      <c r="Z411" s="93"/>
    </row>
    <row r="412">
      <c r="A412" s="1"/>
      <c r="C412" s="44"/>
      <c r="E412" s="44"/>
      <c r="F412" s="93"/>
      <c r="G412" s="93"/>
      <c r="H412" s="93"/>
      <c r="I412" s="93"/>
      <c r="J412" s="93"/>
      <c r="K412" s="93"/>
      <c r="L412" s="93"/>
      <c r="M412" s="93"/>
      <c r="N412" s="93"/>
      <c r="O412" s="93"/>
      <c r="P412" s="93"/>
      <c r="Q412" s="93"/>
      <c r="R412" s="93"/>
      <c r="S412" s="93"/>
      <c r="T412" s="93"/>
      <c r="U412" s="93"/>
      <c r="V412" s="93"/>
      <c r="W412" s="93"/>
      <c r="X412" s="93"/>
      <c r="Y412" s="93"/>
      <c r="Z412" s="93"/>
    </row>
    <row r="413">
      <c r="A413" s="1"/>
      <c r="C413" s="44"/>
      <c r="E413" s="44"/>
      <c r="F413" s="93"/>
      <c r="G413" s="93"/>
      <c r="H413" s="93"/>
      <c r="I413" s="93"/>
      <c r="J413" s="93"/>
      <c r="K413" s="93"/>
      <c r="L413" s="93"/>
      <c r="M413" s="93"/>
      <c r="N413" s="93"/>
      <c r="O413" s="93"/>
      <c r="P413" s="93"/>
      <c r="Q413" s="93"/>
      <c r="R413" s="93"/>
      <c r="S413" s="93"/>
      <c r="T413" s="93"/>
      <c r="U413" s="93"/>
      <c r="V413" s="93"/>
      <c r="W413" s="93"/>
      <c r="X413" s="93"/>
      <c r="Y413" s="93"/>
      <c r="Z413" s="93"/>
    </row>
    <row r="414">
      <c r="A414" s="1"/>
      <c r="C414" s="44"/>
      <c r="E414" s="44"/>
      <c r="F414" s="93"/>
      <c r="G414" s="93"/>
      <c r="H414" s="93"/>
      <c r="I414" s="93"/>
      <c r="J414" s="93"/>
      <c r="K414" s="93"/>
      <c r="L414" s="93"/>
      <c r="M414" s="93"/>
      <c r="N414" s="93"/>
      <c r="O414" s="93"/>
      <c r="P414" s="93"/>
      <c r="Q414" s="93"/>
      <c r="R414" s="93"/>
      <c r="S414" s="93"/>
      <c r="T414" s="93"/>
      <c r="U414" s="93"/>
      <c r="V414" s="93"/>
      <c r="W414" s="93"/>
      <c r="X414" s="93"/>
      <c r="Y414" s="93"/>
      <c r="Z414" s="93"/>
    </row>
    <row r="415">
      <c r="A415" s="1"/>
      <c r="C415" s="44"/>
      <c r="E415" s="44"/>
      <c r="F415" s="93"/>
      <c r="G415" s="93"/>
      <c r="H415" s="93"/>
      <c r="I415" s="93"/>
      <c r="J415" s="93"/>
      <c r="K415" s="93"/>
      <c r="L415" s="93"/>
      <c r="M415" s="93"/>
      <c r="N415" s="93"/>
      <c r="O415" s="93"/>
      <c r="P415" s="93"/>
      <c r="Q415" s="93"/>
      <c r="R415" s="93"/>
      <c r="S415" s="93"/>
      <c r="T415" s="93"/>
      <c r="U415" s="93"/>
      <c r="V415" s="93"/>
      <c r="W415" s="93"/>
      <c r="X415" s="93"/>
      <c r="Y415" s="93"/>
      <c r="Z415" s="93"/>
    </row>
    <row r="416">
      <c r="A416" s="1"/>
      <c r="C416" s="44"/>
      <c r="E416" s="44"/>
      <c r="F416" s="93"/>
      <c r="G416" s="93"/>
      <c r="H416" s="93"/>
      <c r="I416" s="93"/>
      <c r="J416" s="93"/>
      <c r="K416" s="93"/>
      <c r="L416" s="93"/>
      <c r="M416" s="93"/>
      <c r="N416" s="93"/>
      <c r="O416" s="93"/>
      <c r="P416" s="93"/>
      <c r="Q416" s="93"/>
      <c r="R416" s="93"/>
      <c r="S416" s="93"/>
      <c r="T416" s="93"/>
      <c r="U416" s="93"/>
      <c r="V416" s="93"/>
      <c r="W416" s="93"/>
      <c r="X416" s="93"/>
      <c r="Y416" s="93"/>
      <c r="Z416" s="93"/>
    </row>
    <row r="417">
      <c r="A417" s="1"/>
      <c r="C417" s="44"/>
      <c r="E417" s="44"/>
      <c r="F417" s="93"/>
      <c r="G417" s="93"/>
      <c r="H417" s="93"/>
      <c r="I417" s="93"/>
      <c r="J417" s="93"/>
      <c r="K417" s="93"/>
      <c r="L417" s="93"/>
      <c r="M417" s="93"/>
      <c r="N417" s="93"/>
      <c r="O417" s="93"/>
      <c r="P417" s="93"/>
      <c r="Q417" s="93"/>
      <c r="R417" s="93"/>
      <c r="S417" s="93"/>
      <c r="T417" s="93"/>
      <c r="U417" s="93"/>
      <c r="V417" s="93"/>
      <c r="W417" s="93"/>
      <c r="X417" s="93"/>
      <c r="Y417" s="93"/>
      <c r="Z417" s="93"/>
    </row>
    <row r="418">
      <c r="A418" s="1"/>
      <c r="C418" s="44"/>
      <c r="E418" s="44"/>
      <c r="F418" s="93"/>
      <c r="G418" s="93"/>
      <c r="H418" s="93"/>
      <c r="I418" s="93"/>
      <c r="J418" s="93"/>
      <c r="K418" s="93"/>
      <c r="L418" s="93"/>
      <c r="M418" s="93"/>
      <c r="N418" s="93"/>
      <c r="O418" s="93"/>
      <c r="P418" s="93"/>
      <c r="Q418" s="93"/>
      <c r="R418" s="93"/>
      <c r="S418" s="93"/>
      <c r="T418" s="93"/>
      <c r="U418" s="93"/>
      <c r="V418" s="93"/>
      <c r="W418" s="93"/>
      <c r="X418" s="93"/>
      <c r="Y418" s="93"/>
      <c r="Z418" s="93"/>
    </row>
    <row r="419">
      <c r="A419" s="1"/>
      <c r="C419" s="44"/>
      <c r="E419" s="44"/>
      <c r="F419" s="93"/>
      <c r="G419" s="93"/>
      <c r="H419" s="93"/>
      <c r="I419" s="93"/>
      <c r="J419" s="93"/>
      <c r="K419" s="93"/>
      <c r="L419" s="93"/>
      <c r="M419" s="93"/>
      <c r="N419" s="93"/>
      <c r="O419" s="93"/>
      <c r="P419" s="93"/>
      <c r="Q419" s="93"/>
      <c r="R419" s="93"/>
      <c r="S419" s="93"/>
      <c r="T419" s="93"/>
      <c r="U419" s="93"/>
      <c r="V419" s="93"/>
      <c r="W419" s="93"/>
      <c r="X419" s="93"/>
      <c r="Y419" s="93"/>
      <c r="Z419" s="93"/>
    </row>
    <row r="420">
      <c r="A420" s="1"/>
      <c r="C420" s="44"/>
      <c r="E420" s="44"/>
      <c r="F420" s="93"/>
      <c r="G420" s="93"/>
      <c r="H420" s="93"/>
      <c r="I420" s="93"/>
      <c r="J420" s="93"/>
      <c r="K420" s="93"/>
      <c r="L420" s="93"/>
      <c r="M420" s="93"/>
      <c r="N420" s="93"/>
      <c r="O420" s="93"/>
      <c r="P420" s="93"/>
      <c r="Q420" s="93"/>
      <c r="R420" s="93"/>
      <c r="S420" s="93"/>
      <c r="T420" s="93"/>
      <c r="U420" s="93"/>
      <c r="V420" s="93"/>
      <c r="W420" s="93"/>
      <c r="X420" s="93"/>
      <c r="Y420" s="93"/>
      <c r="Z420" s="93"/>
    </row>
    <row r="421">
      <c r="A421" s="1"/>
      <c r="C421" s="44"/>
      <c r="E421" s="44"/>
      <c r="F421" s="93"/>
      <c r="G421" s="93"/>
      <c r="H421" s="93"/>
      <c r="I421" s="93"/>
      <c r="J421" s="93"/>
      <c r="K421" s="93"/>
      <c r="L421" s="93"/>
      <c r="M421" s="93"/>
      <c r="N421" s="93"/>
      <c r="O421" s="93"/>
      <c r="P421" s="93"/>
      <c r="Q421" s="93"/>
      <c r="R421" s="93"/>
      <c r="S421" s="93"/>
      <c r="T421" s="93"/>
      <c r="U421" s="93"/>
      <c r="V421" s="93"/>
      <c r="W421" s="93"/>
      <c r="X421" s="93"/>
      <c r="Y421" s="93"/>
      <c r="Z421" s="93"/>
    </row>
    <row r="422">
      <c r="A422" s="1"/>
      <c r="C422" s="44"/>
      <c r="E422" s="44"/>
      <c r="F422" s="93"/>
      <c r="G422" s="93"/>
      <c r="H422" s="93"/>
      <c r="I422" s="93"/>
      <c r="J422" s="93"/>
      <c r="K422" s="93"/>
      <c r="L422" s="93"/>
      <c r="M422" s="93"/>
      <c r="N422" s="93"/>
      <c r="O422" s="93"/>
      <c r="P422" s="93"/>
      <c r="Q422" s="93"/>
      <c r="R422" s="93"/>
      <c r="S422" s="93"/>
      <c r="T422" s="93"/>
      <c r="U422" s="93"/>
      <c r="V422" s="93"/>
      <c r="W422" s="93"/>
      <c r="X422" s="93"/>
      <c r="Y422" s="93"/>
      <c r="Z422" s="93"/>
    </row>
    <row r="423">
      <c r="A423" s="1"/>
      <c r="C423" s="44"/>
      <c r="E423" s="44"/>
      <c r="F423" s="93"/>
      <c r="G423" s="93"/>
      <c r="H423" s="93"/>
      <c r="I423" s="93"/>
      <c r="J423" s="93"/>
      <c r="K423" s="93"/>
      <c r="L423" s="93"/>
      <c r="M423" s="93"/>
      <c r="N423" s="93"/>
      <c r="O423" s="93"/>
      <c r="P423" s="93"/>
      <c r="Q423" s="93"/>
      <c r="R423" s="93"/>
      <c r="S423" s="93"/>
      <c r="T423" s="93"/>
      <c r="U423" s="93"/>
      <c r="V423" s="93"/>
      <c r="W423" s="93"/>
      <c r="X423" s="93"/>
      <c r="Y423" s="93"/>
      <c r="Z423" s="93"/>
    </row>
    <row r="424">
      <c r="A424" s="1"/>
      <c r="C424" s="44"/>
      <c r="E424" s="44"/>
      <c r="F424" s="93"/>
      <c r="G424" s="93"/>
      <c r="H424" s="93"/>
      <c r="I424" s="93"/>
      <c r="J424" s="93"/>
      <c r="K424" s="93"/>
      <c r="L424" s="93"/>
      <c r="M424" s="93"/>
      <c r="N424" s="93"/>
      <c r="O424" s="93"/>
      <c r="P424" s="93"/>
      <c r="Q424" s="93"/>
      <c r="R424" s="93"/>
      <c r="S424" s="93"/>
      <c r="T424" s="93"/>
      <c r="U424" s="93"/>
      <c r="V424" s="93"/>
      <c r="W424" s="93"/>
      <c r="X424" s="93"/>
      <c r="Y424" s="93"/>
      <c r="Z424" s="93"/>
    </row>
    <row r="425">
      <c r="A425" s="1"/>
      <c r="C425" s="44"/>
      <c r="E425" s="44"/>
      <c r="F425" s="93"/>
      <c r="G425" s="93"/>
      <c r="H425" s="93"/>
      <c r="I425" s="93"/>
      <c r="J425" s="93"/>
      <c r="K425" s="93"/>
      <c r="L425" s="93"/>
      <c r="M425" s="93"/>
      <c r="N425" s="93"/>
      <c r="O425" s="93"/>
      <c r="P425" s="93"/>
      <c r="Q425" s="93"/>
      <c r="R425" s="93"/>
      <c r="S425" s="93"/>
      <c r="T425" s="93"/>
      <c r="U425" s="93"/>
      <c r="V425" s="93"/>
      <c r="W425" s="93"/>
      <c r="X425" s="93"/>
      <c r="Y425" s="93"/>
      <c r="Z425" s="93"/>
    </row>
    <row r="426">
      <c r="A426" s="1"/>
      <c r="C426" s="44"/>
      <c r="E426" s="44"/>
      <c r="F426" s="93"/>
      <c r="G426" s="93"/>
      <c r="H426" s="93"/>
      <c r="I426" s="93"/>
      <c r="J426" s="93"/>
      <c r="K426" s="93"/>
      <c r="L426" s="93"/>
      <c r="M426" s="93"/>
      <c r="N426" s="93"/>
      <c r="O426" s="93"/>
      <c r="P426" s="93"/>
      <c r="Q426" s="93"/>
      <c r="R426" s="93"/>
      <c r="S426" s="93"/>
      <c r="T426" s="93"/>
      <c r="U426" s="93"/>
      <c r="V426" s="93"/>
      <c r="W426" s="93"/>
      <c r="X426" s="93"/>
      <c r="Y426" s="93"/>
      <c r="Z426" s="93"/>
    </row>
    <row r="427">
      <c r="A427" s="1"/>
      <c r="C427" s="44"/>
      <c r="E427" s="44"/>
      <c r="F427" s="93"/>
      <c r="G427" s="93"/>
      <c r="H427" s="93"/>
      <c r="I427" s="93"/>
      <c r="J427" s="93"/>
      <c r="K427" s="93"/>
      <c r="L427" s="93"/>
      <c r="M427" s="93"/>
      <c r="N427" s="93"/>
      <c r="O427" s="93"/>
      <c r="P427" s="93"/>
      <c r="Q427" s="93"/>
      <c r="R427" s="93"/>
      <c r="S427" s="93"/>
      <c r="T427" s="93"/>
      <c r="U427" s="93"/>
      <c r="V427" s="93"/>
      <c r="W427" s="93"/>
      <c r="X427" s="93"/>
      <c r="Y427" s="93"/>
      <c r="Z427" s="93"/>
    </row>
    <row r="428">
      <c r="A428" s="1"/>
      <c r="C428" s="44"/>
      <c r="E428" s="44"/>
      <c r="F428" s="93"/>
      <c r="G428" s="93"/>
      <c r="H428" s="93"/>
      <c r="I428" s="93"/>
      <c r="J428" s="93"/>
      <c r="K428" s="93"/>
      <c r="L428" s="93"/>
      <c r="M428" s="93"/>
      <c r="N428" s="93"/>
      <c r="O428" s="93"/>
      <c r="P428" s="93"/>
      <c r="Q428" s="93"/>
      <c r="R428" s="93"/>
      <c r="S428" s="93"/>
      <c r="T428" s="93"/>
      <c r="U428" s="93"/>
      <c r="V428" s="93"/>
      <c r="W428" s="93"/>
      <c r="X428" s="93"/>
      <c r="Y428" s="93"/>
      <c r="Z428" s="93"/>
    </row>
    <row r="429">
      <c r="A429" s="1"/>
      <c r="C429" s="44"/>
      <c r="E429" s="44"/>
      <c r="F429" s="93"/>
      <c r="G429" s="93"/>
      <c r="H429" s="93"/>
      <c r="I429" s="93"/>
      <c r="J429" s="93"/>
      <c r="K429" s="93"/>
      <c r="L429" s="93"/>
      <c r="M429" s="93"/>
      <c r="N429" s="93"/>
      <c r="O429" s="93"/>
      <c r="P429" s="93"/>
      <c r="Q429" s="93"/>
      <c r="R429" s="93"/>
      <c r="S429" s="93"/>
      <c r="T429" s="93"/>
      <c r="U429" s="93"/>
      <c r="V429" s="93"/>
      <c r="W429" s="93"/>
      <c r="X429" s="93"/>
      <c r="Y429" s="93"/>
      <c r="Z429" s="93"/>
    </row>
    <row r="430">
      <c r="A430" s="1"/>
      <c r="C430" s="44"/>
      <c r="E430" s="44"/>
      <c r="F430" s="93"/>
      <c r="G430" s="93"/>
      <c r="H430" s="93"/>
      <c r="I430" s="93"/>
      <c r="J430" s="93"/>
      <c r="K430" s="93"/>
      <c r="L430" s="93"/>
      <c r="M430" s="93"/>
      <c r="N430" s="93"/>
      <c r="O430" s="93"/>
      <c r="P430" s="93"/>
      <c r="Q430" s="93"/>
      <c r="R430" s="93"/>
      <c r="S430" s="93"/>
      <c r="T430" s="93"/>
      <c r="U430" s="93"/>
      <c r="V430" s="93"/>
      <c r="W430" s="93"/>
      <c r="X430" s="93"/>
      <c r="Y430" s="93"/>
      <c r="Z430" s="93"/>
    </row>
    <row r="431">
      <c r="A431" s="1"/>
      <c r="C431" s="44"/>
      <c r="E431" s="44"/>
      <c r="F431" s="93"/>
      <c r="G431" s="93"/>
      <c r="H431" s="93"/>
      <c r="I431" s="93"/>
      <c r="J431" s="93"/>
      <c r="K431" s="93"/>
      <c r="L431" s="93"/>
      <c r="M431" s="93"/>
      <c r="N431" s="93"/>
      <c r="O431" s="93"/>
      <c r="P431" s="93"/>
      <c r="Q431" s="93"/>
      <c r="R431" s="93"/>
      <c r="S431" s="93"/>
      <c r="T431" s="93"/>
      <c r="U431" s="93"/>
      <c r="V431" s="93"/>
      <c r="W431" s="93"/>
      <c r="X431" s="93"/>
      <c r="Y431" s="93"/>
      <c r="Z431" s="93"/>
    </row>
    <row r="432">
      <c r="A432" s="1"/>
      <c r="C432" s="44"/>
      <c r="E432" s="44"/>
      <c r="F432" s="93"/>
      <c r="G432" s="93"/>
      <c r="H432" s="93"/>
      <c r="I432" s="93"/>
      <c r="J432" s="93"/>
      <c r="K432" s="93"/>
      <c r="L432" s="93"/>
      <c r="M432" s="93"/>
      <c r="N432" s="93"/>
      <c r="O432" s="93"/>
      <c r="P432" s="93"/>
      <c r="Q432" s="93"/>
      <c r="R432" s="93"/>
      <c r="S432" s="93"/>
      <c r="T432" s="93"/>
      <c r="U432" s="93"/>
      <c r="V432" s="93"/>
      <c r="W432" s="93"/>
      <c r="X432" s="93"/>
      <c r="Y432" s="93"/>
      <c r="Z432" s="93"/>
    </row>
    <row r="433">
      <c r="A433" s="1"/>
      <c r="C433" s="44"/>
      <c r="E433" s="44"/>
      <c r="F433" s="93"/>
      <c r="G433" s="93"/>
      <c r="H433" s="93"/>
      <c r="I433" s="93"/>
      <c r="J433" s="93"/>
      <c r="K433" s="93"/>
      <c r="L433" s="93"/>
      <c r="M433" s="93"/>
      <c r="N433" s="93"/>
      <c r="O433" s="93"/>
      <c r="P433" s="93"/>
      <c r="Q433" s="93"/>
      <c r="R433" s="93"/>
      <c r="S433" s="93"/>
      <c r="T433" s="93"/>
      <c r="U433" s="93"/>
      <c r="V433" s="93"/>
      <c r="W433" s="93"/>
      <c r="X433" s="93"/>
      <c r="Y433" s="93"/>
      <c r="Z433" s="93"/>
    </row>
    <row r="434">
      <c r="A434" s="1"/>
      <c r="C434" s="44"/>
      <c r="E434" s="44"/>
      <c r="F434" s="93"/>
      <c r="G434" s="93"/>
      <c r="H434" s="93"/>
      <c r="I434" s="93"/>
      <c r="J434" s="93"/>
      <c r="K434" s="93"/>
      <c r="L434" s="93"/>
      <c r="M434" s="93"/>
      <c r="N434" s="93"/>
      <c r="O434" s="93"/>
      <c r="P434" s="93"/>
      <c r="Q434" s="93"/>
      <c r="R434" s="93"/>
      <c r="S434" s="93"/>
      <c r="T434" s="93"/>
      <c r="U434" s="93"/>
      <c r="V434" s="93"/>
      <c r="W434" s="93"/>
      <c r="X434" s="93"/>
      <c r="Y434" s="93"/>
      <c r="Z434" s="93"/>
    </row>
    <row r="435">
      <c r="A435" s="1"/>
      <c r="C435" s="44"/>
      <c r="E435" s="44"/>
      <c r="F435" s="93"/>
      <c r="G435" s="93"/>
      <c r="H435" s="93"/>
      <c r="I435" s="93"/>
      <c r="J435" s="93"/>
      <c r="K435" s="93"/>
      <c r="L435" s="93"/>
      <c r="M435" s="93"/>
      <c r="N435" s="93"/>
      <c r="O435" s="93"/>
      <c r="P435" s="93"/>
      <c r="Q435" s="93"/>
      <c r="R435" s="93"/>
      <c r="S435" s="93"/>
      <c r="T435" s="93"/>
      <c r="U435" s="93"/>
      <c r="V435" s="93"/>
      <c r="W435" s="93"/>
      <c r="X435" s="93"/>
      <c r="Y435" s="93"/>
      <c r="Z435" s="93"/>
    </row>
    <row r="436">
      <c r="A436" s="1"/>
      <c r="C436" s="44"/>
      <c r="E436" s="44"/>
      <c r="F436" s="93"/>
      <c r="G436" s="93"/>
      <c r="H436" s="93"/>
      <c r="I436" s="93"/>
      <c r="J436" s="93"/>
      <c r="K436" s="93"/>
      <c r="L436" s="93"/>
      <c r="M436" s="93"/>
      <c r="N436" s="93"/>
      <c r="O436" s="93"/>
      <c r="P436" s="93"/>
      <c r="Q436" s="93"/>
      <c r="R436" s="93"/>
      <c r="S436" s="93"/>
      <c r="T436" s="93"/>
      <c r="U436" s="93"/>
      <c r="V436" s="93"/>
      <c r="W436" s="93"/>
      <c r="X436" s="93"/>
      <c r="Y436" s="93"/>
      <c r="Z436" s="93"/>
    </row>
    <row r="437">
      <c r="A437" s="1"/>
      <c r="C437" s="44"/>
      <c r="E437" s="44"/>
      <c r="F437" s="93"/>
      <c r="G437" s="93"/>
      <c r="H437" s="93"/>
      <c r="I437" s="93"/>
      <c r="J437" s="93"/>
      <c r="K437" s="93"/>
      <c r="L437" s="93"/>
      <c r="M437" s="93"/>
      <c r="N437" s="93"/>
      <c r="O437" s="93"/>
      <c r="P437" s="93"/>
      <c r="Q437" s="93"/>
      <c r="R437" s="93"/>
      <c r="S437" s="93"/>
      <c r="T437" s="93"/>
      <c r="U437" s="93"/>
      <c r="V437" s="93"/>
      <c r="W437" s="93"/>
      <c r="X437" s="93"/>
      <c r="Y437" s="93"/>
      <c r="Z437" s="93"/>
    </row>
    <row r="438">
      <c r="A438" s="1"/>
      <c r="C438" s="44"/>
      <c r="E438" s="44"/>
      <c r="F438" s="93"/>
      <c r="G438" s="93"/>
      <c r="H438" s="93"/>
      <c r="I438" s="93"/>
      <c r="J438" s="93"/>
      <c r="K438" s="93"/>
      <c r="L438" s="93"/>
      <c r="M438" s="93"/>
      <c r="N438" s="93"/>
      <c r="O438" s="93"/>
      <c r="P438" s="93"/>
      <c r="Q438" s="93"/>
      <c r="R438" s="93"/>
      <c r="S438" s="93"/>
      <c r="T438" s="93"/>
      <c r="U438" s="93"/>
      <c r="V438" s="93"/>
      <c r="W438" s="93"/>
      <c r="X438" s="93"/>
      <c r="Y438" s="93"/>
      <c r="Z438" s="93"/>
    </row>
    <row r="439">
      <c r="A439" s="1"/>
      <c r="C439" s="44"/>
      <c r="E439" s="44"/>
      <c r="F439" s="93"/>
      <c r="G439" s="93"/>
      <c r="H439" s="93"/>
      <c r="I439" s="93"/>
      <c r="J439" s="93"/>
      <c r="K439" s="93"/>
      <c r="L439" s="93"/>
      <c r="M439" s="93"/>
      <c r="N439" s="93"/>
      <c r="O439" s="93"/>
      <c r="P439" s="93"/>
      <c r="Q439" s="93"/>
      <c r="R439" s="93"/>
      <c r="S439" s="93"/>
      <c r="T439" s="93"/>
      <c r="U439" s="93"/>
      <c r="V439" s="93"/>
      <c r="W439" s="93"/>
      <c r="X439" s="93"/>
      <c r="Y439" s="93"/>
      <c r="Z439" s="93"/>
    </row>
    <row r="440">
      <c r="A440" s="1"/>
      <c r="C440" s="44"/>
      <c r="E440" s="44"/>
      <c r="F440" s="93"/>
      <c r="G440" s="93"/>
      <c r="H440" s="93"/>
      <c r="I440" s="93"/>
      <c r="J440" s="93"/>
      <c r="K440" s="93"/>
      <c r="L440" s="93"/>
      <c r="M440" s="93"/>
      <c r="N440" s="93"/>
      <c r="O440" s="93"/>
      <c r="P440" s="93"/>
      <c r="Q440" s="93"/>
      <c r="R440" s="93"/>
      <c r="S440" s="93"/>
      <c r="T440" s="93"/>
      <c r="U440" s="93"/>
      <c r="V440" s="93"/>
      <c r="W440" s="93"/>
      <c r="X440" s="93"/>
      <c r="Y440" s="93"/>
      <c r="Z440" s="93"/>
    </row>
    <row r="441">
      <c r="A441" s="1"/>
      <c r="C441" s="44"/>
      <c r="E441" s="44"/>
      <c r="F441" s="93"/>
      <c r="G441" s="93"/>
      <c r="H441" s="93"/>
      <c r="I441" s="93"/>
      <c r="J441" s="93"/>
      <c r="K441" s="93"/>
      <c r="L441" s="93"/>
      <c r="M441" s="93"/>
      <c r="N441" s="93"/>
      <c r="O441" s="93"/>
      <c r="P441" s="93"/>
      <c r="Q441" s="93"/>
      <c r="R441" s="93"/>
      <c r="S441" s="93"/>
      <c r="T441" s="93"/>
      <c r="U441" s="93"/>
      <c r="V441" s="93"/>
      <c r="W441" s="93"/>
      <c r="X441" s="93"/>
      <c r="Y441" s="93"/>
      <c r="Z441" s="93"/>
    </row>
    <row r="442">
      <c r="A442" s="1"/>
      <c r="C442" s="44"/>
      <c r="E442" s="44"/>
      <c r="F442" s="93"/>
      <c r="G442" s="93"/>
      <c r="H442" s="93"/>
      <c r="I442" s="93"/>
      <c r="J442" s="93"/>
      <c r="K442" s="93"/>
      <c r="L442" s="93"/>
      <c r="M442" s="93"/>
      <c r="N442" s="93"/>
      <c r="O442" s="93"/>
      <c r="P442" s="93"/>
      <c r="Q442" s="93"/>
      <c r="R442" s="93"/>
      <c r="S442" s="93"/>
      <c r="T442" s="93"/>
      <c r="U442" s="93"/>
      <c r="V442" s="93"/>
      <c r="W442" s="93"/>
      <c r="X442" s="93"/>
      <c r="Y442" s="93"/>
      <c r="Z442" s="93"/>
    </row>
    <row r="443">
      <c r="A443" s="1"/>
      <c r="C443" s="44"/>
      <c r="E443" s="44"/>
      <c r="F443" s="93"/>
      <c r="G443" s="93"/>
      <c r="H443" s="93"/>
      <c r="I443" s="93"/>
      <c r="J443" s="93"/>
      <c r="K443" s="93"/>
      <c r="L443" s="93"/>
      <c r="M443" s="93"/>
      <c r="N443" s="93"/>
      <c r="O443" s="93"/>
      <c r="P443" s="93"/>
      <c r="Q443" s="93"/>
      <c r="R443" s="93"/>
      <c r="S443" s="93"/>
      <c r="T443" s="93"/>
      <c r="U443" s="93"/>
      <c r="V443" s="93"/>
      <c r="W443" s="93"/>
      <c r="X443" s="93"/>
      <c r="Y443" s="93"/>
      <c r="Z443" s="93"/>
    </row>
    <row r="444">
      <c r="A444" s="1"/>
      <c r="C444" s="44"/>
      <c r="E444" s="44"/>
      <c r="F444" s="93"/>
      <c r="G444" s="93"/>
      <c r="H444" s="93"/>
      <c r="I444" s="93"/>
      <c r="J444" s="93"/>
      <c r="K444" s="93"/>
      <c r="L444" s="93"/>
      <c r="M444" s="93"/>
      <c r="N444" s="93"/>
      <c r="O444" s="93"/>
      <c r="P444" s="93"/>
      <c r="Q444" s="93"/>
      <c r="R444" s="93"/>
      <c r="S444" s="93"/>
      <c r="T444" s="93"/>
      <c r="U444" s="93"/>
      <c r="V444" s="93"/>
      <c r="W444" s="93"/>
      <c r="X444" s="93"/>
      <c r="Y444" s="93"/>
      <c r="Z444" s="93"/>
    </row>
    <row r="445">
      <c r="A445" s="1"/>
      <c r="C445" s="44"/>
      <c r="E445" s="44"/>
      <c r="F445" s="93"/>
      <c r="G445" s="93"/>
      <c r="H445" s="93"/>
      <c r="I445" s="93"/>
      <c r="J445" s="93"/>
      <c r="K445" s="93"/>
      <c r="L445" s="93"/>
      <c r="M445" s="93"/>
      <c r="N445" s="93"/>
      <c r="O445" s="93"/>
      <c r="P445" s="93"/>
      <c r="Q445" s="93"/>
      <c r="R445" s="93"/>
      <c r="S445" s="93"/>
      <c r="T445" s="93"/>
      <c r="U445" s="93"/>
      <c r="V445" s="93"/>
      <c r="W445" s="93"/>
      <c r="X445" s="93"/>
      <c r="Y445" s="93"/>
      <c r="Z445" s="93"/>
    </row>
    <row r="446">
      <c r="A446" s="1"/>
      <c r="C446" s="44"/>
      <c r="E446" s="44"/>
      <c r="F446" s="93"/>
      <c r="G446" s="93"/>
      <c r="H446" s="93"/>
      <c r="I446" s="93"/>
      <c r="J446" s="93"/>
      <c r="K446" s="93"/>
      <c r="L446" s="93"/>
      <c r="M446" s="93"/>
      <c r="N446" s="93"/>
      <c r="O446" s="93"/>
      <c r="P446" s="93"/>
      <c r="Q446" s="93"/>
      <c r="R446" s="93"/>
      <c r="S446" s="93"/>
      <c r="T446" s="93"/>
      <c r="U446" s="93"/>
      <c r="V446" s="93"/>
      <c r="W446" s="93"/>
      <c r="X446" s="93"/>
      <c r="Y446" s="93"/>
      <c r="Z446" s="93"/>
    </row>
    <row r="447">
      <c r="A447" s="1"/>
      <c r="C447" s="44"/>
      <c r="E447" s="44"/>
      <c r="F447" s="93"/>
      <c r="G447" s="93"/>
      <c r="H447" s="93"/>
      <c r="I447" s="93"/>
      <c r="J447" s="93"/>
      <c r="K447" s="93"/>
      <c r="L447" s="93"/>
      <c r="M447" s="93"/>
      <c r="N447" s="93"/>
      <c r="O447" s="93"/>
      <c r="P447" s="93"/>
      <c r="Q447" s="93"/>
      <c r="R447" s="93"/>
      <c r="S447" s="93"/>
      <c r="T447" s="93"/>
      <c r="U447" s="93"/>
      <c r="V447" s="93"/>
      <c r="W447" s="93"/>
      <c r="X447" s="93"/>
      <c r="Y447" s="93"/>
      <c r="Z447" s="93"/>
    </row>
    <row r="448">
      <c r="A448" s="1"/>
      <c r="C448" s="44"/>
      <c r="E448" s="44"/>
      <c r="F448" s="93"/>
      <c r="G448" s="93"/>
      <c r="H448" s="93"/>
      <c r="I448" s="93"/>
      <c r="J448" s="93"/>
      <c r="K448" s="93"/>
      <c r="L448" s="93"/>
      <c r="M448" s="93"/>
      <c r="N448" s="93"/>
      <c r="O448" s="93"/>
      <c r="P448" s="93"/>
      <c r="Q448" s="93"/>
      <c r="R448" s="93"/>
      <c r="S448" s="93"/>
      <c r="T448" s="93"/>
      <c r="U448" s="93"/>
      <c r="V448" s="93"/>
      <c r="W448" s="93"/>
      <c r="X448" s="93"/>
      <c r="Y448" s="93"/>
      <c r="Z448" s="93"/>
    </row>
    <row r="449">
      <c r="A449" s="1"/>
      <c r="C449" s="44"/>
      <c r="E449" s="44"/>
      <c r="F449" s="93"/>
      <c r="G449" s="93"/>
      <c r="H449" s="93"/>
      <c r="I449" s="93"/>
      <c r="J449" s="93"/>
      <c r="K449" s="93"/>
      <c r="L449" s="93"/>
      <c r="M449" s="93"/>
      <c r="N449" s="93"/>
      <c r="O449" s="93"/>
      <c r="P449" s="93"/>
      <c r="Q449" s="93"/>
      <c r="R449" s="93"/>
      <c r="S449" s="93"/>
      <c r="T449" s="93"/>
      <c r="U449" s="93"/>
      <c r="V449" s="93"/>
      <c r="W449" s="93"/>
      <c r="X449" s="93"/>
      <c r="Y449" s="93"/>
      <c r="Z449" s="93"/>
    </row>
    <row r="450">
      <c r="A450" s="1"/>
      <c r="C450" s="44"/>
      <c r="E450" s="44"/>
      <c r="F450" s="93"/>
      <c r="G450" s="93"/>
      <c r="H450" s="93"/>
      <c r="I450" s="93"/>
      <c r="J450" s="93"/>
      <c r="K450" s="93"/>
      <c r="L450" s="93"/>
      <c r="M450" s="93"/>
      <c r="N450" s="93"/>
      <c r="O450" s="93"/>
      <c r="P450" s="93"/>
      <c r="Q450" s="93"/>
      <c r="R450" s="93"/>
      <c r="S450" s="93"/>
      <c r="T450" s="93"/>
      <c r="U450" s="93"/>
      <c r="V450" s="93"/>
      <c r="W450" s="93"/>
      <c r="X450" s="93"/>
      <c r="Y450" s="93"/>
      <c r="Z450" s="93"/>
    </row>
    <row r="451">
      <c r="A451" s="1"/>
      <c r="C451" s="44"/>
      <c r="E451" s="44"/>
      <c r="F451" s="93"/>
      <c r="G451" s="93"/>
      <c r="H451" s="93"/>
      <c r="I451" s="93"/>
      <c r="J451" s="93"/>
      <c r="K451" s="93"/>
      <c r="L451" s="93"/>
      <c r="M451" s="93"/>
      <c r="N451" s="93"/>
      <c r="O451" s="93"/>
      <c r="P451" s="93"/>
      <c r="Q451" s="93"/>
      <c r="R451" s="93"/>
      <c r="S451" s="93"/>
      <c r="T451" s="93"/>
      <c r="U451" s="93"/>
      <c r="V451" s="93"/>
      <c r="W451" s="93"/>
      <c r="X451" s="93"/>
      <c r="Y451" s="93"/>
      <c r="Z451" s="93"/>
    </row>
    <row r="452">
      <c r="A452" s="1"/>
      <c r="C452" s="44"/>
      <c r="E452" s="44"/>
      <c r="F452" s="93"/>
      <c r="G452" s="93"/>
      <c r="H452" s="93"/>
      <c r="I452" s="93"/>
      <c r="J452" s="93"/>
      <c r="K452" s="93"/>
      <c r="L452" s="93"/>
      <c r="M452" s="93"/>
      <c r="N452" s="93"/>
      <c r="O452" s="93"/>
      <c r="P452" s="93"/>
      <c r="Q452" s="93"/>
      <c r="R452" s="93"/>
      <c r="S452" s="93"/>
      <c r="T452" s="93"/>
      <c r="U452" s="93"/>
      <c r="V452" s="93"/>
      <c r="W452" s="93"/>
      <c r="X452" s="93"/>
      <c r="Y452" s="93"/>
      <c r="Z452" s="93"/>
    </row>
    <row r="453">
      <c r="A453" s="1"/>
      <c r="C453" s="44"/>
      <c r="E453" s="44"/>
      <c r="F453" s="93"/>
      <c r="G453" s="93"/>
      <c r="H453" s="93"/>
      <c r="I453" s="93"/>
      <c r="J453" s="93"/>
      <c r="K453" s="93"/>
      <c r="L453" s="93"/>
      <c r="M453" s="93"/>
      <c r="N453" s="93"/>
      <c r="O453" s="93"/>
      <c r="P453" s="93"/>
      <c r="Q453" s="93"/>
      <c r="R453" s="93"/>
      <c r="S453" s="93"/>
      <c r="T453" s="93"/>
      <c r="U453" s="93"/>
      <c r="V453" s="93"/>
      <c r="W453" s="93"/>
      <c r="X453" s="93"/>
      <c r="Y453" s="93"/>
      <c r="Z453" s="93"/>
    </row>
    <row r="454">
      <c r="A454" s="1"/>
      <c r="C454" s="44"/>
      <c r="E454" s="44"/>
      <c r="F454" s="93"/>
      <c r="G454" s="93"/>
      <c r="H454" s="93"/>
      <c r="I454" s="93"/>
      <c r="J454" s="93"/>
      <c r="K454" s="93"/>
      <c r="L454" s="93"/>
      <c r="M454" s="93"/>
      <c r="N454" s="93"/>
      <c r="O454" s="93"/>
      <c r="P454" s="93"/>
      <c r="Q454" s="93"/>
      <c r="R454" s="93"/>
      <c r="S454" s="93"/>
      <c r="T454" s="93"/>
      <c r="U454" s="93"/>
      <c r="V454" s="93"/>
      <c r="W454" s="93"/>
      <c r="X454" s="93"/>
      <c r="Y454" s="93"/>
      <c r="Z454" s="93"/>
    </row>
    <row r="455">
      <c r="A455" s="1"/>
      <c r="C455" s="44"/>
      <c r="E455" s="44"/>
      <c r="F455" s="93"/>
      <c r="G455" s="93"/>
      <c r="H455" s="93"/>
      <c r="I455" s="93"/>
      <c r="J455" s="93"/>
      <c r="K455" s="93"/>
      <c r="L455" s="93"/>
      <c r="M455" s="93"/>
      <c r="N455" s="93"/>
      <c r="O455" s="93"/>
      <c r="P455" s="93"/>
      <c r="Q455" s="93"/>
      <c r="R455" s="93"/>
      <c r="S455" s="93"/>
      <c r="T455" s="93"/>
      <c r="U455" s="93"/>
      <c r="V455" s="93"/>
      <c r="W455" s="93"/>
      <c r="X455" s="93"/>
      <c r="Y455" s="93"/>
      <c r="Z455" s="93"/>
    </row>
    <row r="456">
      <c r="A456" s="1"/>
      <c r="C456" s="44"/>
      <c r="E456" s="44"/>
      <c r="F456" s="93"/>
      <c r="G456" s="93"/>
      <c r="H456" s="93"/>
      <c r="I456" s="93"/>
      <c r="J456" s="93"/>
      <c r="K456" s="93"/>
      <c r="L456" s="93"/>
      <c r="M456" s="93"/>
      <c r="N456" s="93"/>
      <c r="O456" s="93"/>
      <c r="P456" s="93"/>
      <c r="Q456" s="93"/>
      <c r="R456" s="93"/>
      <c r="S456" s="93"/>
      <c r="T456" s="93"/>
      <c r="U456" s="93"/>
      <c r="V456" s="93"/>
      <c r="W456" s="93"/>
      <c r="X456" s="93"/>
      <c r="Y456" s="93"/>
      <c r="Z456" s="93"/>
    </row>
    <row r="457">
      <c r="A457" s="1"/>
      <c r="C457" s="44"/>
      <c r="E457" s="44"/>
      <c r="F457" s="93"/>
      <c r="G457" s="93"/>
      <c r="H457" s="93"/>
      <c r="I457" s="93"/>
      <c r="J457" s="93"/>
      <c r="K457" s="93"/>
      <c r="L457" s="93"/>
      <c r="M457" s="93"/>
      <c r="N457" s="93"/>
      <c r="O457" s="93"/>
      <c r="P457" s="93"/>
      <c r="Q457" s="93"/>
      <c r="R457" s="93"/>
      <c r="S457" s="93"/>
      <c r="T457" s="93"/>
      <c r="U457" s="93"/>
      <c r="V457" s="93"/>
      <c r="W457" s="93"/>
      <c r="X457" s="93"/>
      <c r="Y457" s="93"/>
      <c r="Z457" s="93"/>
    </row>
    <row r="458">
      <c r="A458" s="1"/>
      <c r="C458" s="44"/>
      <c r="E458" s="44"/>
      <c r="F458" s="93"/>
      <c r="G458" s="93"/>
      <c r="H458" s="93"/>
      <c r="I458" s="93"/>
      <c r="J458" s="93"/>
      <c r="K458" s="93"/>
      <c r="L458" s="93"/>
      <c r="M458" s="93"/>
      <c r="N458" s="93"/>
      <c r="O458" s="93"/>
      <c r="P458" s="93"/>
      <c r="Q458" s="93"/>
      <c r="R458" s="93"/>
      <c r="S458" s="93"/>
      <c r="T458" s="93"/>
      <c r="U458" s="93"/>
      <c r="V458" s="93"/>
      <c r="W458" s="93"/>
      <c r="X458" s="93"/>
      <c r="Y458" s="93"/>
      <c r="Z458" s="93"/>
    </row>
    <row r="459">
      <c r="A459" s="1"/>
      <c r="C459" s="44"/>
      <c r="E459" s="44"/>
      <c r="F459" s="93"/>
      <c r="G459" s="93"/>
      <c r="H459" s="93"/>
      <c r="I459" s="93"/>
      <c r="J459" s="93"/>
      <c r="K459" s="93"/>
      <c r="L459" s="93"/>
      <c r="M459" s="93"/>
      <c r="N459" s="93"/>
      <c r="O459" s="93"/>
      <c r="P459" s="93"/>
      <c r="Q459" s="93"/>
      <c r="R459" s="93"/>
      <c r="S459" s="93"/>
      <c r="T459" s="93"/>
      <c r="U459" s="93"/>
      <c r="V459" s="93"/>
      <c r="W459" s="93"/>
      <c r="X459" s="93"/>
      <c r="Y459" s="93"/>
      <c r="Z459" s="93"/>
    </row>
    <row r="460">
      <c r="A460" s="1"/>
      <c r="C460" s="44"/>
      <c r="E460" s="44"/>
      <c r="F460" s="93"/>
      <c r="G460" s="93"/>
      <c r="H460" s="93"/>
      <c r="I460" s="93"/>
      <c r="J460" s="93"/>
      <c r="K460" s="93"/>
      <c r="L460" s="93"/>
      <c r="M460" s="93"/>
      <c r="N460" s="93"/>
      <c r="O460" s="93"/>
      <c r="P460" s="93"/>
      <c r="Q460" s="93"/>
      <c r="R460" s="93"/>
      <c r="S460" s="93"/>
      <c r="T460" s="93"/>
      <c r="U460" s="93"/>
      <c r="V460" s="93"/>
      <c r="W460" s="93"/>
      <c r="X460" s="93"/>
      <c r="Y460" s="93"/>
      <c r="Z460" s="93"/>
    </row>
    <row r="461">
      <c r="A461" s="1"/>
      <c r="C461" s="44"/>
      <c r="E461" s="44"/>
      <c r="F461" s="93"/>
      <c r="G461" s="93"/>
      <c r="H461" s="93"/>
      <c r="I461" s="93"/>
      <c r="J461" s="93"/>
      <c r="K461" s="93"/>
      <c r="L461" s="93"/>
      <c r="M461" s="93"/>
      <c r="N461" s="93"/>
      <c r="O461" s="93"/>
      <c r="P461" s="93"/>
      <c r="Q461" s="93"/>
      <c r="R461" s="93"/>
      <c r="S461" s="93"/>
      <c r="T461" s="93"/>
      <c r="U461" s="93"/>
      <c r="V461" s="93"/>
      <c r="W461" s="93"/>
      <c r="X461" s="93"/>
      <c r="Y461" s="93"/>
      <c r="Z461" s="93"/>
    </row>
    <row r="462">
      <c r="A462" s="1"/>
      <c r="C462" s="44"/>
      <c r="E462" s="44"/>
      <c r="F462" s="93"/>
      <c r="G462" s="93"/>
      <c r="H462" s="93"/>
      <c r="I462" s="93"/>
      <c r="J462" s="93"/>
      <c r="K462" s="93"/>
      <c r="L462" s="93"/>
      <c r="M462" s="93"/>
      <c r="N462" s="93"/>
      <c r="O462" s="93"/>
      <c r="P462" s="93"/>
      <c r="Q462" s="93"/>
      <c r="R462" s="93"/>
      <c r="S462" s="93"/>
      <c r="T462" s="93"/>
      <c r="U462" s="93"/>
      <c r="V462" s="93"/>
      <c r="W462" s="93"/>
      <c r="X462" s="93"/>
      <c r="Y462" s="93"/>
      <c r="Z462" s="93"/>
    </row>
    <row r="463">
      <c r="A463" s="1"/>
      <c r="C463" s="44"/>
      <c r="E463" s="44"/>
      <c r="F463" s="93"/>
      <c r="G463" s="93"/>
      <c r="H463" s="93"/>
      <c r="I463" s="93"/>
      <c r="J463" s="93"/>
      <c r="K463" s="93"/>
      <c r="L463" s="93"/>
      <c r="M463" s="93"/>
      <c r="N463" s="93"/>
      <c r="O463" s="93"/>
      <c r="P463" s="93"/>
      <c r="Q463" s="93"/>
      <c r="R463" s="93"/>
      <c r="S463" s="93"/>
      <c r="T463" s="93"/>
      <c r="U463" s="93"/>
      <c r="V463" s="93"/>
      <c r="W463" s="93"/>
      <c r="X463" s="93"/>
      <c r="Y463" s="93"/>
      <c r="Z463" s="93"/>
    </row>
    <row r="464">
      <c r="A464" s="1"/>
      <c r="C464" s="44"/>
      <c r="E464" s="44"/>
      <c r="F464" s="93"/>
      <c r="G464" s="93"/>
      <c r="H464" s="93"/>
      <c r="I464" s="93"/>
      <c r="J464" s="93"/>
      <c r="K464" s="93"/>
      <c r="L464" s="93"/>
      <c r="M464" s="93"/>
      <c r="N464" s="93"/>
      <c r="O464" s="93"/>
      <c r="P464" s="93"/>
      <c r="Q464" s="93"/>
      <c r="R464" s="93"/>
      <c r="S464" s="93"/>
      <c r="T464" s="93"/>
      <c r="U464" s="93"/>
      <c r="V464" s="93"/>
      <c r="W464" s="93"/>
      <c r="X464" s="93"/>
      <c r="Y464" s="93"/>
      <c r="Z464" s="93"/>
    </row>
    <row r="465">
      <c r="A465" s="1"/>
      <c r="C465" s="44"/>
      <c r="E465" s="44"/>
      <c r="F465" s="93"/>
      <c r="G465" s="93"/>
      <c r="H465" s="93"/>
      <c r="I465" s="93"/>
      <c r="J465" s="93"/>
      <c r="K465" s="93"/>
      <c r="L465" s="93"/>
      <c r="M465" s="93"/>
      <c r="N465" s="93"/>
      <c r="O465" s="93"/>
      <c r="P465" s="93"/>
      <c r="Q465" s="93"/>
      <c r="R465" s="93"/>
      <c r="S465" s="93"/>
      <c r="T465" s="93"/>
      <c r="U465" s="93"/>
      <c r="V465" s="93"/>
      <c r="W465" s="93"/>
      <c r="X465" s="93"/>
      <c r="Y465" s="93"/>
      <c r="Z465" s="93"/>
    </row>
    <row r="466">
      <c r="A466" s="1"/>
      <c r="C466" s="44"/>
      <c r="E466" s="44"/>
      <c r="F466" s="93"/>
      <c r="G466" s="93"/>
      <c r="H466" s="93"/>
      <c r="I466" s="93"/>
      <c r="J466" s="93"/>
      <c r="K466" s="93"/>
      <c r="L466" s="93"/>
      <c r="M466" s="93"/>
      <c r="N466" s="93"/>
      <c r="O466" s="93"/>
      <c r="P466" s="93"/>
      <c r="Q466" s="93"/>
      <c r="R466" s="93"/>
      <c r="S466" s="93"/>
      <c r="T466" s="93"/>
      <c r="U466" s="93"/>
      <c r="V466" s="93"/>
      <c r="W466" s="93"/>
      <c r="X466" s="93"/>
      <c r="Y466" s="93"/>
      <c r="Z466" s="93"/>
    </row>
    <row r="467">
      <c r="A467" s="1"/>
      <c r="C467" s="44"/>
      <c r="E467" s="44"/>
      <c r="F467" s="93"/>
      <c r="G467" s="93"/>
      <c r="H467" s="93"/>
      <c r="I467" s="93"/>
      <c r="J467" s="93"/>
      <c r="K467" s="93"/>
      <c r="L467" s="93"/>
      <c r="M467" s="93"/>
      <c r="N467" s="93"/>
      <c r="O467" s="93"/>
      <c r="P467" s="93"/>
      <c r="Q467" s="93"/>
      <c r="R467" s="93"/>
      <c r="S467" s="93"/>
      <c r="T467" s="93"/>
      <c r="U467" s="93"/>
      <c r="V467" s="93"/>
      <c r="W467" s="93"/>
      <c r="X467" s="93"/>
      <c r="Y467" s="93"/>
      <c r="Z467" s="93"/>
    </row>
    <row r="468">
      <c r="A468" s="1"/>
      <c r="C468" s="44"/>
      <c r="E468" s="44"/>
      <c r="F468" s="93"/>
      <c r="G468" s="93"/>
      <c r="H468" s="93"/>
      <c r="I468" s="93"/>
      <c r="J468" s="93"/>
      <c r="K468" s="93"/>
      <c r="L468" s="93"/>
      <c r="M468" s="93"/>
      <c r="N468" s="93"/>
      <c r="O468" s="93"/>
      <c r="P468" s="93"/>
      <c r="Q468" s="93"/>
      <c r="R468" s="93"/>
      <c r="S468" s="93"/>
      <c r="T468" s="93"/>
      <c r="U468" s="93"/>
      <c r="V468" s="93"/>
      <c r="W468" s="93"/>
      <c r="X468" s="93"/>
      <c r="Y468" s="93"/>
      <c r="Z468" s="93"/>
    </row>
    <row r="469">
      <c r="A469" s="1"/>
      <c r="C469" s="44"/>
      <c r="E469" s="44"/>
      <c r="F469" s="93"/>
      <c r="G469" s="93"/>
      <c r="H469" s="93"/>
      <c r="I469" s="93"/>
      <c r="J469" s="93"/>
      <c r="K469" s="93"/>
      <c r="L469" s="93"/>
      <c r="M469" s="93"/>
      <c r="N469" s="93"/>
      <c r="O469" s="93"/>
      <c r="P469" s="93"/>
      <c r="Q469" s="93"/>
      <c r="R469" s="93"/>
      <c r="S469" s="93"/>
      <c r="T469" s="93"/>
      <c r="U469" s="93"/>
      <c r="V469" s="93"/>
      <c r="W469" s="93"/>
      <c r="X469" s="93"/>
      <c r="Y469" s="93"/>
      <c r="Z469" s="93"/>
    </row>
    <row r="470">
      <c r="A470" s="1"/>
      <c r="C470" s="44"/>
      <c r="E470" s="44"/>
      <c r="F470" s="93"/>
      <c r="G470" s="93"/>
      <c r="H470" s="93"/>
      <c r="I470" s="93"/>
      <c r="J470" s="93"/>
      <c r="K470" s="93"/>
      <c r="L470" s="93"/>
      <c r="M470" s="93"/>
      <c r="N470" s="93"/>
      <c r="O470" s="93"/>
      <c r="P470" s="93"/>
      <c r="Q470" s="93"/>
      <c r="R470" s="93"/>
      <c r="S470" s="93"/>
      <c r="T470" s="93"/>
      <c r="U470" s="93"/>
      <c r="V470" s="93"/>
      <c r="W470" s="93"/>
      <c r="X470" s="93"/>
      <c r="Y470" s="93"/>
      <c r="Z470" s="93"/>
    </row>
    <row r="471">
      <c r="A471" s="1"/>
      <c r="C471" s="44"/>
      <c r="E471" s="44"/>
      <c r="F471" s="93"/>
      <c r="G471" s="93"/>
      <c r="H471" s="93"/>
      <c r="I471" s="93"/>
      <c r="J471" s="93"/>
      <c r="K471" s="93"/>
      <c r="L471" s="93"/>
      <c r="M471" s="93"/>
      <c r="N471" s="93"/>
      <c r="O471" s="93"/>
      <c r="P471" s="93"/>
      <c r="Q471" s="93"/>
      <c r="R471" s="93"/>
      <c r="S471" s="93"/>
      <c r="T471" s="93"/>
      <c r="U471" s="93"/>
      <c r="V471" s="93"/>
      <c r="W471" s="93"/>
      <c r="X471" s="93"/>
      <c r="Y471" s="93"/>
      <c r="Z471" s="93"/>
    </row>
    <row r="472">
      <c r="A472" s="1"/>
      <c r="C472" s="44"/>
      <c r="E472" s="44"/>
      <c r="F472" s="93"/>
      <c r="G472" s="93"/>
      <c r="H472" s="93"/>
      <c r="I472" s="93"/>
      <c r="J472" s="93"/>
      <c r="K472" s="93"/>
      <c r="L472" s="93"/>
      <c r="M472" s="93"/>
      <c r="N472" s="93"/>
      <c r="O472" s="93"/>
      <c r="P472" s="93"/>
      <c r="Q472" s="93"/>
      <c r="R472" s="93"/>
      <c r="S472" s="93"/>
      <c r="T472" s="93"/>
      <c r="U472" s="93"/>
      <c r="V472" s="93"/>
      <c r="W472" s="93"/>
      <c r="X472" s="93"/>
      <c r="Y472" s="93"/>
      <c r="Z472" s="93"/>
    </row>
    <row r="473">
      <c r="A473" s="1"/>
      <c r="C473" s="44"/>
      <c r="E473" s="44"/>
      <c r="F473" s="93"/>
      <c r="G473" s="93"/>
      <c r="H473" s="93"/>
      <c r="I473" s="93"/>
      <c r="J473" s="93"/>
      <c r="K473" s="93"/>
      <c r="L473" s="93"/>
      <c r="M473" s="93"/>
      <c r="N473" s="93"/>
      <c r="O473" s="93"/>
      <c r="P473" s="93"/>
      <c r="Q473" s="93"/>
      <c r="R473" s="93"/>
      <c r="S473" s="93"/>
      <c r="T473" s="93"/>
      <c r="U473" s="93"/>
      <c r="V473" s="93"/>
      <c r="W473" s="93"/>
      <c r="X473" s="93"/>
      <c r="Y473" s="93"/>
      <c r="Z473" s="93"/>
    </row>
    <row r="474">
      <c r="A474" s="1"/>
      <c r="C474" s="44"/>
      <c r="E474" s="44"/>
      <c r="F474" s="93"/>
      <c r="G474" s="93"/>
      <c r="H474" s="93"/>
      <c r="I474" s="93"/>
      <c r="J474" s="93"/>
      <c r="K474" s="93"/>
      <c r="L474" s="93"/>
      <c r="M474" s="93"/>
      <c r="N474" s="93"/>
      <c r="O474" s="93"/>
      <c r="P474" s="93"/>
      <c r="Q474" s="93"/>
      <c r="R474" s="93"/>
      <c r="S474" s="93"/>
      <c r="T474" s="93"/>
      <c r="U474" s="93"/>
      <c r="V474" s="93"/>
      <c r="W474" s="93"/>
      <c r="X474" s="93"/>
      <c r="Y474" s="93"/>
      <c r="Z474" s="93"/>
    </row>
    <row r="475">
      <c r="A475" s="1"/>
      <c r="C475" s="44"/>
      <c r="E475" s="44"/>
      <c r="F475" s="93"/>
      <c r="G475" s="93"/>
      <c r="H475" s="93"/>
      <c r="I475" s="93"/>
      <c r="J475" s="93"/>
      <c r="K475" s="93"/>
      <c r="L475" s="93"/>
      <c r="M475" s="93"/>
      <c r="N475" s="93"/>
      <c r="O475" s="93"/>
      <c r="P475" s="93"/>
      <c r="Q475" s="93"/>
      <c r="R475" s="93"/>
      <c r="S475" s="93"/>
      <c r="T475" s="93"/>
      <c r="U475" s="93"/>
      <c r="V475" s="93"/>
      <c r="W475" s="93"/>
      <c r="X475" s="93"/>
      <c r="Y475" s="93"/>
      <c r="Z475" s="93"/>
    </row>
    <row r="476">
      <c r="A476" s="1"/>
      <c r="C476" s="44"/>
      <c r="E476" s="44"/>
      <c r="F476" s="93"/>
      <c r="G476" s="93"/>
      <c r="H476" s="93"/>
      <c r="I476" s="93"/>
      <c r="J476" s="93"/>
      <c r="K476" s="93"/>
      <c r="L476" s="93"/>
      <c r="M476" s="93"/>
      <c r="N476" s="93"/>
      <c r="O476" s="93"/>
      <c r="P476" s="93"/>
      <c r="Q476" s="93"/>
      <c r="R476" s="93"/>
      <c r="S476" s="93"/>
      <c r="T476" s="93"/>
      <c r="U476" s="93"/>
      <c r="V476" s="93"/>
      <c r="W476" s="93"/>
      <c r="X476" s="93"/>
      <c r="Y476" s="93"/>
      <c r="Z476" s="93"/>
    </row>
    <row r="477">
      <c r="A477" s="1"/>
      <c r="C477" s="44"/>
      <c r="E477" s="44"/>
      <c r="F477" s="93"/>
      <c r="G477" s="93"/>
      <c r="H477" s="93"/>
      <c r="I477" s="93"/>
      <c r="J477" s="93"/>
      <c r="K477" s="93"/>
      <c r="L477" s="93"/>
      <c r="M477" s="93"/>
      <c r="N477" s="93"/>
      <c r="O477" s="93"/>
      <c r="P477" s="93"/>
      <c r="Q477" s="93"/>
      <c r="R477" s="93"/>
      <c r="S477" s="93"/>
      <c r="T477" s="93"/>
      <c r="U477" s="93"/>
      <c r="V477" s="93"/>
      <c r="W477" s="93"/>
      <c r="X477" s="93"/>
      <c r="Y477" s="93"/>
      <c r="Z477" s="93"/>
    </row>
    <row r="478">
      <c r="A478" s="1"/>
      <c r="C478" s="44"/>
      <c r="E478" s="44"/>
      <c r="F478" s="93"/>
      <c r="G478" s="93"/>
      <c r="H478" s="93"/>
      <c r="I478" s="93"/>
      <c r="J478" s="93"/>
      <c r="K478" s="93"/>
      <c r="L478" s="93"/>
      <c r="M478" s="93"/>
      <c r="N478" s="93"/>
      <c r="O478" s="93"/>
      <c r="P478" s="93"/>
      <c r="Q478" s="93"/>
      <c r="R478" s="93"/>
      <c r="S478" s="93"/>
      <c r="T478" s="93"/>
      <c r="U478" s="93"/>
      <c r="V478" s="93"/>
      <c r="W478" s="93"/>
      <c r="X478" s="93"/>
      <c r="Y478" s="93"/>
      <c r="Z478" s="93"/>
    </row>
    <row r="479">
      <c r="A479" s="1"/>
      <c r="C479" s="44"/>
      <c r="E479" s="44"/>
      <c r="F479" s="93"/>
      <c r="G479" s="93"/>
      <c r="H479" s="93"/>
      <c r="I479" s="93"/>
      <c r="J479" s="93"/>
      <c r="K479" s="93"/>
      <c r="L479" s="93"/>
      <c r="M479" s="93"/>
      <c r="N479" s="93"/>
      <c r="O479" s="93"/>
      <c r="P479" s="93"/>
      <c r="Q479" s="93"/>
      <c r="R479" s="93"/>
      <c r="S479" s="93"/>
      <c r="T479" s="93"/>
      <c r="U479" s="93"/>
      <c r="V479" s="93"/>
      <c r="W479" s="93"/>
      <c r="X479" s="93"/>
      <c r="Y479" s="93"/>
      <c r="Z479" s="93"/>
    </row>
    <row r="480">
      <c r="A480" s="1"/>
      <c r="C480" s="44"/>
      <c r="E480" s="44"/>
      <c r="F480" s="93"/>
      <c r="G480" s="93"/>
      <c r="H480" s="93"/>
      <c r="I480" s="93"/>
      <c r="J480" s="93"/>
      <c r="K480" s="93"/>
      <c r="L480" s="93"/>
      <c r="M480" s="93"/>
      <c r="N480" s="93"/>
      <c r="O480" s="93"/>
      <c r="P480" s="93"/>
      <c r="Q480" s="93"/>
      <c r="R480" s="93"/>
      <c r="S480" s="93"/>
      <c r="T480" s="93"/>
      <c r="U480" s="93"/>
      <c r="V480" s="93"/>
      <c r="W480" s="93"/>
      <c r="X480" s="93"/>
      <c r="Y480" s="93"/>
      <c r="Z480" s="93"/>
    </row>
    <row r="481">
      <c r="A481" s="1"/>
      <c r="C481" s="44"/>
      <c r="E481" s="44"/>
      <c r="F481" s="93"/>
      <c r="G481" s="93"/>
      <c r="H481" s="93"/>
      <c r="I481" s="93"/>
      <c r="J481" s="93"/>
      <c r="K481" s="93"/>
      <c r="L481" s="93"/>
      <c r="M481" s="93"/>
      <c r="N481" s="93"/>
      <c r="O481" s="93"/>
      <c r="P481" s="93"/>
      <c r="Q481" s="93"/>
      <c r="R481" s="93"/>
      <c r="S481" s="93"/>
      <c r="T481" s="93"/>
      <c r="U481" s="93"/>
      <c r="V481" s="93"/>
      <c r="W481" s="93"/>
      <c r="X481" s="93"/>
      <c r="Y481" s="93"/>
      <c r="Z481" s="93"/>
    </row>
    <row r="482">
      <c r="A482" s="1"/>
      <c r="C482" s="44"/>
      <c r="E482" s="44"/>
      <c r="F482" s="93"/>
      <c r="G482" s="93"/>
      <c r="H482" s="93"/>
      <c r="I482" s="93"/>
      <c r="J482" s="93"/>
      <c r="K482" s="93"/>
      <c r="L482" s="93"/>
      <c r="M482" s="93"/>
      <c r="N482" s="93"/>
      <c r="O482" s="93"/>
      <c r="P482" s="93"/>
      <c r="Q482" s="93"/>
      <c r="R482" s="93"/>
      <c r="S482" s="93"/>
      <c r="T482" s="93"/>
      <c r="U482" s="93"/>
      <c r="V482" s="93"/>
      <c r="W482" s="93"/>
      <c r="X482" s="93"/>
      <c r="Y482" s="93"/>
      <c r="Z482" s="93"/>
    </row>
    <row r="483">
      <c r="A483" s="1"/>
      <c r="C483" s="44"/>
      <c r="E483" s="44"/>
      <c r="F483" s="93"/>
      <c r="G483" s="93"/>
      <c r="H483" s="93"/>
      <c r="I483" s="93"/>
      <c r="J483" s="93"/>
      <c r="K483" s="93"/>
      <c r="L483" s="93"/>
      <c r="M483" s="93"/>
      <c r="N483" s="93"/>
      <c r="O483" s="93"/>
      <c r="P483" s="93"/>
      <c r="Q483" s="93"/>
      <c r="R483" s="93"/>
      <c r="S483" s="93"/>
      <c r="T483" s="93"/>
      <c r="U483" s="93"/>
      <c r="V483" s="93"/>
      <c r="W483" s="93"/>
      <c r="X483" s="93"/>
      <c r="Y483" s="93"/>
      <c r="Z483" s="93"/>
    </row>
    <row r="484">
      <c r="A484" s="1"/>
      <c r="C484" s="44"/>
      <c r="E484" s="44"/>
      <c r="F484" s="93"/>
      <c r="G484" s="93"/>
      <c r="H484" s="93"/>
      <c r="I484" s="93"/>
      <c r="J484" s="93"/>
      <c r="K484" s="93"/>
      <c r="L484" s="93"/>
      <c r="M484" s="93"/>
      <c r="N484" s="93"/>
      <c r="O484" s="93"/>
      <c r="P484" s="93"/>
      <c r="Q484" s="93"/>
      <c r="R484" s="93"/>
      <c r="S484" s="93"/>
      <c r="T484" s="93"/>
      <c r="U484" s="93"/>
      <c r="V484" s="93"/>
      <c r="W484" s="93"/>
      <c r="X484" s="93"/>
      <c r="Y484" s="93"/>
      <c r="Z484" s="93"/>
    </row>
    <row r="485">
      <c r="A485" s="1"/>
      <c r="C485" s="44"/>
      <c r="E485" s="44"/>
      <c r="F485" s="93"/>
      <c r="G485" s="93"/>
      <c r="H485" s="93"/>
      <c r="I485" s="93"/>
      <c r="J485" s="93"/>
      <c r="K485" s="93"/>
      <c r="L485" s="93"/>
      <c r="M485" s="93"/>
      <c r="N485" s="93"/>
      <c r="O485" s="93"/>
      <c r="P485" s="93"/>
      <c r="Q485" s="93"/>
      <c r="R485" s="93"/>
      <c r="S485" s="93"/>
      <c r="T485" s="93"/>
      <c r="U485" s="93"/>
      <c r="V485" s="93"/>
      <c r="W485" s="93"/>
      <c r="X485" s="93"/>
      <c r="Y485" s="93"/>
      <c r="Z485" s="93"/>
    </row>
    <row r="486">
      <c r="A486" s="1"/>
      <c r="C486" s="44"/>
      <c r="E486" s="44"/>
      <c r="F486" s="93"/>
      <c r="G486" s="93"/>
      <c r="H486" s="93"/>
      <c r="I486" s="93"/>
      <c r="J486" s="93"/>
      <c r="K486" s="93"/>
      <c r="L486" s="93"/>
      <c r="M486" s="93"/>
      <c r="N486" s="93"/>
      <c r="O486" s="93"/>
      <c r="P486" s="93"/>
      <c r="Q486" s="93"/>
      <c r="R486" s="93"/>
      <c r="S486" s="93"/>
      <c r="T486" s="93"/>
      <c r="U486" s="93"/>
      <c r="V486" s="93"/>
      <c r="W486" s="93"/>
      <c r="X486" s="93"/>
      <c r="Y486" s="93"/>
      <c r="Z486" s="93"/>
    </row>
    <row r="487">
      <c r="A487" s="1"/>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c r="A488" s="1"/>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c r="A489" s="1"/>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c r="A490" s="1"/>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c r="A491" s="1"/>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c r="A492" s="1"/>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c r="A493" s="1"/>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c r="A494" s="1"/>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c r="A495" s="1"/>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c r="A496" s="1"/>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c r="A497" s="1"/>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c r="A498" s="1"/>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c r="A499" s="1"/>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c r="A500" s="1"/>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c r="A501" s="1"/>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c r="A502" s="1"/>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c r="A503" s="1"/>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c r="A504" s="1"/>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c r="A505" s="1"/>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c r="A506" s="1"/>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c r="A507" s="1"/>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c r="A508" s="1"/>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c r="A509" s="1"/>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c r="A510" s="1"/>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c r="A511" s="1"/>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c r="A512" s="1"/>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c r="A513" s="1"/>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c r="A514" s="1"/>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c r="A515" s="1"/>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c r="A516" s="1"/>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c r="A517" s="1"/>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c r="A518" s="1"/>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c r="A519" s="1"/>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c r="A520" s="1"/>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c r="A521" s="1"/>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c r="A522" s="1"/>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c r="A523" s="1"/>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c r="A524" s="1"/>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c r="A525" s="1"/>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c r="A526" s="1"/>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c r="A527" s="1"/>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c r="A528" s="1"/>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c r="A529" s="1"/>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c r="A530" s="1"/>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c r="A531" s="1"/>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c r="A532" s="1"/>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c r="A533" s="1"/>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c r="A534" s="1"/>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c r="A535" s="1"/>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c r="A536" s="1"/>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c r="A537" s="1"/>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c r="A538" s="1"/>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c r="A539" s="1"/>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c r="A540" s="1"/>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c r="A541" s="1"/>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c r="A542" s="1"/>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c r="A543" s="1"/>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c r="A544" s="1"/>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c r="A545" s="1"/>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c r="A546" s="1"/>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c r="A547" s="1"/>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c r="A548" s="1"/>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c r="A549" s="1"/>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c r="A550" s="1"/>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c r="A551" s="1"/>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c r="A552" s="1"/>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c r="A553" s="1"/>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c r="A554" s="1"/>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c r="A555" s="1"/>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c r="A556" s="1"/>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c r="A557" s="1"/>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c r="A558" s="1"/>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c r="A559" s="1"/>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c r="A560" s="1"/>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c r="A561" s="1"/>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c r="A562" s="1"/>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c r="A563" s="1"/>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c r="A564" s="1"/>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c r="A565" s="1"/>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c r="A566" s="1"/>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c r="A567" s="1"/>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c r="A568" s="1"/>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c r="A569" s="1"/>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c r="A570" s="1"/>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c r="A571" s="1"/>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c r="A572" s="1"/>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c r="A573" s="1"/>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c r="A574" s="1"/>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c r="A575" s="1"/>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c r="A576" s="1"/>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c r="A577" s="1"/>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c r="A578" s="1"/>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c r="A579" s="1"/>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c r="A580" s="1"/>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c r="A581" s="1"/>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c r="A582" s="1"/>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c r="A583" s="1"/>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c r="A584" s="1"/>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c r="A585" s="1"/>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c r="A586" s="1"/>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c r="A587" s="1"/>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c r="A588" s="1"/>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c r="A589" s="1"/>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c r="A590" s="1"/>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c r="A591" s="1"/>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c r="A592" s="1"/>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c r="A593" s="1"/>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c r="A594" s="1"/>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c r="A595" s="1"/>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c r="A596" s="1"/>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c r="A597" s="1"/>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c r="A598" s="1"/>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c r="A599" s="1"/>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c r="A600" s="1"/>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c r="A601" s="1"/>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c r="A602" s="1"/>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c r="A603" s="1"/>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c r="A604" s="1"/>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c r="A605" s="1"/>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c r="A606" s="1"/>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c r="A607" s="1"/>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c r="A608" s="1"/>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c r="A609" s="1"/>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c r="A610" s="1"/>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c r="A611" s="1"/>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c r="A612" s="1"/>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c r="A613" s="1"/>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c r="A614" s="1"/>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c r="A615" s="1"/>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c r="A616" s="1"/>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c r="A617" s="1"/>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c r="A618" s="1"/>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c r="A619" s="1"/>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c r="A620" s="1"/>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c r="A621" s="1"/>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c r="A622" s="1"/>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c r="A623" s="1"/>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c r="A624" s="1"/>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c r="A625" s="1"/>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c r="A626" s="1"/>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c r="A627" s="1"/>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c r="A628" s="1"/>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c r="A629" s="1"/>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c r="A630" s="1"/>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c r="A631" s="1"/>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c r="A632" s="1"/>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c r="A633" s="1"/>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c r="A634" s="1"/>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c r="A635" s="1"/>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c r="A636" s="1"/>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c r="A637" s="1"/>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c r="A638" s="1"/>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c r="A639" s="1"/>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c r="A640" s="1"/>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c r="A641" s="1"/>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c r="A642" s="1"/>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c r="A643" s="1"/>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c r="A644" s="1"/>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c r="A645" s="1"/>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c r="A646" s="1"/>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c r="A647" s="1"/>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c r="A648" s="1"/>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c r="A649" s="1"/>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c r="A650" s="1"/>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c r="A651" s="1"/>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c r="A652" s="1"/>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c r="A653" s="1"/>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c r="A654" s="1"/>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c r="A655" s="1"/>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c r="A656" s="1"/>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c r="A657" s="1"/>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c r="A658" s="1"/>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c r="A659" s="1"/>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c r="A660" s="1"/>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c r="A661" s="1"/>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c r="A662" s="1"/>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c r="A663" s="1"/>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c r="A664" s="1"/>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c r="A665" s="1"/>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c r="A666" s="1"/>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c r="A667" s="1"/>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c r="A668" s="1"/>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c r="A669" s="1"/>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c r="A670" s="1"/>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c r="A671" s="1"/>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c r="A672" s="1"/>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c r="A673" s="1"/>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c r="A674" s="1"/>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c r="A675" s="1"/>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c r="A676" s="1"/>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c r="A677" s="1"/>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c r="A678" s="1"/>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c r="A679" s="1"/>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c r="A680" s="1"/>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c r="A681" s="1"/>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c r="A682" s="1"/>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c r="A683" s="1"/>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c r="A684" s="1"/>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c r="A685" s="1"/>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c r="A686" s="1"/>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c r="A687" s="1"/>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c r="A688" s="1"/>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c r="A689" s="1"/>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c r="A690" s="1"/>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c r="A691" s="1"/>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c r="A692" s="1"/>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c r="A693" s="1"/>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c r="A694" s="1"/>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c r="A695" s="1"/>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c r="A696" s="1"/>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c r="A697" s="1"/>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c r="A698" s="1"/>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c r="A699" s="1"/>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c r="A700" s="1"/>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c r="A701" s="1"/>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c r="A702" s="1"/>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c r="A703" s="1"/>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c r="A704" s="1"/>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c r="A705" s="1"/>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c r="A706" s="1"/>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c r="A707" s="1"/>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c r="A708" s="1"/>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c r="A709" s="1"/>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c r="A710" s="1"/>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c r="A711" s="1"/>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c r="A712" s="1"/>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c r="A713" s="1"/>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c r="A714" s="1"/>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c r="A715" s="1"/>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c r="A716" s="1"/>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c r="A717" s="1"/>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c r="A718" s="1"/>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c r="A719" s="1"/>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c r="A720" s="1"/>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c r="A721" s="1"/>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c r="A722" s="1"/>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c r="A723" s="1"/>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c r="A724" s="1"/>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c r="A725" s="1"/>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c r="A726" s="1"/>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c r="A727" s="1"/>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c r="A728" s="1"/>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c r="A729" s="1"/>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c r="A730" s="1"/>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c r="A731" s="1"/>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c r="A732" s="1"/>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c r="A733" s="1"/>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c r="A734" s="1"/>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c r="A735" s="1"/>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c r="A736" s="1"/>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c r="A737" s="1"/>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c r="A738" s="1"/>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c r="A739" s="1"/>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c r="A740" s="1"/>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c r="A741" s="1"/>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c r="A742" s="1"/>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c r="A743" s="1"/>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c r="A744" s="1"/>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c r="A745" s="1"/>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c r="A746" s="1"/>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c r="A747" s="1"/>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c r="A748" s="1"/>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c r="A749" s="1"/>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c r="A750" s="1"/>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c r="A751" s="1"/>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c r="A752" s="1"/>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c r="A753" s="1"/>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c r="A754" s="1"/>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c r="A755" s="1"/>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c r="A756" s="1"/>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c r="A757" s="1"/>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c r="A758" s="1"/>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c r="A759" s="1"/>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c r="A760" s="1"/>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c r="A761" s="1"/>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c r="A762" s="1"/>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c r="A763" s="1"/>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c r="A764" s="1"/>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c r="A765" s="1"/>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c r="A766" s="1"/>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c r="A767" s="1"/>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c r="A768" s="1"/>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c r="A769" s="1"/>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c r="A770" s="1"/>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c r="A771" s="1"/>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c r="A772" s="1"/>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c r="A773" s="1"/>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c r="A774" s="1"/>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c r="A775" s="1"/>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c r="A776" s="1"/>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c r="A777" s="1"/>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c r="A778" s="1"/>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c r="A779" s="1"/>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c r="A780" s="1"/>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c r="A781" s="1"/>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c r="A782" s="1"/>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c r="A783" s="1"/>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c r="A784" s="1"/>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c r="A785" s="1"/>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c r="A786" s="1"/>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c r="A787" s="1"/>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c r="A788" s="1"/>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c r="A789" s="1"/>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c r="A790" s="1"/>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c r="A791" s="1"/>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c r="A792" s="1"/>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c r="A793" s="1"/>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c r="A794" s="1"/>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c r="A795" s="1"/>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c r="A796" s="1"/>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c r="A797" s="1"/>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c r="A798" s="1"/>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c r="A799" s="1"/>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c r="A800" s="1"/>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c r="A801" s="1"/>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c r="A802" s="1"/>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c r="A803" s="1"/>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c r="A804" s="1"/>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c r="A805" s="1"/>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c r="A806" s="1"/>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c r="A807" s="1"/>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c r="A808" s="1"/>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c r="A809" s="1"/>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c r="A810" s="1"/>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c r="A811" s="1"/>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c r="A812" s="1"/>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c r="A813" s="1"/>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c r="A814" s="1"/>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c r="A815" s="1"/>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c r="A816" s="1"/>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c r="A817" s="1"/>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c r="A818" s="1"/>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c r="A819" s="1"/>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c r="A820" s="1"/>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c r="A821" s="1"/>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c r="A822" s="1"/>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c r="A823" s="1"/>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c r="A824" s="1"/>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c r="A825" s="1"/>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c r="A826" s="1"/>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c r="A827" s="1"/>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c r="A828" s="1"/>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c r="A829" s="1"/>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c r="A830" s="1"/>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c r="A831" s="1"/>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c r="A832" s="1"/>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c r="A833" s="1"/>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c r="A834" s="1"/>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c r="A835" s="1"/>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c r="A836" s="1"/>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c r="A837" s="1"/>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c r="A838" s="1"/>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c r="A839" s="1"/>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c r="A840" s="1"/>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c r="A841" s="1"/>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c r="A842" s="1"/>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c r="A843" s="1"/>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c r="A844" s="1"/>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c r="A845" s="1"/>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c r="A846" s="1"/>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c r="A847" s="1"/>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c r="A848" s="1"/>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c r="A849" s="1"/>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c r="A850" s="1"/>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c r="A851" s="1"/>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c r="A852" s="1"/>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c r="A853" s="1"/>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c r="A854" s="1"/>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c r="A855" s="1"/>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c r="A856" s="1"/>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c r="A857" s="1"/>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c r="A858" s="1"/>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c r="A859" s="1"/>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c r="A860" s="1"/>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c r="A861" s="1"/>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c r="A862" s="1"/>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c r="A863" s="1"/>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c r="A864" s="1"/>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c r="A865" s="1"/>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c r="A866" s="1"/>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c r="A867" s="1"/>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c r="A868" s="1"/>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c r="A869" s="1"/>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c r="A870" s="1"/>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c r="A871" s="1"/>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c r="A872" s="1"/>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c r="A873" s="1"/>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c r="A874" s="1"/>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c r="A875" s="1"/>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c r="A876" s="1"/>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c r="A877" s="1"/>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c r="A878" s="1"/>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c r="A879" s="1"/>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c r="A880" s="1"/>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c r="A881" s="1"/>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c r="A882" s="1"/>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c r="A883" s="1"/>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c r="A884" s="1"/>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c r="A885" s="1"/>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c r="A886" s="1"/>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c r="A887" s="1"/>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c r="A888" s="1"/>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c r="A889" s="1"/>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c r="A890" s="1"/>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c r="A891" s="1"/>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c r="A892" s="1"/>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c r="A893" s="1"/>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c r="A894" s="1"/>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c r="A895" s="1"/>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c r="A896" s="1"/>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c r="A897" s="1"/>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c r="A898" s="1"/>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c r="A899" s="1"/>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c r="A900" s="1"/>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c r="A901" s="1"/>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c r="A902" s="1"/>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c r="A903" s="1"/>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c r="A904" s="1"/>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c r="A905" s="1"/>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c r="A906" s="1"/>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c r="A907" s="1"/>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c r="A908" s="1"/>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c r="A909" s="1"/>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c r="A910" s="1"/>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c r="A911" s="1"/>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c r="A912" s="1"/>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c r="A913" s="1"/>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c r="A914" s="1"/>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c r="A915" s="1"/>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c r="A916" s="1"/>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c r="A917" s="1"/>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c r="A918" s="1"/>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c r="A919" s="1"/>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c r="A920" s="1"/>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c r="A921" s="1"/>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c r="A922" s="1"/>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c r="A923" s="1"/>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c r="A924" s="1"/>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c r="A925" s="1"/>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c r="A926" s="1"/>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c r="A927" s="1"/>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c r="A928" s="1"/>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c r="A929" s="1"/>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c r="A930" s="1"/>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c r="A931" s="1"/>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c r="A932" s="1"/>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sheetData>
  <dataValidations>
    <dataValidation type="list" allowBlank="1" sqref="B1:B932">
      <formula1>"show"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1522</v>
      </c>
      <c r="B1" s="1"/>
      <c r="C1" s="1"/>
      <c r="D1" s="1"/>
      <c r="E1" s="1"/>
      <c r="F1" s="1"/>
      <c r="G1" s="1"/>
      <c r="H1" s="1"/>
      <c r="I1" s="1"/>
      <c r="J1" s="1"/>
      <c r="K1" s="1"/>
      <c r="L1" s="1"/>
      <c r="M1" s="1"/>
      <c r="N1" s="1"/>
      <c r="O1" s="1"/>
      <c r="P1" s="1"/>
      <c r="Q1" s="1"/>
      <c r="R1" s="1"/>
      <c r="S1" s="1"/>
      <c r="T1" s="1"/>
      <c r="U1" s="1"/>
      <c r="V1" s="1"/>
      <c r="W1" s="1"/>
      <c r="X1" s="1"/>
      <c r="Y1" s="1"/>
    </row>
    <row r="2">
      <c r="A2" s="1" t="s">
        <v>1523</v>
      </c>
      <c r="B2" s="44" t="b">
        <v>0</v>
      </c>
      <c r="D2" s="44"/>
      <c r="E2" s="93"/>
      <c r="F2" s="93"/>
      <c r="G2" s="93"/>
      <c r="H2" s="93"/>
      <c r="I2" s="93"/>
      <c r="J2" s="93"/>
      <c r="K2" s="93"/>
      <c r="L2" s="93"/>
      <c r="M2" s="93"/>
      <c r="N2" s="93"/>
      <c r="O2" s="93"/>
      <c r="P2" s="93"/>
      <c r="Q2" s="93"/>
      <c r="R2" s="93"/>
      <c r="S2" s="93"/>
      <c r="T2" s="93"/>
      <c r="U2" s="93"/>
      <c r="V2" s="93"/>
      <c r="W2" s="93"/>
      <c r="X2" s="93"/>
      <c r="Y2" s="93"/>
    </row>
    <row r="3">
      <c r="A3" s="1"/>
      <c r="B3" s="44"/>
      <c r="D3" s="44"/>
      <c r="E3" s="93"/>
      <c r="F3" s="93"/>
      <c r="G3" s="93"/>
      <c r="H3" s="93"/>
      <c r="I3" s="93"/>
      <c r="J3" s="93"/>
      <c r="K3" s="93"/>
      <c r="L3" s="93"/>
      <c r="M3" s="93"/>
      <c r="N3" s="93"/>
      <c r="O3" s="93"/>
      <c r="P3" s="93"/>
      <c r="Q3" s="93"/>
      <c r="R3" s="93"/>
      <c r="S3" s="93"/>
      <c r="T3" s="93"/>
      <c r="U3" s="93"/>
      <c r="V3" s="93"/>
      <c r="W3" s="93"/>
      <c r="X3" s="93"/>
      <c r="Y3" s="93"/>
    </row>
    <row r="4">
      <c r="A4" s="1"/>
      <c r="B4" s="44"/>
      <c r="D4" s="44"/>
      <c r="E4" s="93"/>
      <c r="F4" s="93"/>
      <c r="G4" s="93"/>
      <c r="H4" s="93"/>
      <c r="I4" s="93"/>
      <c r="J4" s="93"/>
      <c r="K4" s="93"/>
      <c r="L4" s="93"/>
      <c r="M4" s="93"/>
      <c r="N4" s="93"/>
      <c r="O4" s="93"/>
      <c r="P4" s="93"/>
      <c r="Q4" s="93"/>
      <c r="R4" s="93"/>
      <c r="S4" s="93"/>
      <c r="T4" s="93"/>
      <c r="U4" s="93"/>
      <c r="V4" s="93"/>
      <c r="W4" s="93"/>
      <c r="X4" s="93"/>
      <c r="Y4" s="93"/>
    </row>
    <row r="5">
      <c r="A5" s="1"/>
      <c r="B5" s="44"/>
      <c r="D5" s="44"/>
      <c r="E5" s="93"/>
      <c r="F5" s="93"/>
      <c r="G5" s="93"/>
      <c r="H5" s="93"/>
      <c r="I5" s="93"/>
      <c r="J5" s="93"/>
      <c r="K5" s="93"/>
      <c r="L5" s="93"/>
      <c r="M5" s="93"/>
      <c r="N5" s="93"/>
      <c r="O5" s="93"/>
      <c r="P5" s="93"/>
      <c r="Q5" s="93"/>
      <c r="R5" s="93"/>
      <c r="S5" s="93"/>
      <c r="T5" s="93"/>
      <c r="U5" s="93"/>
      <c r="V5" s="93"/>
      <c r="W5" s="93"/>
      <c r="X5" s="93"/>
      <c r="Y5" s="93"/>
    </row>
    <row r="6">
      <c r="A6" s="1"/>
      <c r="B6" s="44"/>
      <c r="D6" s="44"/>
      <c r="E6" s="93"/>
      <c r="F6" s="93"/>
      <c r="G6" s="93"/>
      <c r="H6" s="93"/>
      <c r="I6" s="93"/>
      <c r="J6" s="93"/>
      <c r="K6" s="93"/>
      <c r="L6" s="93"/>
      <c r="M6" s="93"/>
      <c r="N6" s="93"/>
      <c r="O6" s="93"/>
      <c r="P6" s="93"/>
      <c r="Q6" s="93"/>
      <c r="R6" s="93"/>
      <c r="S6" s="93"/>
      <c r="T6" s="93"/>
      <c r="U6" s="93"/>
      <c r="V6" s="93"/>
      <c r="W6" s="93"/>
      <c r="X6" s="93"/>
      <c r="Y6" s="93"/>
    </row>
    <row r="7">
      <c r="A7" s="1"/>
      <c r="B7" s="44"/>
      <c r="D7" s="44"/>
      <c r="E7" s="93"/>
      <c r="F7" s="93"/>
      <c r="G7" s="93"/>
      <c r="H7" s="93"/>
      <c r="I7" s="93"/>
      <c r="J7" s="93"/>
      <c r="K7" s="93"/>
      <c r="L7" s="93"/>
      <c r="M7" s="93"/>
      <c r="N7" s="93"/>
      <c r="O7" s="93"/>
      <c r="P7" s="93"/>
      <c r="Q7" s="93"/>
      <c r="R7" s="93"/>
      <c r="S7" s="93"/>
      <c r="T7" s="93"/>
      <c r="U7" s="93"/>
      <c r="V7" s="93"/>
      <c r="W7" s="93"/>
      <c r="X7" s="93"/>
      <c r="Y7" s="93"/>
    </row>
    <row r="8">
      <c r="A8" s="1"/>
      <c r="B8" s="44"/>
      <c r="D8" s="44"/>
      <c r="E8" s="93"/>
      <c r="F8" s="93"/>
      <c r="G8" s="93"/>
      <c r="H8" s="93"/>
      <c r="I8" s="93"/>
      <c r="J8" s="93"/>
      <c r="K8" s="93"/>
      <c r="L8" s="93"/>
      <c r="M8" s="93"/>
      <c r="N8" s="93"/>
      <c r="O8" s="93"/>
      <c r="P8" s="93"/>
      <c r="Q8" s="93"/>
      <c r="R8" s="93"/>
      <c r="S8" s="93"/>
      <c r="T8" s="93"/>
      <c r="U8" s="93"/>
      <c r="V8" s="93"/>
      <c r="W8" s="93"/>
      <c r="X8" s="93"/>
      <c r="Y8" s="93"/>
    </row>
    <row r="9">
      <c r="A9" s="1"/>
      <c r="B9" s="44"/>
      <c r="D9" s="44"/>
      <c r="E9" s="93"/>
      <c r="F9" s="93"/>
      <c r="G9" s="93"/>
      <c r="H9" s="93"/>
      <c r="I9" s="93"/>
      <c r="J9" s="93"/>
      <c r="K9" s="93"/>
      <c r="L9" s="93"/>
      <c r="M9" s="93"/>
      <c r="N9" s="93"/>
      <c r="O9" s="93"/>
      <c r="P9" s="93"/>
      <c r="Q9" s="93"/>
      <c r="R9" s="93"/>
      <c r="S9" s="93"/>
      <c r="T9" s="93"/>
      <c r="U9" s="93"/>
      <c r="V9" s="93"/>
      <c r="W9" s="93"/>
      <c r="X9" s="93"/>
      <c r="Y9" s="93"/>
    </row>
    <row r="10">
      <c r="A10" s="1"/>
      <c r="B10" s="44"/>
      <c r="D10" s="44"/>
      <c r="E10" s="93"/>
      <c r="F10" s="93"/>
      <c r="G10" s="93"/>
      <c r="H10" s="93"/>
      <c r="I10" s="93"/>
      <c r="J10" s="93"/>
      <c r="K10" s="93"/>
      <c r="L10" s="93"/>
      <c r="M10" s="93"/>
      <c r="N10" s="93"/>
      <c r="O10" s="93"/>
      <c r="P10" s="93"/>
      <c r="Q10" s="93"/>
      <c r="R10" s="93"/>
      <c r="S10" s="93"/>
      <c r="T10" s="93"/>
      <c r="U10" s="93"/>
      <c r="V10" s="93"/>
      <c r="W10" s="93"/>
      <c r="X10" s="93"/>
      <c r="Y10" s="93"/>
    </row>
    <row r="11">
      <c r="A11" s="1"/>
      <c r="B11" s="44"/>
      <c r="D11" s="44"/>
      <c r="E11" s="93"/>
      <c r="F11" s="93"/>
      <c r="G11" s="93"/>
      <c r="H11" s="93"/>
      <c r="I11" s="93"/>
      <c r="J11" s="93"/>
      <c r="K11" s="93"/>
      <c r="L11" s="93"/>
      <c r="M11" s="93"/>
      <c r="N11" s="93"/>
      <c r="O11" s="93"/>
      <c r="P11" s="93"/>
      <c r="Q11" s="93"/>
      <c r="R11" s="93"/>
      <c r="S11" s="93"/>
      <c r="T11" s="93"/>
      <c r="U11" s="93"/>
      <c r="V11" s="93"/>
      <c r="W11" s="93"/>
      <c r="X11" s="93"/>
      <c r="Y11" s="93"/>
    </row>
    <row r="12">
      <c r="A12" s="1"/>
      <c r="B12" s="44"/>
      <c r="D12" s="44"/>
      <c r="E12" s="93"/>
      <c r="F12" s="93"/>
      <c r="G12" s="93"/>
      <c r="H12" s="93"/>
      <c r="I12" s="93"/>
      <c r="J12" s="93"/>
      <c r="K12" s="93"/>
      <c r="L12" s="93"/>
      <c r="M12" s="93"/>
      <c r="N12" s="93"/>
      <c r="O12" s="93"/>
      <c r="P12" s="93"/>
      <c r="Q12" s="93"/>
      <c r="R12" s="93"/>
      <c r="S12" s="93"/>
      <c r="T12" s="93"/>
      <c r="U12" s="93"/>
      <c r="V12" s="93"/>
      <c r="W12" s="93"/>
      <c r="X12" s="93"/>
      <c r="Y12" s="93"/>
    </row>
    <row r="13">
      <c r="A13" s="1"/>
      <c r="B13" s="44"/>
      <c r="D13" s="44"/>
      <c r="E13" s="93"/>
      <c r="F13" s="93"/>
      <c r="G13" s="93"/>
      <c r="H13" s="93"/>
      <c r="I13" s="93"/>
      <c r="J13" s="93"/>
      <c r="K13" s="93"/>
      <c r="L13" s="93"/>
      <c r="M13" s="93"/>
      <c r="N13" s="93"/>
      <c r="O13" s="93"/>
      <c r="P13" s="93"/>
      <c r="Q13" s="93"/>
      <c r="R13" s="93"/>
      <c r="S13" s="93"/>
      <c r="T13" s="93"/>
      <c r="U13" s="93"/>
      <c r="V13" s="93"/>
      <c r="W13" s="93"/>
      <c r="X13" s="93"/>
      <c r="Y13" s="93"/>
    </row>
    <row r="14">
      <c r="A14" s="1"/>
      <c r="B14" s="44"/>
      <c r="D14" s="44"/>
      <c r="E14" s="93"/>
      <c r="F14" s="93"/>
      <c r="G14" s="93"/>
      <c r="H14" s="93"/>
      <c r="I14" s="93"/>
      <c r="J14" s="93"/>
      <c r="K14" s="93"/>
      <c r="L14" s="93"/>
      <c r="M14" s="93"/>
      <c r="N14" s="93"/>
      <c r="O14" s="93"/>
      <c r="P14" s="93"/>
      <c r="Q14" s="93"/>
      <c r="R14" s="93"/>
      <c r="S14" s="93"/>
      <c r="T14" s="93"/>
      <c r="U14" s="93"/>
      <c r="V14" s="93"/>
      <c r="W14" s="93"/>
      <c r="X14" s="93"/>
      <c r="Y14" s="93"/>
    </row>
    <row r="15">
      <c r="A15" s="1"/>
      <c r="B15" s="44"/>
      <c r="D15" s="44"/>
      <c r="E15" s="93"/>
      <c r="F15" s="93"/>
      <c r="G15" s="93"/>
      <c r="H15" s="93"/>
      <c r="I15" s="93"/>
      <c r="J15" s="93"/>
      <c r="K15" s="93"/>
      <c r="L15" s="93"/>
      <c r="M15" s="93"/>
      <c r="N15" s="93"/>
      <c r="O15" s="93"/>
      <c r="P15" s="93"/>
      <c r="Q15" s="93"/>
      <c r="R15" s="93"/>
      <c r="S15" s="93"/>
      <c r="T15" s="93"/>
      <c r="U15" s="93"/>
      <c r="V15" s="93"/>
      <c r="W15" s="93"/>
      <c r="X15" s="93"/>
      <c r="Y15" s="93"/>
    </row>
    <row r="16">
      <c r="A16" s="1"/>
      <c r="B16" s="44"/>
      <c r="D16" s="44"/>
      <c r="E16" s="93"/>
      <c r="F16" s="93"/>
      <c r="G16" s="93"/>
      <c r="H16" s="93"/>
      <c r="I16" s="93"/>
      <c r="J16" s="93"/>
      <c r="K16" s="93"/>
      <c r="L16" s="93"/>
      <c r="M16" s="93"/>
      <c r="N16" s="93"/>
      <c r="O16" s="93"/>
      <c r="P16" s="93"/>
      <c r="Q16" s="93"/>
      <c r="R16" s="93"/>
      <c r="S16" s="93"/>
      <c r="T16" s="93"/>
      <c r="U16" s="93"/>
      <c r="V16" s="93"/>
      <c r="W16" s="93"/>
      <c r="X16" s="93"/>
      <c r="Y16" s="93"/>
    </row>
    <row r="17">
      <c r="A17" s="1"/>
      <c r="B17" s="44"/>
      <c r="D17" s="44"/>
      <c r="E17" s="93"/>
      <c r="F17" s="93"/>
      <c r="G17" s="93"/>
      <c r="H17" s="93"/>
      <c r="I17" s="93"/>
      <c r="J17" s="93"/>
      <c r="K17" s="93"/>
      <c r="L17" s="93"/>
      <c r="M17" s="93"/>
      <c r="N17" s="93"/>
      <c r="O17" s="93"/>
      <c r="P17" s="93"/>
      <c r="Q17" s="93"/>
      <c r="R17" s="93"/>
      <c r="S17" s="93"/>
      <c r="T17" s="93"/>
      <c r="U17" s="93"/>
      <c r="V17" s="93"/>
      <c r="W17" s="93"/>
      <c r="X17" s="93"/>
      <c r="Y17" s="93"/>
    </row>
    <row r="18">
      <c r="A18" s="1"/>
      <c r="B18" s="44"/>
      <c r="D18" s="44"/>
      <c r="E18" s="93"/>
      <c r="F18" s="93"/>
      <c r="G18" s="93"/>
      <c r="H18" s="93"/>
      <c r="I18" s="93"/>
      <c r="J18" s="93"/>
      <c r="K18" s="93"/>
      <c r="L18" s="93"/>
      <c r="M18" s="93"/>
      <c r="N18" s="93"/>
      <c r="O18" s="93"/>
      <c r="P18" s="93"/>
      <c r="Q18" s="93"/>
      <c r="R18" s="93"/>
      <c r="S18" s="93"/>
      <c r="T18" s="93"/>
      <c r="U18" s="93"/>
      <c r="V18" s="93"/>
      <c r="W18" s="93"/>
      <c r="X18" s="93"/>
      <c r="Y18" s="93"/>
    </row>
    <row r="19">
      <c r="A19" s="1"/>
      <c r="B19" s="44"/>
      <c r="D19" s="44"/>
      <c r="E19" s="93"/>
      <c r="F19" s="93"/>
      <c r="G19" s="93"/>
      <c r="H19" s="93"/>
      <c r="I19" s="93"/>
      <c r="J19" s="93"/>
      <c r="K19" s="93"/>
      <c r="L19" s="93"/>
      <c r="M19" s="93"/>
      <c r="N19" s="93"/>
      <c r="O19" s="93"/>
      <c r="P19" s="93"/>
      <c r="Q19" s="93"/>
      <c r="R19" s="93"/>
      <c r="S19" s="93"/>
      <c r="T19" s="93"/>
      <c r="U19" s="93"/>
      <c r="V19" s="93"/>
      <c r="W19" s="93"/>
      <c r="X19" s="93"/>
      <c r="Y19" s="93"/>
    </row>
    <row r="20">
      <c r="A20" s="1"/>
      <c r="B20" s="44"/>
      <c r="D20" s="44"/>
      <c r="E20" s="93"/>
      <c r="F20" s="93"/>
      <c r="G20" s="93"/>
      <c r="H20" s="93"/>
      <c r="I20" s="93"/>
      <c r="J20" s="93"/>
      <c r="K20" s="93"/>
      <c r="L20" s="93"/>
      <c r="M20" s="93"/>
      <c r="N20" s="93"/>
      <c r="O20" s="93"/>
      <c r="P20" s="93"/>
      <c r="Q20" s="93"/>
      <c r="R20" s="93"/>
      <c r="S20" s="93"/>
      <c r="T20" s="93"/>
      <c r="U20" s="93"/>
      <c r="V20" s="93"/>
      <c r="W20" s="93"/>
      <c r="X20" s="93"/>
      <c r="Y20" s="93"/>
    </row>
    <row r="21">
      <c r="A21" s="1"/>
      <c r="B21" s="44"/>
      <c r="D21" s="44"/>
      <c r="E21" s="93"/>
      <c r="F21" s="93"/>
      <c r="G21" s="93"/>
      <c r="H21" s="93"/>
      <c r="I21" s="93"/>
      <c r="J21" s="93"/>
      <c r="K21" s="93"/>
      <c r="L21" s="93"/>
      <c r="M21" s="93"/>
      <c r="N21" s="93"/>
      <c r="O21" s="93"/>
      <c r="P21" s="93"/>
      <c r="Q21" s="93"/>
      <c r="R21" s="93"/>
      <c r="S21" s="93"/>
      <c r="T21" s="93"/>
      <c r="U21" s="93"/>
      <c r="V21" s="93"/>
      <c r="W21" s="93"/>
      <c r="X21" s="93"/>
      <c r="Y21" s="93"/>
    </row>
    <row r="22">
      <c r="A22" s="1"/>
      <c r="B22" s="44"/>
      <c r="D22" s="44"/>
      <c r="E22" s="93"/>
      <c r="F22" s="93"/>
      <c r="G22" s="93"/>
      <c r="H22" s="93"/>
      <c r="I22" s="93"/>
      <c r="J22" s="93"/>
      <c r="K22" s="93"/>
      <c r="L22" s="93"/>
      <c r="M22" s="93"/>
      <c r="N22" s="93"/>
      <c r="O22" s="93"/>
      <c r="P22" s="93"/>
      <c r="Q22" s="93"/>
      <c r="R22" s="93"/>
      <c r="S22" s="93"/>
      <c r="T22" s="93"/>
      <c r="U22" s="93"/>
      <c r="V22" s="93"/>
      <c r="W22" s="93"/>
      <c r="X22" s="93"/>
      <c r="Y22" s="93"/>
    </row>
    <row r="23">
      <c r="A23" s="1"/>
      <c r="B23" s="44"/>
      <c r="D23" s="44"/>
      <c r="E23" s="93"/>
      <c r="F23" s="93"/>
      <c r="G23" s="93"/>
      <c r="H23" s="93"/>
      <c r="I23" s="93"/>
      <c r="J23" s="93"/>
      <c r="K23" s="93"/>
      <c r="L23" s="93"/>
      <c r="M23" s="93"/>
      <c r="N23" s="93"/>
      <c r="O23" s="93"/>
      <c r="P23" s="93"/>
      <c r="Q23" s="93"/>
      <c r="R23" s="93"/>
      <c r="S23" s="93"/>
      <c r="T23" s="93"/>
      <c r="U23" s="93"/>
      <c r="V23" s="93"/>
      <c r="W23" s="93"/>
      <c r="X23" s="93"/>
      <c r="Y23" s="93"/>
    </row>
    <row r="24">
      <c r="A24" s="1"/>
      <c r="B24" s="44"/>
      <c r="D24" s="44"/>
      <c r="E24" s="93"/>
      <c r="F24" s="93"/>
      <c r="G24" s="93"/>
      <c r="H24" s="93"/>
      <c r="I24" s="93"/>
      <c r="J24" s="93"/>
      <c r="K24" s="93"/>
      <c r="L24" s="93"/>
      <c r="M24" s="93"/>
      <c r="N24" s="93"/>
      <c r="O24" s="93"/>
      <c r="P24" s="93"/>
      <c r="Q24" s="93"/>
      <c r="R24" s="93"/>
      <c r="S24" s="93"/>
      <c r="T24" s="93"/>
      <c r="U24" s="93"/>
      <c r="V24" s="93"/>
      <c r="W24" s="93"/>
      <c r="X24" s="93"/>
      <c r="Y24" s="93"/>
    </row>
    <row r="25">
      <c r="A25" s="1"/>
      <c r="B25" s="44"/>
      <c r="D25" s="44"/>
      <c r="E25" s="93"/>
      <c r="F25" s="93"/>
      <c r="G25" s="93"/>
      <c r="H25" s="93"/>
      <c r="I25" s="93"/>
      <c r="J25" s="93"/>
      <c r="K25" s="93"/>
      <c r="L25" s="93"/>
      <c r="M25" s="93"/>
      <c r="N25" s="93"/>
      <c r="O25" s="93"/>
      <c r="P25" s="93"/>
      <c r="Q25" s="93"/>
      <c r="R25" s="93"/>
      <c r="S25" s="93"/>
      <c r="T25" s="93"/>
      <c r="U25" s="93"/>
      <c r="V25" s="93"/>
      <c r="W25" s="93"/>
      <c r="X25" s="93"/>
      <c r="Y25" s="93"/>
    </row>
    <row r="26">
      <c r="A26" s="1"/>
      <c r="B26" s="44"/>
      <c r="D26" s="44"/>
      <c r="E26" s="93"/>
      <c r="F26" s="93"/>
      <c r="G26" s="93"/>
      <c r="H26" s="93"/>
      <c r="I26" s="93"/>
      <c r="J26" s="93"/>
      <c r="K26" s="93"/>
      <c r="L26" s="93"/>
      <c r="M26" s="93"/>
      <c r="N26" s="93"/>
      <c r="O26" s="93"/>
      <c r="P26" s="93"/>
      <c r="Q26" s="93"/>
      <c r="R26" s="93"/>
      <c r="S26" s="93"/>
      <c r="T26" s="93"/>
      <c r="U26" s="93"/>
      <c r="V26" s="93"/>
      <c r="W26" s="93"/>
      <c r="X26" s="93"/>
      <c r="Y26" s="93"/>
    </row>
    <row r="27">
      <c r="A27" s="1"/>
      <c r="B27" s="44"/>
      <c r="D27" s="44"/>
      <c r="E27" s="93"/>
      <c r="F27" s="93"/>
      <c r="G27" s="93"/>
      <c r="H27" s="93"/>
      <c r="I27" s="93"/>
      <c r="J27" s="93"/>
      <c r="K27" s="93"/>
      <c r="L27" s="93"/>
      <c r="M27" s="93"/>
      <c r="N27" s="93"/>
      <c r="O27" s="93"/>
      <c r="P27" s="93"/>
      <c r="Q27" s="93"/>
      <c r="R27" s="93"/>
      <c r="S27" s="93"/>
      <c r="T27" s="93"/>
      <c r="U27" s="93"/>
      <c r="V27" s="93"/>
      <c r="W27" s="93"/>
      <c r="X27" s="93"/>
      <c r="Y27" s="93"/>
    </row>
    <row r="28">
      <c r="A28" s="1"/>
      <c r="B28" s="44"/>
      <c r="D28" s="44"/>
      <c r="E28" s="93"/>
      <c r="F28" s="93"/>
      <c r="G28" s="93"/>
      <c r="H28" s="93"/>
      <c r="I28" s="93"/>
      <c r="J28" s="93"/>
      <c r="K28" s="93"/>
      <c r="L28" s="93"/>
      <c r="M28" s="93"/>
      <c r="N28" s="93"/>
      <c r="O28" s="93"/>
      <c r="P28" s="93"/>
      <c r="Q28" s="93"/>
      <c r="R28" s="93"/>
      <c r="S28" s="93"/>
      <c r="T28" s="93"/>
      <c r="U28" s="93"/>
      <c r="V28" s="93"/>
      <c r="W28" s="93"/>
      <c r="X28" s="93"/>
      <c r="Y28" s="93"/>
    </row>
    <row r="29">
      <c r="A29" s="1"/>
      <c r="B29" s="44"/>
      <c r="D29" s="44"/>
      <c r="E29" s="93"/>
      <c r="F29" s="93"/>
      <c r="G29" s="93"/>
      <c r="H29" s="93"/>
      <c r="I29" s="93"/>
      <c r="J29" s="93"/>
      <c r="K29" s="93"/>
      <c r="L29" s="93"/>
      <c r="M29" s="93"/>
      <c r="N29" s="93"/>
      <c r="O29" s="93"/>
      <c r="P29" s="93"/>
      <c r="Q29" s="93"/>
      <c r="R29" s="93"/>
      <c r="S29" s="93"/>
      <c r="T29" s="93"/>
      <c r="U29" s="93"/>
      <c r="V29" s="93"/>
      <c r="W29" s="93"/>
      <c r="X29" s="93"/>
      <c r="Y29" s="93"/>
    </row>
    <row r="30">
      <c r="A30" s="1"/>
      <c r="B30" s="44"/>
      <c r="D30" s="44"/>
      <c r="E30" s="93"/>
      <c r="F30" s="93"/>
      <c r="G30" s="93"/>
      <c r="H30" s="93"/>
      <c r="I30" s="93"/>
      <c r="J30" s="93"/>
      <c r="K30" s="93"/>
      <c r="L30" s="93"/>
      <c r="M30" s="93"/>
      <c r="N30" s="93"/>
      <c r="O30" s="93"/>
      <c r="P30" s="93"/>
      <c r="Q30" s="93"/>
      <c r="R30" s="93"/>
      <c r="S30" s="93"/>
      <c r="T30" s="93"/>
      <c r="U30" s="93"/>
      <c r="V30" s="93"/>
      <c r="W30" s="93"/>
      <c r="X30" s="93"/>
      <c r="Y30" s="93"/>
    </row>
    <row r="31">
      <c r="A31" s="1"/>
      <c r="B31" s="44"/>
      <c r="D31" s="44"/>
      <c r="E31" s="93"/>
      <c r="F31" s="93"/>
      <c r="G31" s="93"/>
      <c r="H31" s="93"/>
      <c r="I31" s="93"/>
      <c r="J31" s="93"/>
      <c r="K31" s="93"/>
      <c r="L31" s="93"/>
      <c r="M31" s="93"/>
      <c r="N31" s="93"/>
      <c r="O31" s="93"/>
      <c r="P31" s="93"/>
      <c r="Q31" s="93"/>
      <c r="R31" s="93"/>
      <c r="S31" s="93"/>
      <c r="T31" s="93"/>
      <c r="U31" s="93"/>
      <c r="V31" s="93"/>
      <c r="W31" s="93"/>
      <c r="X31" s="93"/>
      <c r="Y31" s="93"/>
    </row>
    <row r="32">
      <c r="A32" s="1"/>
      <c r="B32" s="44"/>
      <c r="D32" s="44"/>
      <c r="E32" s="93"/>
      <c r="F32" s="93"/>
      <c r="G32" s="93"/>
      <c r="H32" s="93"/>
      <c r="I32" s="93"/>
      <c r="J32" s="93"/>
      <c r="K32" s="93"/>
      <c r="L32" s="93"/>
      <c r="M32" s="93"/>
      <c r="N32" s="93"/>
      <c r="O32" s="93"/>
      <c r="P32" s="93"/>
      <c r="Q32" s="93"/>
      <c r="R32" s="93"/>
      <c r="S32" s="93"/>
      <c r="T32" s="93"/>
      <c r="U32" s="93"/>
      <c r="V32" s="93"/>
      <c r="W32" s="93"/>
      <c r="X32" s="93"/>
      <c r="Y32" s="93"/>
    </row>
    <row r="33">
      <c r="A33" s="1"/>
      <c r="B33" s="44"/>
      <c r="D33" s="44"/>
      <c r="E33" s="93"/>
      <c r="F33" s="93"/>
      <c r="G33" s="93"/>
      <c r="H33" s="93"/>
      <c r="I33" s="93"/>
      <c r="J33" s="93"/>
      <c r="K33" s="93"/>
      <c r="L33" s="93"/>
      <c r="M33" s="93"/>
      <c r="N33" s="93"/>
      <c r="O33" s="93"/>
      <c r="P33" s="93"/>
      <c r="Q33" s="93"/>
      <c r="R33" s="93"/>
      <c r="S33" s="93"/>
      <c r="T33" s="93"/>
      <c r="U33" s="93"/>
      <c r="V33" s="93"/>
      <c r="W33" s="93"/>
      <c r="X33" s="93"/>
      <c r="Y33" s="93"/>
    </row>
    <row r="34">
      <c r="A34" s="1"/>
      <c r="B34" s="44"/>
      <c r="D34" s="44"/>
      <c r="E34" s="93"/>
      <c r="F34" s="93"/>
      <c r="G34" s="93"/>
      <c r="H34" s="93"/>
      <c r="I34" s="93"/>
      <c r="J34" s="93"/>
      <c r="K34" s="93"/>
      <c r="L34" s="93"/>
      <c r="M34" s="93"/>
      <c r="N34" s="93"/>
      <c r="O34" s="93"/>
      <c r="P34" s="93"/>
      <c r="Q34" s="93"/>
      <c r="R34" s="93"/>
      <c r="S34" s="93"/>
      <c r="T34" s="93"/>
      <c r="U34" s="93"/>
      <c r="V34" s="93"/>
      <c r="W34" s="93"/>
      <c r="X34" s="93"/>
      <c r="Y34" s="93"/>
    </row>
    <row r="35">
      <c r="A35" s="1"/>
      <c r="B35" s="44"/>
      <c r="D35" s="44"/>
      <c r="E35" s="93"/>
      <c r="F35" s="93"/>
      <c r="G35" s="93"/>
      <c r="H35" s="93"/>
      <c r="I35" s="93"/>
      <c r="J35" s="93"/>
      <c r="K35" s="93"/>
      <c r="L35" s="93"/>
      <c r="M35" s="93"/>
      <c r="N35" s="93"/>
      <c r="O35" s="93"/>
      <c r="P35" s="93"/>
      <c r="Q35" s="93"/>
      <c r="R35" s="93"/>
      <c r="S35" s="93"/>
      <c r="T35" s="93"/>
      <c r="U35" s="93"/>
      <c r="V35" s="93"/>
      <c r="W35" s="93"/>
      <c r="X35" s="93"/>
      <c r="Y35" s="93"/>
    </row>
    <row r="36">
      <c r="A36" s="1"/>
      <c r="B36" s="44"/>
      <c r="D36" s="44"/>
      <c r="E36" s="93"/>
      <c r="F36" s="93"/>
      <c r="G36" s="93"/>
      <c r="H36" s="93"/>
      <c r="I36" s="93"/>
      <c r="J36" s="93"/>
      <c r="K36" s="93"/>
      <c r="L36" s="93"/>
      <c r="M36" s="93"/>
      <c r="N36" s="93"/>
      <c r="O36" s="93"/>
      <c r="P36" s="93"/>
      <c r="Q36" s="93"/>
      <c r="R36" s="93"/>
      <c r="S36" s="93"/>
      <c r="T36" s="93"/>
      <c r="U36" s="93"/>
      <c r="V36" s="93"/>
      <c r="W36" s="93"/>
      <c r="X36" s="93"/>
      <c r="Y36" s="93"/>
    </row>
    <row r="37">
      <c r="A37" s="1"/>
      <c r="B37" s="44"/>
      <c r="D37" s="44"/>
      <c r="E37" s="93"/>
      <c r="F37" s="93"/>
      <c r="G37" s="93"/>
      <c r="H37" s="93"/>
      <c r="I37" s="93"/>
      <c r="J37" s="93"/>
      <c r="K37" s="93"/>
      <c r="L37" s="93"/>
      <c r="M37" s="93"/>
      <c r="N37" s="93"/>
      <c r="O37" s="93"/>
      <c r="P37" s="93"/>
      <c r="Q37" s="93"/>
      <c r="R37" s="93"/>
      <c r="S37" s="93"/>
      <c r="T37" s="93"/>
      <c r="U37" s="93"/>
      <c r="V37" s="93"/>
      <c r="W37" s="93"/>
      <c r="X37" s="93"/>
      <c r="Y37" s="93"/>
    </row>
    <row r="38">
      <c r="A38" s="1"/>
      <c r="B38" s="44"/>
      <c r="D38" s="44"/>
      <c r="E38" s="93"/>
      <c r="F38" s="93"/>
      <c r="G38" s="93"/>
      <c r="H38" s="93"/>
      <c r="I38" s="93"/>
      <c r="J38" s="93"/>
      <c r="K38" s="93"/>
      <c r="L38" s="93"/>
      <c r="M38" s="93"/>
      <c r="N38" s="93"/>
      <c r="O38" s="93"/>
      <c r="P38" s="93"/>
      <c r="Q38" s="93"/>
      <c r="R38" s="93"/>
      <c r="S38" s="93"/>
      <c r="T38" s="93"/>
      <c r="U38" s="93"/>
      <c r="V38" s="93"/>
      <c r="W38" s="93"/>
      <c r="X38" s="93"/>
      <c r="Y38" s="93"/>
    </row>
    <row r="39">
      <c r="A39" s="1"/>
      <c r="B39" s="44"/>
      <c r="D39" s="44"/>
      <c r="E39" s="93"/>
      <c r="F39" s="93"/>
      <c r="G39" s="93"/>
      <c r="H39" s="93"/>
      <c r="I39" s="93"/>
      <c r="J39" s="93"/>
      <c r="K39" s="93"/>
      <c r="L39" s="93"/>
      <c r="M39" s="93"/>
      <c r="N39" s="93"/>
      <c r="O39" s="93"/>
      <c r="P39" s="93"/>
      <c r="Q39" s="93"/>
      <c r="R39" s="93"/>
      <c r="S39" s="93"/>
      <c r="T39" s="93"/>
      <c r="U39" s="93"/>
      <c r="V39" s="93"/>
      <c r="W39" s="93"/>
      <c r="X39" s="93"/>
      <c r="Y39" s="93"/>
    </row>
    <row r="40">
      <c r="A40" s="1"/>
      <c r="B40" s="44"/>
      <c r="D40" s="44"/>
      <c r="E40" s="93"/>
      <c r="F40" s="93"/>
      <c r="G40" s="93"/>
      <c r="H40" s="93"/>
      <c r="I40" s="93"/>
      <c r="J40" s="93"/>
      <c r="K40" s="93"/>
      <c r="L40" s="93"/>
      <c r="M40" s="93"/>
      <c r="N40" s="93"/>
      <c r="O40" s="93"/>
      <c r="P40" s="93"/>
      <c r="Q40" s="93"/>
      <c r="R40" s="93"/>
      <c r="S40" s="93"/>
      <c r="T40" s="93"/>
      <c r="U40" s="93"/>
      <c r="V40" s="93"/>
      <c r="W40" s="93"/>
      <c r="X40" s="93"/>
      <c r="Y40" s="93"/>
    </row>
    <row r="41">
      <c r="A41" s="1"/>
      <c r="B41" s="44"/>
      <c r="D41" s="44"/>
      <c r="E41" s="93"/>
      <c r="F41" s="93"/>
      <c r="G41" s="93"/>
      <c r="H41" s="93"/>
      <c r="I41" s="93"/>
      <c r="J41" s="93"/>
      <c r="K41" s="93"/>
      <c r="L41" s="93"/>
      <c r="M41" s="93"/>
      <c r="N41" s="93"/>
      <c r="O41" s="93"/>
      <c r="P41" s="93"/>
      <c r="Q41" s="93"/>
      <c r="R41" s="93"/>
      <c r="S41" s="93"/>
      <c r="T41" s="93"/>
      <c r="U41" s="93"/>
      <c r="V41" s="93"/>
      <c r="W41" s="93"/>
      <c r="X41" s="93"/>
      <c r="Y41" s="93"/>
    </row>
    <row r="42">
      <c r="A42" s="1"/>
      <c r="B42" s="44"/>
      <c r="D42" s="44"/>
      <c r="E42" s="93"/>
      <c r="F42" s="93"/>
      <c r="G42" s="93"/>
      <c r="H42" s="93"/>
      <c r="I42" s="93"/>
      <c r="J42" s="93"/>
      <c r="K42" s="93"/>
      <c r="L42" s="93"/>
      <c r="M42" s="93"/>
      <c r="N42" s="93"/>
      <c r="O42" s="93"/>
      <c r="P42" s="93"/>
      <c r="Q42" s="93"/>
      <c r="R42" s="93"/>
      <c r="S42" s="93"/>
      <c r="T42" s="93"/>
      <c r="U42" s="93"/>
      <c r="V42" s="93"/>
      <c r="W42" s="93"/>
      <c r="X42" s="93"/>
      <c r="Y42" s="93"/>
    </row>
    <row r="43">
      <c r="A43" s="1"/>
      <c r="B43" s="44"/>
      <c r="D43" s="44"/>
      <c r="E43" s="93"/>
      <c r="F43" s="93"/>
      <c r="G43" s="93"/>
      <c r="H43" s="93"/>
      <c r="I43" s="93"/>
      <c r="J43" s="93"/>
      <c r="K43" s="93"/>
      <c r="L43" s="93"/>
      <c r="M43" s="93"/>
      <c r="N43" s="93"/>
      <c r="O43" s="93"/>
      <c r="P43" s="93"/>
      <c r="Q43" s="93"/>
      <c r="R43" s="93"/>
      <c r="S43" s="93"/>
      <c r="T43" s="93"/>
      <c r="U43" s="93"/>
      <c r="V43" s="93"/>
      <c r="W43" s="93"/>
      <c r="X43" s="93"/>
      <c r="Y43" s="93"/>
    </row>
    <row r="44">
      <c r="A44" s="1"/>
      <c r="B44" s="44"/>
      <c r="D44" s="44"/>
      <c r="E44" s="93"/>
      <c r="F44" s="93"/>
      <c r="G44" s="93"/>
      <c r="H44" s="93"/>
      <c r="I44" s="93"/>
      <c r="J44" s="93"/>
      <c r="K44" s="93"/>
      <c r="L44" s="93"/>
      <c r="M44" s="93"/>
      <c r="N44" s="93"/>
      <c r="O44" s="93"/>
      <c r="P44" s="93"/>
      <c r="Q44" s="93"/>
      <c r="R44" s="93"/>
      <c r="S44" s="93"/>
      <c r="T44" s="93"/>
      <c r="U44" s="93"/>
      <c r="V44" s="93"/>
      <c r="W44" s="93"/>
      <c r="X44" s="93"/>
      <c r="Y44" s="93"/>
    </row>
    <row r="45">
      <c r="A45" s="1"/>
      <c r="B45" s="44"/>
      <c r="D45" s="44"/>
      <c r="E45" s="93"/>
      <c r="F45" s="93"/>
      <c r="G45" s="93"/>
      <c r="H45" s="93"/>
      <c r="I45" s="93"/>
      <c r="J45" s="93"/>
      <c r="K45" s="93"/>
      <c r="L45" s="93"/>
      <c r="M45" s="93"/>
      <c r="N45" s="93"/>
      <c r="O45" s="93"/>
      <c r="P45" s="93"/>
      <c r="Q45" s="93"/>
      <c r="R45" s="93"/>
      <c r="S45" s="93"/>
      <c r="T45" s="93"/>
      <c r="U45" s="93"/>
      <c r="V45" s="93"/>
      <c r="W45" s="93"/>
      <c r="X45" s="93"/>
      <c r="Y45" s="93"/>
    </row>
    <row r="46">
      <c r="A46" s="1"/>
      <c r="B46" s="44"/>
      <c r="D46" s="44"/>
      <c r="E46" s="93"/>
      <c r="F46" s="93"/>
      <c r="G46" s="93"/>
      <c r="H46" s="93"/>
      <c r="I46" s="93"/>
      <c r="J46" s="93"/>
      <c r="K46" s="93"/>
      <c r="L46" s="93"/>
      <c r="M46" s="93"/>
      <c r="N46" s="93"/>
      <c r="O46" s="93"/>
      <c r="P46" s="93"/>
      <c r="Q46" s="93"/>
      <c r="R46" s="93"/>
      <c r="S46" s="93"/>
      <c r="T46" s="93"/>
      <c r="U46" s="93"/>
      <c r="V46" s="93"/>
      <c r="W46" s="93"/>
      <c r="X46" s="93"/>
      <c r="Y46" s="93"/>
    </row>
    <row r="47">
      <c r="A47" s="1"/>
      <c r="B47" s="44"/>
      <c r="D47" s="44"/>
      <c r="E47" s="93"/>
      <c r="F47" s="93"/>
      <c r="G47" s="93"/>
      <c r="H47" s="93"/>
      <c r="I47" s="93"/>
      <c r="J47" s="93"/>
      <c r="K47" s="93"/>
      <c r="L47" s="93"/>
      <c r="M47" s="93"/>
      <c r="N47" s="93"/>
      <c r="O47" s="93"/>
      <c r="P47" s="93"/>
      <c r="Q47" s="93"/>
      <c r="R47" s="93"/>
      <c r="S47" s="93"/>
      <c r="T47" s="93"/>
      <c r="U47" s="93"/>
      <c r="V47" s="93"/>
      <c r="W47" s="93"/>
      <c r="X47" s="93"/>
      <c r="Y47" s="93"/>
    </row>
    <row r="48">
      <c r="A48" s="1"/>
      <c r="B48" s="44"/>
      <c r="D48" s="44"/>
      <c r="E48" s="93"/>
      <c r="F48" s="93"/>
      <c r="G48" s="93"/>
      <c r="H48" s="93"/>
      <c r="I48" s="93"/>
      <c r="J48" s="93"/>
      <c r="K48" s="93"/>
      <c r="L48" s="93"/>
      <c r="M48" s="93"/>
      <c r="N48" s="93"/>
      <c r="O48" s="93"/>
      <c r="P48" s="93"/>
      <c r="Q48" s="93"/>
      <c r="R48" s="93"/>
      <c r="S48" s="93"/>
      <c r="T48" s="93"/>
      <c r="U48" s="93"/>
      <c r="V48" s="93"/>
      <c r="W48" s="93"/>
      <c r="X48" s="93"/>
      <c r="Y48" s="93"/>
    </row>
    <row r="49">
      <c r="A49" s="1"/>
      <c r="B49" s="44"/>
      <c r="D49" s="44"/>
      <c r="E49" s="93"/>
      <c r="F49" s="93"/>
      <c r="G49" s="93"/>
      <c r="H49" s="93"/>
      <c r="I49" s="93"/>
      <c r="J49" s="93"/>
      <c r="K49" s="93"/>
      <c r="L49" s="93"/>
      <c r="M49" s="93"/>
      <c r="N49" s="93"/>
      <c r="O49" s="93"/>
      <c r="P49" s="93"/>
      <c r="Q49" s="93"/>
      <c r="R49" s="93"/>
      <c r="S49" s="93"/>
      <c r="T49" s="93"/>
      <c r="U49" s="93"/>
      <c r="V49" s="93"/>
      <c r="W49" s="93"/>
      <c r="X49" s="93"/>
      <c r="Y49" s="93"/>
    </row>
    <row r="50">
      <c r="A50" s="1"/>
      <c r="B50" s="44"/>
      <c r="D50" s="44"/>
      <c r="E50" s="93"/>
      <c r="F50" s="93"/>
      <c r="G50" s="93"/>
      <c r="H50" s="93"/>
      <c r="I50" s="93"/>
      <c r="J50" s="93"/>
      <c r="K50" s="93"/>
      <c r="L50" s="93"/>
      <c r="M50" s="93"/>
      <c r="N50" s="93"/>
      <c r="O50" s="93"/>
      <c r="P50" s="93"/>
      <c r="Q50" s="93"/>
      <c r="R50" s="93"/>
      <c r="S50" s="93"/>
      <c r="T50" s="93"/>
      <c r="U50" s="93"/>
      <c r="V50" s="93"/>
      <c r="W50" s="93"/>
      <c r="X50" s="93"/>
      <c r="Y50" s="93"/>
    </row>
    <row r="51">
      <c r="A51" s="1"/>
      <c r="B51" s="44"/>
      <c r="D51" s="44"/>
      <c r="E51" s="93"/>
      <c r="F51" s="93"/>
      <c r="G51" s="93"/>
      <c r="H51" s="93"/>
      <c r="I51" s="93"/>
      <c r="J51" s="93"/>
      <c r="K51" s="93"/>
      <c r="L51" s="93"/>
      <c r="M51" s="93"/>
      <c r="N51" s="93"/>
      <c r="O51" s="93"/>
      <c r="P51" s="93"/>
      <c r="Q51" s="93"/>
      <c r="R51" s="93"/>
      <c r="S51" s="93"/>
      <c r="T51" s="93"/>
      <c r="U51" s="93"/>
      <c r="V51" s="93"/>
      <c r="W51" s="93"/>
      <c r="X51" s="93"/>
      <c r="Y51" s="93"/>
    </row>
    <row r="52">
      <c r="A52" s="1"/>
      <c r="B52" s="44"/>
      <c r="D52" s="44"/>
      <c r="E52" s="93"/>
      <c r="F52" s="93"/>
      <c r="G52" s="93"/>
      <c r="H52" s="93"/>
      <c r="I52" s="93"/>
      <c r="J52" s="93"/>
      <c r="K52" s="93"/>
      <c r="L52" s="93"/>
      <c r="M52" s="93"/>
      <c r="N52" s="93"/>
      <c r="O52" s="93"/>
      <c r="P52" s="93"/>
      <c r="Q52" s="93"/>
      <c r="R52" s="93"/>
      <c r="S52" s="93"/>
      <c r="T52" s="93"/>
      <c r="U52" s="93"/>
      <c r="V52" s="93"/>
      <c r="W52" s="93"/>
      <c r="X52" s="93"/>
      <c r="Y52" s="93"/>
    </row>
    <row r="53">
      <c r="A53" s="1"/>
      <c r="B53" s="44"/>
      <c r="D53" s="44"/>
      <c r="E53" s="93"/>
      <c r="F53" s="93"/>
      <c r="G53" s="93"/>
      <c r="H53" s="93"/>
      <c r="I53" s="93"/>
      <c r="J53" s="93"/>
      <c r="K53" s="93"/>
      <c r="L53" s="93"/>
      <c r="M53" s="93"/>
      <c r="N53" s="93"/>
      <c r="O53" s="93"/>
      <c r="P53" s="93"/>
      <c r="Q53" s="93"/>
      <c r="R53" s="93"/>
      <c r="S53" s="93"/>
      <c r="T53" s="93"/>
      <c r="U53" s="93"/>
      <c r="V53" s="93"/>
      <c r="W53" s="93"/>
      <c r="X53" s="93"/>
      <c r="Y53" s="93"/>
    </row>
    <row r="54">
      <c r="A54" s="1"/>
      <c r="B54" s="44"/>
      <c r="D54" s="44"/>
      <c r="E54" s="93"/>
      <c r="F54" s="93"/>
      <c r="G54" s="93"/>
      <c r="H54" s="93"/>
      <c r="I54" s="93"/>
      <c r="J54" s="93"/>
      <c r="K54" s="93"/>
      <c r="L54" s="93"/>
      <c r="M54" s="93"/>
      <c r="N54" s="93"/>
      <c r="O54" s="93"/>
      <c r="P54" s="93"/>
      <c r="Q54" s="93"/>
      <c r="R54" s="93"/>
      <c r="S54" s="93"/>
      <c r="T54" s="93"/>
      <c r="U54" s="93"/>
      <c r="V54" s="93"/>
      <c r="W54" s="93"/>
      <c r="X54" s="93"/>
      <c r="Y54" s="93"/>
    </row>
    <row r="55">
      <c r="A55" s="1"/>
      <c r="B55" s="44"/>
      <c r="D55" s="44"/>
      <c r="E55" s="93"/>
      <c r="F55" s="93"/>
      <c r="G55" s="93"/>
      <c r="H55" s="93"/>
      <c r="I55" s="93"/>
      <c r="J55" s="93"/>
      <c r="K55" s="93"/>
      <c r="L55" s="93"/>
      <c r="M55" s="93"/>
      <c r="N55" s="93"/>
      <c r="O55" s="93"/>
      <c r="P55" s="93"/>
      <c r="Q55" s="93"/>
      <c r="R55" s="93"/>
      <c r="S55" s="93"/>
      <c r="T55" s="93"/>
      <c r="U55" s="93"/>
      <c r="V55" s="93"/>
      <c r="W55" s="93"/>
      <c r="X55" s="93"/>
      <c r="Y55" s="93"/>
    </row>
    <row r="56">
      <c r="A56" s="1"/>
      <c r="B56" s="44"/>
      <c r="D56" s="44"/>
      <c r="E56" s="93"/>
      <c r="F56" s="93"/>
      <c r="G56" s="93"/>
      <c r="H56" s="93"/>
      <c r="I56" s="93"/>
      <c r="J56" s="93"/>
      <c r="K56" s="93"/>
      <c r="L56" s="93"/>
      <c r="M56" s="93"/>
      <c r="N56" s="93"/>
      <c r="O56" s="93"/>
      <c r="P56" s="93"/>
      <c r="Q56" s="93"/>
      <c r="R56" s="93"/>
      <c r="S56" s="93"/>
      <c r="T56" s="93"/>
      <c r="U56" s="93"/>
      <c r="V56" s="93"/>
      <c r="W56" s="93"/>
      <c r="X56" s="93"/>
      <c r="Y56" s="93"/>
    </row>
    <row r="57">
      <c r="A57" s="1"/>
      <c r="B57" s="44"/>
      <c r="D57" s="44"/>
      <c r="E57" s="93"/>
      <c r="F57" s="93"/>
      <c r="G57" s="93"/>
      <c r="H57" s="93"/>
      <c r="I57" s="93"/>
      <c r="J57" s="93"/>
      <c r="K57" s="93"/>
      <c r="L57" s="93"/>
      <c r="M57" s="93"/>
      <c r="N57" s="93"/>
      <c r="O57" s="93"/>
      <c r="P57" s="93"/>
      <c r="Q57" s="93"/>
      <c r="R57" s="93"/>
      <c r="S57" s="93"/>
      <c r="T57" s="93"/>
      <c r="U57" s="93"/>
      <c r="V57" s="93"/>
      <c r="W57" s="93"/>
      <c r="X57" s="93"/>
      <c r="Y57" s="93"/>
    </row>
    <row r="58">
      <c r="A58" s="1"/>
      <c r="B58" s="44"/>
      <c r="D58" s="44"/>
      <c r="E58" s="93"/>
      <c r="F58" s="93"/>
      <c r="G58" s="93"/>
      <c r="H58" s="93"/>
      <c r="I58" s="93"/>
      <c r="J58" s="93"/>
      <c r="K58" s="93"/>
      <c r="L58" s="93"/>
      <c r="M58" s="93"/>
      <c r="N58" s="93"/>
      <c r="O58" s="93"/>
      <c r="P58" s="93"/>
      <c r="Q58" s="93"/>
      <c r="R58" s="93"/>
      <c r="S58" s="93"/>
      <c r="T58" s="93"/>
      <c r="U58" s="93"/>
      <c r="V58" s="93"/>
      <c r="W58" s="93"/>
      <c r="X58" s="93"/>
      <c r="Y58" s="93"/>
    </row>
    <row r="59">
      <c r="A59" s="1"/>
      <c r="B59" s="44"/>
      <c r="D59" s="44"/>
      <c r="E59" s="93"/>
      <c r="F59" s="93"/>
      <c r="G59" s="93"/>
      <c r="H59" s="93"/>
      <c r="I59" s="93"/>
      <c r="J59" s="93"/>
      <c r="K59" s="93"/>
      <c r="L59" s="93"/>
      <c r="M59" s="93"/>
      <c r="N59" s="93"/>
      <c r="O59" s="93"/>
      <c r="P59" s="93"/>
      <c r="Q59" s="93"/>
      <c r="R59" s="93"/>
      <c r="S59" s="93"/>
      <c r="T59" s="93"/>
      <c r="U59" s="93"/>
      <c r="V59" s="93"/>
      <c r="W59" s="93"/>
      <c r="X59" s="93"/>
      <c r="Y59" s="93"/>
    </row>
    <row r="60">
      <c r="A60" s="1"/>
      <c r="B60" s="44"/>
      <c r="D60" s="44"/>
      <c r="E60" s="93"/>
      <c r="F60" s="93"/>
      <c r="G60" s="93"/>
      <c r="H60" s="93"/>
      <c r="I60" s="93"/>
      <c r="J60" s="93"/>
      <c r="K60" s="93"/>
      <c r="L60" s="93"/>
      <c r="M60" s="93"/>
      <c r="N60" s="93"/>
      <c r="O60" s="93"/>
      <c r="P60" s="93"/>
      <c r="Q60" s="93"/>
      <c r="R60" s="93"/>
      <c r="S60" s="93"/>
      <c r="T60" s="93"/>
      <c r="U60" s="93"/>
      <c r="V60" s="93"/>
      <c r="W60" s="93"/>
      <c r="X60" s="93"/>
      <c r="Y60" s="93"/>
    </row>
    <row r="61">
      <c r="A61" s="1"/>
      <c r="B61" s="44"/>
      <c r="D61" s="44"/>
      <c r="E61" s="93"/>
      <c r="F61" s="93"/>
      <c r="G61" s="93"/>
      <c r="H61" s="93"/>
      <c r="I61" s="93"/>
      <c r="J61" s="93"/>
      <c r="K61" s="93"/>
      <c r="L61" s="93"/>
      <c r="M61" s="93"/>
      <c r="N61" s="93"/>
      <c r="O61" s="93"/>
      <c r="P61" s="93"/>
      <c r="Q61" s="93"/>
      <c r="R61" s="93"/>
      <c r="S61" s="93"/>
      <c r="T61" s="93"/>
      <c r="U61" s="93"/>
      <c r="V61" s="93"/>
      <c r="W61" s="93"/>
      <c r="X61" s="93"/>
      <c r="Y61" s="93"/>
    </row>
    <row r="62">
      <c r="A62" s="1"/>
      <c r="B62" s="44"/>
      <c r="D62" s="44"/>
      <c r="E62" s="93"/>
      <c r="F62" s="93"/>
      <c r="G62" s="93"/>
      <c r="H62" s="93"/>
      <c r="I62" s="93"/>
      <c r="J62" s="93"/>
      <c r="K62" s="93"/>
      <c r="L62" s="93"/>
      <c r="M62" s="93"/>
      <c r="N62" s="93"/>
      <c r="O62" s="93"/>
      <c r="P62" s="93"/>
      <c r="Q62" s="93"/>
      <c r="R62" s="93"/>
      <c r="S62" s="93"/>
      <c r="T62" s="93"/>
      <c r="U62" s="93"/>
      <c r="V62" s="93"/>
      <c r="W62" s="93"/>
      <c r="X62" s="93"/>
      <c r="Y62" s="93"/>
    </row>
    <row r="63">
      <c r="A63" s="1"/>
      <c r="B63" s="44"/>
      <c r="D63" s="44"/>
      <c r="E63" s="93"/>
      <c r="F63" s="93"/>
      <c r="G63" s="93"/>
      <c r="H63" s="93"/>
      <c r="I63" s="93"/>
      <c r="J63" s="93"/>
      <c r="K63" s="93"/>
      <c r="L63" s="93"/>
      <c r="M63" s="93"/>
      <c r="N63" s="93"/>
      <c r="O63" s="93"/>
      <c r="P63" s="93"/>
      <c r="Q63" s="93"/>
      <c r="R63" s="93"/>
      <c r="S63" s="93"/>
      <c r="T63" s="93"/>
      <c r="U63" s="93"/>
      <c r="V63" s="93"/>
      <c r="W63" s="93"/>
      <c r="X63" s="93"/>
      <c r="Y63" s="93"/>
    </row>
    <row r="64">
      <c r="A64" s="1"/>
      <c r="B64" s="44"/>
      <c r="D64" s="44"/>
      <c r="E64" s="93"/>
      <c r="F64" s="93"/>
      <c r="G64" s="93"/>
      <c r="H64" s="93"/>
      <c r="I64" s="93"/>
      <c r="J64" s="93"/>
      <c r="K64" s="93"/>
      <c r="L64" s="93"/>
      <c r="M64" s="93"/>
      <c r="N64" s="93"/>
      <c r="O64" s="93"/>
      <c r="P64" s="93"/>
      <c r="Q64" s="93"/>
      <c r="R64" s="93"/>
      <c r="S64" s="93"/>
      <c r="T64" s="93"/>
      <c r="U64" s="93"/>
      <c r="V64" s="93"/>
      <c r="W64" s="93"/>
      <c r="X64" s="93"/>
      <c r="Y64" s="93"/>
    </row>
    <row r="65">
      <c r="A65" s="1"/>
      <c r="B65" s="44"/>
      <c r="D65" s="44"/>
      <c r="E65" s="93"/>
      <c r="F65" s="93"/>
      <c r="G65" s="93"/>
      <c r="H65" s="93"/>
      <c r="I65" s="93"/>
      <c r="J65" s="93"/>
      <c r="K65" s="93"/>
      <c r="L65" s="93"/>
      <c r="M65" s="93"/>
      <c r="N65" s="93"/>
      <c r="O65" s="93"/>
      <c r="P65" s="93"/>
      <c r="Q65" s="93"/>
      <c r="R65" s="93"/>
      <c r="S65" s="93"/>
      <c r="T65" s="93"/>
      <c r="U65" s="93"/>
      <c r="V65" s="93"/>
      <c r="W65" s="93"/>
      <c r="X65" s="93"/>
      <c r="Y65" s="93"/>
    </row>
    <row r="66">
      <c r="A66" s="1"/>
      <c r="B66" s="44"/>
      <c r="D66" s="44"/>
      <c r="E66" s="93"/>
      <c r="F66" s="93"/>
      <c r="G66" s="93"/>
      <c r="H66" s="93"/>
      <c r="I66" s="93"/>
      <c r="J66" s="93"/>
      <c r="K66" s="93"/>
      <c r="L66" s="93"/>
      <c r="M66" s="93"/>
      <c r="N66" s="93"/>
      <c r="O66" s="93"/>
      <c r="P66" s="93"/>
      <c r="Q66" s="93"/>
      <c r="R66" s="93"/>
      <c r="S66" s="93"/>
      <c r="T66" s="93"/>
      <c r="U66" s="93"/>
      <c r="V66" s="93"/>
      <c r="W66" s="93"/>
      <c r="X66" s="93"/>
      <c r="Y66" s="93"/>
    </row>
    <row r="67">
      <c r="A67" s="1"/>
      <c r="B67" s="44"/>
      <c r="D67" s="44"/>
      <c r="E67" s="93"/>
      <c r="F67" s="93"/>
      <c r="G67" s="93"/>
      <c r="H67" s="93"/>
      <c r="I67" s="93"/>
      <c r="J67" s="93"/>
      <c r="K67" s="93"/>
      <c r="L67" s="93"/>
      <c r="M67" s="93"/>
      <c r="N67" s="93"/>
      <c r="O67" s="93"/>
      <c r="P67" s="93"/>
      <c r="Q67" s="93"/>
      <c r="R67" s="93"/>
      <c r="S67" s="93"/>
      <c r="T67" s="93"/>
      <c r="U67" s="93"/>
      <c r="V67" s="93"/>
      <c r="W67" s="93"/>
      <c r="X67" s="93"/>
      <c r="Y67" s="93"/>
    </row>
    <row r="68">
      <c r="A68" s="1"/>
      <c r="B68" s="44"/>
      <c r="D68" s="44"/>
      <c r="E68" s="93"/>
      <c r="F68" s="93"/>
      <c r="G68" s="93"/>
      <c r="H68" s="93"/>
      <c r="I68" s="93"/>
      <c r="J68" s="93"/>
      <c r="K68" s="93"/>
      <c r="L68" s="93"/>
      <c r="M68" s="93"/>
      <c r="N68" s="93"/>
      <c r="O68" s="93"/>
      <c r="P68" s="93"/>
      <c r="Q68" s="93"/>
      <c r="R68" s="93"/>
      <c r="S68" s="93"/>
      <c r="T68" s="93"/>
      <c r="U68" s="93"/>
      <c r="V68" s="93"/>
      <c r="W68" s="93"/>
      <c r="X68" s="93"/>
      <c r="Y68" s="93"/>
    </row>
    <row r="69">
      <c r="A69" s="1"/>
      <c r="B69" s="44"/>
      <c r="D69" s="44"/>
      <c r="E69" s="93"/>
      <c r="F69" s="93"/>
      <c r="G69" s="93"/>
      <c r="H69" s="93"/>
      <c r="I69" s="93"/>
      <c r="J69" s="93"/>
      <c r="K69" s="93"/>
      <c r="L69" s="93"/>
      <c r="M69" s="93"/>
      <c r="N69" s="93"/>
      <c r="O69" s="93"/>
      <c r="P69" s="93"/>
      <c r="Q69" s="93"/>
      <c r="R69" s="93"/>
      <c r="S69" s="93"/>
      <c r="T69" s="93"/>
      <c r="U69" s="93"/>
      <c r="V69" s="93"/>
      <c r="W69" s="93"/>
      <c r="X69" s="93"/>
      <c r="Y69" s="93"/>
    </row>
    <row r="70">
      <c r="A70" s="1"/>
      <c r="B70" s="44"/>
      <c r="D70" s="44"/>
      <c r="E70" s="93"/>
      <c r="F70" s="93"/>
      <c r="G70" s="93"/>
      <c r="H70" s="93"/>
      <c r="I70" s="93"/>
      <c r="J70" s="93"/>
      <c r="K70" s="93"/>
      <c r="L70" s="93"/>
      <c r="M70" s="93"/>
      <c r="N70" s="93"/>
      <c r="O70" s="93"/>
      <c r="P70" s="93"/>
      <c r="Q70" s="93"/>
      <c r="R70" s="93"/>
      <c r="S70" s="93"/>
      <c r="T70" s="93"/>
      <c r="U70" s="93"/>
      <c r="V70" s="93"/>
      <c r="W70" s="93"/>
      <c r="X70" s="93"/>
      <c r="Y70" s="93"/>
    </row>
    <row r="71">
      <c r="A71" s="1"/>
      <c r="B71" s="44"/>
      <c r="D71" s="44"/>
      <c r="E71" s="93"/>
      <c r="F71" s="93"/>
      <c r="G71" s="93"/>
      <c r="H71" s="93"/>
      <c r="I71" s="93"/>
      <c r="J71" s="93"/>
      <c r="K71" s="93"/>
      <c r="L71" s="93"/>
      <c r="M71" s="93"/>
      <c r="N71" s="93"/>
      <c r="O71" s="93"/>
      <c r="P71" s="93"/>
      <c r="Q71" s="93"/>
      <c r="R71" s="93"/>
      <c r="S71" s="93"/>
      <c r="T71" s="93"/>
      <c r="U71" s="93"/>
      <c r="V71" s="93"/>
      <c r="W71" s="93"/>
      <c r="X71" s="93"/>
      <c r="Y71" s="93"/>
    </row>
    <row r="72">
      <c r="A72" s="1"/>
      <c r="B72" s="44"/>
      <c r="D72" s="44"/>
      <c r="E72" s="93"/>
      <c r="F72" s="93"/>
      <c r="G72" s="93"/>
      <c r="H72" s="93"/>
      <c r="I72" s="93"/>
      <c r="J72" s="93"/>
      <c r="K72" s="93"/>
      <c r="L72" s="93"/>
      <c r="M72" s="93"/>
      <c r="N72" s="93"/>
      <c r="O72" s="93"/>
      <c r="P72" s="93"/>
      <c r="Q72" s="93"/>
      <c r="R72" s="93"/>
      <c r="S72" s="93"/>
      <c r="T72" s="93"/>
      <c r="U72" s="93"/>
      <c r="V72" s="93"/>
      <c r="W72" s="93"/>
      <c r="X72" s="93"/>
      <c r="Y72" s="93"/>
    </row>
    <row r="73">
      <c r="A73" s="1"/>
      <c r="B73" s="44"/>
      <c r="D73" s="44"/>
      <c r="E73" s="93"/>
      <c r="F73" s="93"/>
      <c r="G73" s="93"/>
      <c r="H73" s="93"/>
      <c r="I73" s="93"/>
      <c r="J73" s="93"/>
      <c r="K73" s="93"/>
      <c r="L73" s="93"/>
      <c r="M73" s="93"/>
      <c r="N73" s="93"/>
      <c r="O73" s="93"/>
      <c r="P73" s="93"/>
      <c r="Q73" s="93"/>
      <c r="R73" s="93"/>
      <c r="S73" s="93"/>
      <c r="T73" s="93"/>
      <c r="U73" s="93"/>
      <c r="V73" s="93"/>
      <c r="W73" s="93"/>
      <c r="X73" s="93"/>
      <c r="Y73" s="93"/>
    </row>
    <row r="74">
      <c r="A74" s="1"/>
      <c r="B74" s="44"/>
      <c r="D74" s="44"/>
      <c r="E74" s="93"/>
      <c r="F74" s="93"/>
      <c r="G74" s="93"/>
      <c r="H74" s="93"/>
      <c r="I74" s="93"/>
      <c r="J74" s="93"/>
      <c r="K74" s="93"/>
      <c r="L74" s="93"/>
      <c r="M74" s="93"/>
      <c r="N74" s="93"/>
      <c r="O74" s="93"/>
      <c r="P74" s="93"/>
      <c r="Q74" s="93"/>
      <c r="R74" s="93"/>
      <c r="S74" s="93"/>
      <c r="T74" s="93"/>
      <c r="U74" s="93"/>
      <c r="V74" s="93"/>
      <c r="W74" s="93"/>
      <c r="X74" s="93"/>
      <c r="Y74" s="93"/>
    </row>
    <row r="75">
      <c r="A75" s="1"/>
      <c r="B75" s="44"/>
      <c r="D75" s="44"/>
      <c r="E75" s="93"/>
      <c r="F75" s="93"/>
      <c r="G75" s="93"/>
      <c r="H75" s="93"/>
      <c r="I75" s="93"/>
      <c r="J75" s="93"/>
      <c r="K75" s="93"/>
      <c r="L75" s="93"/>
      <c r="M75" s="93"/>
      <c r="N75" s="93"/>
      <c r="O75" s="93"/>
      <c r="P75" s="93"/>
      <c r="Q75" s="93"/>
      <c r="R75" s="93"/>
      <c r="S75" s="93"/>
      <c r="T75" s="93"/>
      <c r="U75" s="93"/>
      <c r="V75" s="93"/>
      <c r="W75" s="93"/>
      <c r="X75" s="93"/>
      <c r="Y75" s="93"/>
    </row>
    <row r="76">
      <c r="A76" s="1"/>
      <c r="B76" s="44"/>
      <c r="D76" s="44"/>
      <c r="E76" s="93"/>
      <c r="F76" s="93"/>
      <c r="G76" s="93"/>
      <c r="H76" s="93"/>
      <c r="I76" s="93"/>
      <c r="J76" s="93"/>
      <c r="K76" s="93"/>
      <c r="L76" s="93"/>
      <c r="M76" s="93"/>
      <c r="N76" s="93"/>
      <c r="O76" s="93"/>
      <c r="P76" s="93"/>
      <c r="Q76" s="93"/>
      <c r="R76" s="93"/>
      <c r="S76" s="93"/>
      <c r="T76" s="93"/>
      <c r="U76" s="93"/>
      <c r="V76" s="93"/>
      <c r="W76" s="93"/>
      <c r="X76" s="93"/>
      <c r="Y76" s="93"/>
    </row>
    <row r="77">
      <c r="A77" s="1"/>
      <c r="B77" s="44"/>
      <c r="D77" s="44"/>
      <c r="E77" s="93"/>
      <c r="F77" s="93"/>
      <c r="G77" s="93"/>
      <c r="H77" s="93"/>
      <c r="I77" s="93"/>
      <c r="J77" s="93"/>
      <c r="K77" s="93"/>
      <c r="L77" s="93"/>
      <c r="M77" s="93"/>
      <c r="N77" s="93"/>
      <c r="O77" s="93"/>
      <c r="P77" s="93"/>
      <c r="Q77" s="93"/>
      <c r="R77" s="93"/>
      <c r="S77" s="93"/>
      <c r="T77" s="93"/>
      <c r="U77" s="93"/>
      <c r="V77" s="93"/>
      <c r="W77" s="93"/>
      <c r="X77" s="93"/>
      <c r="Y77" s="93"/>
    </row>
    <row r="78">
      <c r="A78" s="1"/>
      <c r="B78" s="44"/>
      <c r="D78" s="44"/>
      <c r="E78" s="93"/>
      <c r="F78" s="93"/>
      <c r="G78" s="93"/>
      <c r="H78" s="93"/>
      <c r="I78" s="93"/>
      <c r="J78" s="93"/>
      <c r="K78" s="93"/>
      <c r="L78" s="93"/>
      <c r="M78" s="93"/>
      <c r="N78" s="93"/>
      <c r="O78" s="93"/>
      <c r="P78" s="93"/>
      <c r="Q78" s="93"/>
      <c r="R78" s="93"/>
      <c r="S78" s="93"/>
      <c r="T78" s="93"/>
      <c r="U78" s="93"/>
      <c r="V78" s="93"/>
      <c r="W78" s="93"/>
      <c r="X78" s="93"/>
      <c r="Y78" s="93"/>
    </row>
    <row r="79">
      <c r="A79" s="1"/>
      <c r="B79" s="44"/>
      <c r="D79" s="44"/>
      <c r="E79" s="93"/>
      <c r="F79" s="93"/>
      <c r="G79" s="93"/>
      <c r="H79" s="93"/>
      <c r="I79" s="93"/>
      <c r="J79" s="93"/>
      <c r="K79" s="93"/>
      <c r="L79" s="93"/>
      <c r="M79" s="93"/>
      <c r="N79" s="93"/>
      <c r="O79" s="93"/>
      <c r="P79" s="93"/>
      <c r="Q79" s="93"/>
      <c r="R79" s="93"/>
      <c r="S79" s="93"/>
      <c r="T79" s="93"/>
      <c r="U79" s="93"/>
      <c r="V79" s="93"/>
      <c r="W79" s="93"/>
      <c r="X79" s="93"/>
      <c r="Y79" s="93"/>
    </row>
    <row r="80">
      <c r="A80" s="1"/>
      <c r="B80" s="44"/>
      <c r="D80" s="44"/>
      <c r="E80" s="93"/>
      <c r="F80" s="93"/>
      <c r="G80" s="93"/>
      <c r="H80" s="93"/>
      <c r="I80" s="93"/>
      <c r="J80" s="93"/>
      <c r="K80" s="93"/>
      <c r="L80" s="93"/>
      <c r="M80" s="93"/>
      <c r="N80" s="93"/>
      <c r="O80" s="93"/>
      <c r="P80" s="93"/>
      <c r="Q80" s="93"/>
      <c r="R80" s="93"/>
      <c r="S80" s="93"/>
      <c r="T80" s="93"/>
      <c r="U80" s="93"/>
      <c r="V80" s="93"/>
      <c r="W80" s="93"/>
      <c r="X80" s="93"/>
      <c r="Y80" s="93"/>
    </row>
    <row r="81">
      <c r="A81" s="1"/>
      <c r="B81" s="44"/>
      <c r="D81" s="44"/>
      <c r="E81" s="93"/>
      <c r="F81" s="93"/>
      <c r="G81" s="93"/>
      <c r="H81" s="93"/>
      <c r="I81" s="93"/>
      <c r="J81" s="93"/>
      <c r="K81" s="93"/>
      <c r="L81" s="93"/>
      <c r="M81" s="93"/>
      <c r="N81" s="93"/>
      <c r="O81" s="93"/>
      <c r="P81" s="93"/>
      <c r="Q81" s="93"/>
      <c r="R81" s="93"/>
      <c r="S81" s="93"/>
      <c r="T81" s="93"/>
      <c r="U81" s="93"/>
      <c r="V81" s="93"/>
      <c r="W81" s="93"/>
      <c r="X81" s="93"/>
      <c r="Y81" s="93"/>
    </row>
    <row r="82">
      <c r="A82" s="1"/>
      <c r="B82" s="44"/>
      <c r="D82" s="44"/>
      <c r="E82" s="93"/>
      <c r="F82" s="93"/>
      <c r="G82" s="93"/>
      <c r="H82" s="93"/>
      <c r="I82" s="93"/>
      <c r="J82" s="93"/>
      <c r="K82" s="93"/>
      <c r="L82" s="93"/>
      <c r="M82" s="93"/>
      <c r="N82" s="93"/>
      <c r="O82" s="93"/>
      <c r="P82" s="93"/>
      <c r="Q82" s="93"/>
      <c r="R82" s="93"/>
      <c r="S82" s="93"/>
      <c r="T82" s="93"/>
      <c r="U82" s="93"/>
      <c r="V82" s="93"/>
      <c r="W82" s="93"/>
      <c r="X82" s="93"/>
      <c r="Y82" s="93"/>
    </row>
    <row r="83">
      <c r="A83" s="1"/>
      <c r="B83" s="44"/>
      <c r="D83" s="44"/>
      <c r="E83" s="93"/>
      <c r="F83" s="93"/>
      <c r="G83" s="93"/>
      <c r="H83" s="93"/>
      <c r="I83" s="93"/>
      <c r="J83" s="93"/>
      <c r="K83" s="93"/>
      <c r="L83" s="93"/>
      <c r="M83" s="93"/>
      <c r="N83" s="93"/>
      <c r="O83" s="93"/>
      <c r="P83" s="93"/>
      <c r="Q83" s="93"/>
      <c r="R83" s="93"/>
      <c r="S83" s="93"/>
      <c r="T83" s="93"/>
      <c r="U83" s="93"/>
      <c r="V83" s="93"/>
      <c r="W83" s="93"/>
      <c r="X83" s="93"/>
      <c r="Y83" s="93"/>
    </row>
    <row r="84">
      <c r="A84" s="1"/>
      <c r="B84" s="44"/>
      <c r="D84" s="44"/>
      <c r="E84" s="93"/>
      <c r="F84" s="93"/>
      <c r="G84" s="93"/>
      <c r="H84" s="93"/>
      <c r="I84" s="93"/>
      <c r="J84" s="93"/>
      <c r="K84" s="93"/>
      <c r="L84" s="93"/>
      <c r="M84" s="93"/>
      <c r="N84" s="93"/>
      <c r="O84" s="93"/>
      <c r="P84" s="93"/>
      <c r="Q84" s="93"/>
      <c r="R84" s="93"/>
      <c r="S84" s="93"/>
      <c r="T84" s="93"/>
      <c r="U84" s="93"/>
      <c r="V84" s="93"/>
      <c r="W84" s="93"/>
      <c r="X84" s="93"/>
      <c r="Y84" s="93"/>
    </row>
    <row r="85">
      <c r="A85" s="1"/>
      <c r="B85" s="44"/>
      <c r="D85" s="44"/>
      <c r="E85" s="93"/>
      <c r="F85" s="93"/>
      <c r="G85" s="93"/>
      <c r="H85" s="93"/>
      <c r="I85" s="93"/>
      <c r="J85" s="93"/>
      <c r="K85" s="93"/>
      <c r="L85" s="93"/>
      <c r="M85" s="93"/>
      <c r="N85" s="93"/>
      <c r="O85" s="93"/>
      <c r="P85" s="93"/>
      <c r="Q85" s="93"/>
      <c r="R85" s="93"/>
      <c r="S85" s="93"/>
      <c r="T85" s="93"/>
      <c r="U85" s="93"/>
      <c r="V85" s="93"/>
      <c r="W85" s="93"/>
      <c r="X85" s="93"/>
      <c r="Y85" s="93"/>
    </row>
    <row r="86">
      <c r="A86" s="1"/>
      <c r="B86" s="44"/>
      <c r="D86" s="44"/>
      <c r="E86" s="93"/>
      <c r="F86" s="93"/>
      <c r="G86" s="93"/>
      <c r="H86" s="93"/>
      <c r="I86" s="93"/>
      <c r="J86" s="93"/>
      <c r="K86" s="93"/>
      <c r="L86" s="93"/>
      <c r="M86" s="93"/>
      <c r="N86" s="93"/>
      <c r="O86" s="93"/>
      <c r="P86" s="93"/>
      <c r="Q86" s="93"/>
      <c r="R86" s="93"/>
      <c r="S86" s="93"/>
      <c r="T86" s="93"/>
      <c r="U86" s="93"/>
      <c r="V86" s="93"/>
      <c r="W86" s="93"/>
      <c r="X86" s="93"/>
      <c r="Y86" s="93"/>
    </row>
    <row r="87">
      <c r="A87" s="1"/>
      <c r="B87" s="44"/>
      <c r="D87" s="44"/>
      <c r="E87" s="93"/>
      <c r="F87" s="93"/>
      <c r="G87" s="93"/>
      <c r="H87" s="93"/>
      <c r="I87" s="93"/>
      <c r="J87" s="93"/>
      <c r="K87" s="93"/>
      <c r="L87" s="93"/>
      <c r="M87" s="93"/>
      <c r="N87" s="93"/>
      <c r="O87" s="93"/>
      <c r="P87" s="93"/>
      <c r="Q87" s="93"/>
      <c r="R87" s="93"/>
      <c r="S87" s="93"/>
      <c r="T87" s="93"/>
      <c r="U87" s="93"/>
      <c r="V87" s="93"/>
      <c r="W87" s="93"/>
      <c r="X87" s="93"/>
      <c r="Y87" s="93"/>
    </row>
    <row r="88">
      <c r="A88" s="1"/>
      <c r="B88" s="44"/>
      <c r="D88" s="44"/>
      <c r="E88" s="93"/>
      <c r="F88" s="93"/>
      <c r="G88" s="93"/>
      <c r="H88" s="93"/>
      <c r="I88" s="93"/>
      <c r="J88" s="93"/>
      <c r="K88" s="93"/>
      <c r="L88" s="93"/>
      <c r="M88" s="93"/>
      <c r="N88" s="93"/>
      <c r="O88" s="93"/>
      <c r="P88" s="93"/>
      <c r="Q88" s="93"/>
      <c r="R88" s="93"/>
      <c r="S88" s="93"/>
      <c r="T88" s="93"/>
      <c r="U88" s="93"/>
      <c r="V88" s="93"/>
      <c r="W88" s="93"/>
      <c r="X88" s="93"/>
      <c r="Y88" s="93"/>
    </row>
    <row r="89">
      <c r="A89" s="1"/>
      <c r="B89" s="44"/>
      <c r="D89" s="44"/>
      <c r="E89" s="93"/>
      <c r="F89" s="93"/>
      <c r="G89" s="93"/>
      <c r="H89" s="93"/>
      <c r="I89" s="93"/>
      <c r="J89" s="93"/>
      <c r="K89" s="93"/>
      <c r="L89" s="93"/>
      <c r="M89" s="93"/>
      <c r="N89" s="93"/>
      <c r="O89" s="93"/>
      <c r="P89" s="93"/>
      <c r="Q89" s="93"/>
      <c r="R89" s="93"/>
      <c r="S89" s="93"/>
      <c r="T89" s="93"/>
      <c r="U89" s="93"/>
      <c r="V89" s="93"/>
      <c r="W89" s="93"/>
      <c r="X89" s="93"/>
      <c r="Y89" s="93"/>
    </row>
    <row r="90">
      <c r="A90" s="1"/>
      <c r="B90" s="44"/>
      <c r="D90" s="44"/>
      <c r="E90" s="93"/>
      <c r="F90" s="93"/>
      <c r="G90" s="93"/>
      <c r="H90" s="93"/>
      <c r="I90" s="93"/>
      <c r="J90" s="93"/>
      <c r="K90" s="93"/>
      <c r="L90" s="93"/>
      <c r="M90" s="93"/>
      <c r="N90" s="93"/>
      <c r="O90" s="93"/>
      <c r="P90" s="93"/>
      <c r="Q90" s="93"/>
      <c r="R90" s="93"/>
      <c r="S90" s="93"/>
      <c r="T90" s="93"/>
      <c r="U90" s="93"/>
      <c r="V90" s="93"/>
      <c r="W90" s="93"/>
      <c r="X90" s="93"/>
      <c r="Y90" s="93"/>
    </row>
    <row r="91">
      <c r="A91" s="1"/>
      <c r="B91" s="44"/>
      <c r="D91" s="44"/>
      <c r="E91" s="93"/>
      <c r="F91" s="93"/>
      <c r="G91" s="93"/>
      <c r="H91" s="93"/>
      <c r="I91" s="93"/>
      <c r="J91" s="93"/>
      <c r="K91" s="93"/>
      <c r="L91" s="93"/>
      <c r="M91" s="93"/>
      <c r="N91" s="93"/>
      <c r="O91" s="93"/>
      <c r="P91" s="93"/>
      <c r="Q91" s="93"/>
      <c r="R91" s="93"/>
      <c r="S91" s="93"/>
      <c r="T91" s="93"/>
      <c r="U91" s="93"/>
      <c r="V91" s="93"/>
      <c r="W91" s="93"/>
      <c r="X91" s="93"/>
      <c r="Y91" s="93"/>
    </row>
    <row r="92">
      <c r="A92" s="1"/>
      <c r="B92" s="44"/>
      <c r="D92" s="44"/>
      <c r="E92" s="93"/>
      <c r="F92" s="93"/>
      <c r="G92" s="93"/>
      <c r="H92" s="93"/>
      <c r="I92" s="93"/>
      <c r="J92" s="93"/>
      <c r="K92" s="93"/>
      <c r="L92" s="93"/>
      <c r="M92" s="93"/>
      <c r="N92" s="93"/>
      <c r="O92" s="93"/>
      <c r="P92" s="93"/>
      <c r="Q92" s="93"/>
      <c r="R92" s="93"/>
      <c r="S92" s="93"/>
      <c r="T92" s="93"/>
      <c r="U92" s="93"/>
      <c r="V92" s="93"/>
      <c r="W92" s="93"/>
      <c r="X92" s="93"/>
      <c r="Y92" s="93"/>
    </row>
    <row r="93">
      <c r="A93" s="1"/>
      <c r="B93" s="44"/>
      <c r="D93" s="44"/>
      <c r="E93" s="93"/>
      <c r="F93" s="93"/>
      <c r="G93" s="93"/>
      <c r="H93" s="93"/>
      <c r="I93" s="93"/>
      <c r="J93" s="93"/>
      <c r="K93" s="93"/>
      <c r="L93" s="93"/>
      <c r="M93" s="93"/>
      <c r="N93" s="93"/>
      <c r="O93" s="93"/>
      <c r="P93" s="93"/>
      <c r="Q93" s="93"/>
      <c r="R93" s="93"/>
      <c r="S93" s="93"/>
      <c r="T93" s="93"/>
      <c r="U93" s="93"/>
      <c r="V93" s="93"/>
      <c r="W93" s="93"/>
      <c r="X93" s="93"/>
      <c r="Y93" s="93"/>
    </row>
    <row r="94">
      <c r="A94" s="1"/>
      <c r="B94" s="44"/>
      <c r="D94" s="44"/>
      <c r="E94" s="93"/>
      <c r="F94" s="93"/>
      <c r="G94" s="93"/>
      <c r="H94" s="93"/>
      <c r="I94" s="93"/>
      <c r="J94" s="93"/>
      <c r="K94" s="93"/>
      <c r="L94" s="93"/>
      <c r="M94" s="93"/>
      <c r="N94" s="93"/>
      <c r="O94" s="93"/>
      <c r="P94" s="93"/>
      <c r="Q94" s="93"/>
      <c r="R94" s="93"/>
      <c r="S94" s="93"/>
      <c r="T94" s="93"/>
      <c r="U94" s="93"/>
      <c r="V94" s="93"/>
      <c r="W94" s="93"/>
      <c r="X94" s="93"/>
      <c r="Y94" s="93"/>
    </row>
    <row r="95">
      <c r="A95" s="1"/>
      <c r="B95" s="44"/>
      <c r="D95" s="44"/>
      <c r="E95" s="93"/>
      <c r="F95" s="93"/>
      <c r="G95" s="93"/>
      <c r="H95" s="93"/>
      <c r="I95" s="93"/>
      <c r="J95" s="93"/>
      <c r="K95" s="93"/>
      <c r="L95" s="93"/>
      <c r="M95" s="93"/>
      <c r="N95" s="93"/>
      <c r="O95" s="93"/>
      <c r="P95" s="93"/>
      <c r="Q95" s="93"/>
      <c r="R95" s="93"/>
      <c r="S95" s="93"/>
      <c r="T95" s="93"/>
      <c r="U95" s="93"/>
      <c r="V95" s="93"/>
      <c r="W95" s="93"/>
      <c r="X95" s="93"/>
      <c r="Y95" s="93"/>
    </row>
    <row r="96">
      <c r="A96" s="1"/>
      <c r="B96" s="44"/>
      <c r="D96" s="44"/>
      <c r="E96" s="93"/>
      <c r="F96" s="93"/>
      <c r="G96" s="93"/>
      <c r="H96" s="93"/>
      <c r="I96" s="93"/>
      <c r="J96" s="93"/>
      <c r="K96" s="93"/>
      <c r="L96" s="93"/>
      <c r="M96" s="93"/>
      <c r="N96" s="93"/>
      <c r="O96" s="93"/>
      <c r="P96" s="93"/>
      <c r="Q96" s="93"/>
      <c r="R96" s="93"/>
      <c r="S96" s="93"/>
      <c r="T96" s="93"/>
      <c r="U96" s="93"/>
      <c r="V96" s="93"/>
      <c r="W96" s="93"/>
      <c r="X96" s="93"/>
      <c r="Y96" s="93"/>
    </row>
    <row r="97">
      <c r="A97" s="1"/>
      <c r="B97" s="44"/>
      <c r="D97" s="44"/>
      <c r="E97" s="93"/>
      <c r="F97" s="93"/>
      <c r="G97" s="93"/>
      <c r="H97" s="93"/>
      <c r="I97" s="93"/>
      <c r="J97" s="93"/>
      <c r="K97" s="93"/>
      <c r="L97" s="93"/>
      <c r="M97" s="93"/>
      <c r="N97" s="93"/>
      <c r="O97" s="93"/>
      <c r="P97" s="93"/>
      <c r="Q97" s="93"/>
      <c r="R97" s="93"/>
      <c r="S97" s="93"/>
      <c r="T97" s="93"/>
      <c r="U97" s="93"/>
      <c r="V97" s="93"/>
      <c r="W97" s="93"/>
      <c r="X97" s="93"/>
      <c r="Y97" s="93"/>
    </row>
    <row r="98">
      <c r="A98" s="1"/>
      <c r="B98" s="44"/>
      <c r="D98" s="44"/>
      <c r="E98" s="93"/>
      <c r="F98" s="93"/>
      <c r="G98" s="93"/>
      <c r="H98" s="93"/>
      <c r="I98" s="93"/>
      <c r="J98" s="93"/>
      <c r="K98" s="93"/>
      <c r="L98" s="93"/>
      <c r="M98" s="93"/>
      <c r="N98" s="93"/>
      <c r="O98" s="93"/>
      <c r="P98" s="93"/>
      <c r="Q98" s="93"/>
      <c r="R98" s="93"/>
      <c r="S98" s="93"/>
      <c r="T98" s="93"/>
      <c r="U98" s="93"/>
      <c r="V98" s="93"/>
      <c r="W98" s="93"/>
      <c r="X98" s="93"/>
      <c r="Y98" s="93"/>
    </row>
    <row r="99">
      <c r="A99" s="1"/>
      <c r="B99" s="44"/>
      <c r="D99" s="44"/>
      <c r="E99" s="93"/>
      <c r="F99" s="93"/>
      <c r="G99" s="93"/>
      <c r="H99" s="93"/>
      <c r="I99" s="93"/>
      <c r="J99" s="93"/>
      <c r="K99" s="93"/>
      <c r="L99" s="93"/>
      <c r="M99" s="93"/>
      <c r="N99" s="93"/>
      <c r="O99" s="93"/>
      <c r="P99" s="93"/>
      <c r="Q99" s="93"/>
      <c r="R99" s="93"/>
      <c r="S99" s="93"/>
      <c r="T99" s="93"/>
      <c r="U99" s="93"/>
      <c r="V99" s="93"/>
      <c r="W99" s="93"/>
      <c r="X99" s="93"/>
      <c r="Y99" s="93"/>
    </row>
    <row r="100">
      <c r="A100" s="1"/>
      <c r="B100" s="44"/>
      <c r="D100" s="44"/>
      <c r="E100" s="93"/>
      <c r="F100" s="93"/>
      <c r="G100" s="93"/>
      <c r="H100" s="93"/>
      <c r="I100" s="93"/>
      <c r="J100" s="93"/>
      <c r="K100" s="93"/>
      <c r="L100" s="93"/>
      <c r="M100" s="93"/>
      <c r="N100" s="93"/>
      <c r="O100" s="93"/>
      <c r="P100" s="93"/>
      <c r="Q100" s="93"/>
      <c r="R100" s="93"/>
      <c r="S100" s="93"/>
      <c r="T100" s="93"/>
      <c r="U100" s="93"/>
      <c r="V100" s="93"/>
      <c r="W100" s="93"/>
      <c r="X100" s="93"/>
      <c r="Y100" s="93"/>
    </row>
    <row r="101">
      <c r="A101" s="1"/>
      <c r="B101" s="44"/>
      <c r="D101" s="44"/>
      <c r="E101" s="93"/>
      <c r="F101" s="93"/>
      <c r="G101" s="93"/>
      <c r="H101" s="93"/>
      <c r="I101" s="93"/>
      <c r="J101" s="93"/>
      <c r="K101" s="93"/>
      <c r="L101" s="93"/>
      <c r="M101" s="93"/>
      <c r="N101" s="93"/>
      <c r="O101" s="93"/>
      <c r="P101" s="93"/>
      <c r="Q101" s="93"/>
      <c r="R101" s="93"/>
      <c r="S101" s="93"/>
      <c r="T101" s="93"/>
      <c r="U101" s="93"/>
      <c r="V101" s="93"/>
      <c r="W101" s="93"/>
      <c r="X101" s="93"/>
      <c r="Y101" s="93"/>
    </row>
    <row r="102">
      <c r="A102" s="1"/>
      <c r="B102" s="44"/>
      <c r="D102" s="44"/>
      <c r="E102" s="93"/>
      <c r="F102" s="93"/>
      <c r="G102" s="93"/>
      <c r="H102" s="93"/>
      <c r="I102" s="93"/>
      <c r="J102" s="93"/>
      <c r="K102" s="93"/>
      <c r="L102" s="93"/>
      <c r="M102" s="93"/>
      <c r="N102" s="93"/>
      <c r="O102" s="93"/>
      <c r="P102" s="93"/>
      <c r="Q102" s="93"/>
      <c r="R102" s="93"/>
      <c r="S102" s="93"/>
      <c r="T102" s="93"/>
      <c r="U102" s="93"/>
      <c r="V102" s="93"/>
      <c r="W102" s="93"/>
      <c r="X102" s="93"/>
      <c r="Y102" s="93"/>
    </row>
    <row r="103">
      <c r="A103" s="1"/>
      <c r="B103" s="44"/>
      <c r="D103" s="44"/>
      <c r="E103" s="93"/>
      <c r="F103" s="93"/>
      <c r="G103" s="93"/>
      <c r="H103" s="93"/>
      <c r="I103" s="93"/>
      <c r="J103" s="93"/>
      <c r="K103" s="93"/>
      <c r="L103" s="93"/>
      <c r="M103" s="93"/>
      <c r="N103" s="93"/>
      <c r="O103" s="93"/>
      <c r="P103" s="93"/>
      <c r="Q103" s="93"/>
      <c r="R103" s="93"/>
      <c r="S103" s="93"/>
      <c r="T103" s="93"/>
      <c r="U103" s="93"/>
      <c r="V103" s="93"/>
      <c r="W103" s="93"/>
      <c r="X103" s="93"/>
      <c r="Y103" s="93"/>
    </row>
    <row r="104">
      <c r="A104" s="1"/>
      <c r="B104" s="44"/>
      <c r="D104" s="44"/>
      <c r="E104" s="93"/>
      <c r="F104" s="93"/>
      <c r="G104" s="93"/>
      <c r="H104" s="93"/>
      <c r="I104" s="93"/>
      <c r="J104" s="93"/>
      <c r="K104" s="93"/>
      <c r="L104" s="93"/>
      <c r="M104" s="93"/>
      <c r="N104" s="93"/>
      <c r="O104" s="93"/>
      <c r="P104" s="93"/>
      <c r="Q104" s="93"/>
      <c r="R104" s="93"/>
      <c r="S104" s="93"/>
      <c r="T104" s="93"/>
      <c r="U104" s="93"/>
      <c r="V104" s="93"/>
      <c r="W104" s="93"/>
      <c r="X104" s="93"/>
      <c r="Y104" s="93"/>
    </row>
    <row r="105">
      <c r="A105" s="1"/>
      <c r="B105" s="44"/>
      <c r="D105" s="44"/>
      <c r="E105" s="93"/>
      <c r="F105" s="93"/>
      <c r="G105" s="93"/>
      <c r="H105" s="93"/>
      <c r="I105" s="93"/>
      <c r="J105" s="93"/>
      <c r="K105" s="93"/>
      <c r="L105" s="93"/>
      <c r="M105" s="93"/>
      <c r="N105" s="93"/>
      <c r="O105" s="93"/>
      <c r="P105" s="93"/>
      <c r="Q105" s="93"/>
      <c r="R105" s="93"/>
      <c r="S105" s="93"/>
      <c r="T105" s="93"/>
      <c r="U105" s="93"/>
      <c r="V105" s="93"/>
      <c r="W105" s="93"/>
      <c r="X105" s="93"/>
      <c r="Y105" s="93"/>
    </row>
    <row r="106">
      <c r="A106" s="1"/>
      <c r="B106" s="44"/>
      <c r="D106" s="44"/>
      <c r="E106" s="93"/>
      <c r="F106" s="93"/>
      <c r="G106" s="93"/>
      <c r="H106" s="93"/>
      <c r="I106" s="93"/>
      <c r="J106" s="93"/>
      <c r="K106" s="93"/>
      <c r="L106" s="93"/>
      <c r="M106" s="93"/>
      <c r="N106" s="93"/>
      <c r="O106" s="93"/>
      <c r="P106" s="93"/>
      <c r="Q106" s="93"/>
      <c r="R106" s="93"/>
      <c r="S106" s="93"/>
      <c r="T106" s="93"/>
      <c r="U106" s="93"/>
      <c r="V106" s="93"/>
      <c r="W106" s="93"/>
      <c r="X106" s="93"/>
      <c r="Y106" s="93"/>
    </row>
    <row r="107">
      <c r="A107" s="1"/>
      <c r="B107" s="44"/>
      <c r="D107" s="44"/>
      <c r="E107" s="93"/>
      <c r="F107" s="93"/>
      <c r="G107" s="93"/>
      <c r="H107" s="93"/>
      <c r="I107" s="93"/>
      <c r="J107" s="93"/>
      <c r="K107" s="93"/>
      <c r="L107" s="93"/>
      <c r="M107" s="93"/>
      <c r="N107" s="93"/>
      <c r="O107" s="93"/>
      <c r="P107" s="93"/>
      <c r="Q107" s="93"/>
      <c r="R107" s="93"/>
      <c r="S107" s="93"/>
      <c r="T107" s="93"/>
      <c r="U107" s="93"/>
      <c r="V107" s="93"/>
      <c r="W107" s="93"/>
      <c r="X107" s="93"/>
      <c r="Y107" s="93"/>
    </row>
    <row r="108">
      <c r="A108" s="1"/>
      <c r="B108" s="44"/>
      <c r="D108" s="44"/>
      <c r="E108" s="93"/>
      <c r="F108" s="93"/>
      <c r="G108" s="93"/>
      <c r="H108" s="93"/>
      <c r="I108" s="93"/>
      <c r="J108" s="93"/>
      <c r="K108" s="93"/>
      <c r="L108" s="93"/>
      <c r="M108" s="93"/>
      <c r="N108" s="93"/>
      <c r="O108" s="93"/>
      <c r="P108" s="93"/>
      <c r="Q108" s="93"/>
      <c r="R108" s="93"/>
      <c r="S108" s="93"/>
      <c r="T108" s="93"/>
      <c r="U108" s="93"/>
      <c r="V108" s="93"/>
      <c r="W108" s="93"/>
      <c r="X108" s="93"/>
      <c r="Y108" s="93"/>
    </row>
    <row r="109">
      <c r="A109" s="1"/>
      <c r="B109" s="44"/>
      <c r="D109" s="44"/>
      <c r="E109" s="93"/>
      <c r="F109" s="93"/>
      <c r="G109" s="93"/>
      <c r="H109" s="93"/>
      <c r="I109" s="93"/>
      <c r="J109" s="93"/>
      <c r="K109" s="93"/>
      <c r="L109" s="93"/>
      <c r="M109" s="93"/>
      <c r="N109" s="93"/>
      <c r="O109" s="93"/>
      <c r="P109" s="93"/>
      <c r="Q109" s="93"/>
      <c r="R109" s="93"/>
      <c r="S109" s="93"/>
      <c r="T109" s="93"/>
      <c r="U109" s="93"/>
      <c r="V109" s="93"/>
      <c r="W109" s="93"/>
      <c r="X109" s="93"/>
      <c r="Y109" s="93"/>
    </row>
    <row r="110">
      <c r="A110" s="1"/>
      <c r="B110" s="44"/>
      <c r="D110" s="44"/>
      <c r="E110" s="93"/>
      <c r="F110" s="93"/>
      <c r="G110" s="93"/>
      <c r="H110" s="93"/>
      <c r="I110" s="93"/>
      <c r="J110" s="93"/>
      <c r="K110" s="93"/>
      <c r="L110" s="93"/>
      <c r="M110" s="93"/>
      <c r="N110" s="93"/>
      <c r="O110" s="93"/>
      <c r="P110" s="93"/>
      <c r="Q110" s="93"/>
      <c r="R110" s="93"/>
      <c r="S110" s="93"/>
      <c r="T110" s="93"/>
      <c r="U110" s="93"/>
      <c r="V110" s="93"/>
      <c r="W110" s="93"/>
      <c r="X110" s="93"/>
      <c r="Y110" s="93"/>
    </row>
    <row r="111">
      <c r="A111" s="1"/>
      <c r="B111" s="44"/>
      <c r="D111" s="44"/>
      <c r="E111" s="93"/>
      <c r="F111" s="93"/>
      <c r="G111" s="93"/>
      <c r="H111" s="93"/>
      <c r="I111" s="93"/>
      <c r="J111" s="93"/>
      <c r="K111" s="93"/>
      <c r="L111" s="93"/>
      <c r="M111" s="93"/>
      <c r="N111" s="93"/>
      <c r="O111" s="93"/>
      <c r="P111" s="93"/>
      <c r="Q111" s="93"/>
      <c r="R111" s="93"/>
      <c r="S111" s="93"/>
      <c r="T111" s="93"/>
      <c r="U111" s="93"/>
      <c r="V111" s="93"/>
      <c r="W111" s="93"/>
      <c r="X111" s="93"/>
      <c r="Y111" s="93"/>
    </row>
    <row r="112">
      <c r="A112" s="1"/>
      <c r="B112" s="44"/>
      <c r="D112" s="44"/>
      <c r="E112" s="93"/>
      <c r="F112" s="93"/>
      <c r="G112" s="93"/>
      <c r="H112" s="93"/>
      <c r="I112" s="93"/>
      <c r="J112" s="93"/>
      <c r="K112" s="93"/>
      <c r="L112" s="93"/>
      <c r="M112" s="93"/>
      <c r="N112" s="93"/>
      <c r="O112" s="93"/>
      <c r="P112" s="93"/>
      <c r="Q112" s="93"/>
      <c r="R112" s="93"/>
      <c r="S112" s="93"/>
      <c r="T112" s="93"/>
      <c r="U112" s="93"/>
      <c r="V112" s="93"/>
      <c r="W112" s="93"/>
      <c r="X112" s="93"/>
      <c r="Y112" s="93"/>
    </row>
    <row r="113">
      <c r="A113" s="1"/>
      <c r="B113" s="44"/>
      <c r="D113" s="44"/>
      <c r="E113" s="93"/>
      <c r="F113" s="93"/>
      <c r="G113" s="93"/>
      <c r="H113" s="93"/>
      <c r="I113" s="93"/>
      <c r="J113" s="93"/>
      <c r="K113" s="93"/>
      <c r="L113" s="93"/>
      <c r="M113" s="93"/>
      <c r="N113" s="93"/>
      <c r="O113" s="93"/>
      <c r="P113" s="93"/>
      <c r="Q113" s="93"/>
      <c r="R113" s="93"/>
      <c r="S113" s="93"/>
      <c r="T113" s="93"/>
      <c r="U113" s="93"/>
      <c r="V113" s="93"/>
      <c r="W113" s="93"/>
      <c r="X113" s="93"/>
      <c r="Y113" s="93"/>
    </row>
    <row r="114">
      <c r="A114" s="1"/>
      <c r="B114" s="44"/>
      <c r="D114" s="44"/>
      <c r="E114" s="93"/>
      <c r="F114" s="93"/>
      <c r="G114" s="93"/>
      <c r="H114" s="93"/>
      <c r="I114" s="93"/>
      <c r="J114" s="93"/>
      <c r="K114" s="93"/>
      <c r="L114" s="93"/>
      <c r="M114" s="93"/>
      <c r="N114" s="93"/>
      <c r="O114" s="93"/>
      <c r="P114" s="93"/>
      <c r="Q114" s="93"/>
      <c r="R114" s="93"/>
      <c r="S114" s="93"/>
      <c r="T114" s="93"/>
      <c r="U114" s="93"/>
      <c r="V114" s="93"/>
      <c r="W114" s="93"/>
      <c r="X114" s="93"/>
      <c r="Y114" s="93"/>
    </row>
    <row r="115">
      <c r="A115" s="1"/>
      <c r="B115" s="44"/>
      <c r="D115" s="44"/>
      <c r="E115" s="93"/>
      <c r="F115" s="93"/>
      <c r="G115" s="93"/>
      <c r="H115" s="93"/>
      <c r="I115" s="93"/>
      <c r="J115" s="93"/>
      <c r="K115" s="93"/>
      <c r="L115" s="93"/>
      <c r="M115" s="93"/>
      <c r="N115" s="93"/>
      <c r="O115" s="93"/>
      <c r="P115" s="93"/>
      <c r="Q115" s="93"/>
      <c r="R115" s="93"/>
      <c r="S115" s="93"/>
      <c r="T115" s="93"/>
      <c r="U115" s="93"/>
      <c r="V115" s="93"/>
      <c r="W115" s="93"/>
      <c r="X115" s="93"/>
      <c r="Y115" s="93"/>
    </row>
    <row r="116">
      <c r="A116" s="1"/>
      <c r="B116" s="44"/>
      <c r="D116" s="44"/>
      <c r="E116" s="93"/>
      <c r="F116" s="93"/>
      <c r="G116" s="93"/>
      <c r="H116" s="93"/>
      <c r="I116" s="93"/>
      <c r="J116" s="93"/>
      <c r="K116" s="93"/>
      <c r="L116" s="93"/>
      <c r="M116" s="93"/>
      <c r="N116" s="93"/>
      <c r="O116" s="93"/>
      <c r="P116" s="93"/>
      <c r="Q116" s="93"/>
      <c r="R116" s="93"/>
      <c r="S116" s="93"/>
      <c r="T116" s="93"/>
      <c r="U116" s="93"/>
      <c r="V116" s="93"/>
      <c r="W116" s="93"/>
      <c r="X116" s="93"/>
      <c r="Y116" s="93"/>
    </row>
    <row r="117">
      <c r="A117" s="1"/>
      <c r="B117" s="44"/>
      <c r="D117" s="44"/>
      <c r="E117" s="93"/>
      <c r="F117" s="93"/>
      <c r="G117" s="93"/>
      <c r="H117" s="93"/>
      <c r="I117" s="93"/>
      <c r="J117" s="93"/>
      <c r="K117" s="93"/>
      <c r="L117" s="93"/>
      <c r="M117" s="93"/>
      <c r="N117" s="93"/>
      <c r="O117" s="93"/>
      <c r="P117" s="93"/>
      <c r="Q117" s="93"/>
      <c r="R117" s="93"/>
      <c r="S117" s="93"/>
      <c r="T117" s="93"/>
      <c r="U117" s="93"/>
      <c r="V117" s="93"/>
      <c r="W117" s="93"/>
      <c r="X117" s="93"/>
      <c r="Y117" s="93"/>
    </row>
    <row r="118">
      <c r="A118" s="1"/>
      <c r="B118" s="44"/>
      <c r="D118" s="44"/>
      <c r="E118" s="93"/>
      <c r="F118" s="93"/>
      <c r="G118" s="93"/>
      <c r="H118" s="93"/>
      <c r="I118" s="93"/>
      <c r="J118" s="93"/>
      <c r="K118" s="93"/>
      <c r="L118" s="93"/>
      <c r="M118" s="93"/>
      <c r="N118" s="93"/>
      <c r="O118" s="93"/>
      <c r="P118" s="93"/>
      <c r="Q118" s="93"/>
      <c r="R118" s="93"/>
      <c r="S118" s="93"/>
      <c r="T118" s="93"/>
      <c r="U118" s="93"/>
      <c r="V118" s="93"/>
      <c r="W118" s="93"/>
      <c r="X118" s="93"/>
      <c r="Y118" s="93"/>
    </row>
    <row r="119">
      <c r="A119" s="1"/>
      <c r="B119" s="44"/>
      <c r="D119" s="44"/>
      <c r="E119" s="93"/>
      <c r="F119" s="93"/>
      <c r="G119" s="93"/>
      <c r="H119" s="93"/>
      <c r="I119" s="93"/>
      <c r="J119" s="93"/>
      <c r="K119" s="93"/>
      <c r="L119" s="93"/>
      <c r="M119" s="93"/>
      <c r="N119" s="93"/>
      <c r="O119" s="93"/>
      <c r="P119" s="93"/>
      <c r="Q119" s="93"/>
      <c r="R119" s="93"/>
      <c r="S119" s="93"/>
      <c r="T119" s="93"/>
      <c r="U119" s="93"/>
      <c r="V119" s="93"/>
      <c r="W119" s="93"/>
      <c r="X119" s="93"/>
      <c r="Y119" s="93"/>
    </row>
    <row r="120">
      <c r="A120" s="1"/>
      <c r="B120" s="44"/>
      <c r="D120" s="44"/>
      <c r="E120" s="93"/>
      <c r="F120" s="93"/>
      <c r="G120" s="93"/>
      <c r="H120" s="93"/>
      <c r="I120" s="93"/>
      <c r="J120" s="93"/>
      <c r="K120" s="93"/>
      <c r="L120" s="93"/>
      <c r="M120" s="93"/>
      <c r="N120" s="93"/>
      <c r="O120" s="93"/>
      <c r="P120" s="93"/>
      <c r="Q120" s="93"/>
      <c r="R120" s="93"/>
      <c r="S120" s="93"/>
      <c r="T120" s="93"/>
      <c r="U120" s="93"/>
      <c r="V120" s="93"/>
      <c r="W120" s="93"/>
      <c r="X120" s="93"/>
      <c r="Y120" s="93"/>
    </row>
    <row r="121">
      <c r="A121" s="1"/>
      <c r="B121" s="44"/>
      <c r="D121" s="44"/>
      <c r="E121" s="93"/>
      <c r="F121" s="93"/>
      <c r="G121" s="93"/>
      <c r="H121" s="93"/>
      <c r="I121" s="93"/>
      <c r="J121" s="93"/>
      <c r="K121" s="93"/>
      <c r="L121" s="93"/>
      <c r="M121" s="93"/>
      <c r="N121" s="93"/>
      <c r="O121" s="93"/>
      <c r="P121" s="93"/>
      <c r="Q121" s="93"/>
      <c r="R121" s="93"/>
      <c r="S121" s="93"/>
      <c r="T121" s="93"/>
      <c r="U121" s="93"/>
      <c r="V121" s="93"/>
      <c r="W121" s="93"/>
      <c r="X121" s="93"/>
      <c r="Y121" s="93"/>
    </row>
    <row r="122">
      <c r="A122" s="1"/>
      <c r="B122" s="44"/>
      <c r="D122" s="44"/>
      <c r="E122" s="93"/>
      <c r="F122" s="93"/>
      <c r="G122" s="93"/>
      <c r="H122" s="93"/>
      <c r="I122" s="93"/>
      <c r="J122" s="93"/>
      <c r="K122" s="93"/>
      <c r="L122" s="93"/>
      <c r="M122" s="93"/>
      <c r="N122" s="93"/>
      <c r="O122" s="93"/>
      <c r="P122" s="93"/>
      <c r="Q122" s="93"/>
      <c r="R122" s="93"/>
      <c r="S122" s="93"/>
      <c r="T122" s="93"/>
      <c r="U122" s="93"/>
      <c r="V122" s="93"/>
      <c r="W122" s="93"/>
      <c r="X122" s="93"/>
      <c r="Y122" s="93"/>
    </row>
    <row r="123">
      <c r="A123" s="1"/>
      <c r="B123" s="44"/>
      <c r="D123" s="44"/>
      <c r="E123" s="93"/>
      <c r="F123" s="93"/>
      <c r="G123" s="93"/>
      <c r="H123" s="93"/>
      <c r="I123" s="93"/>
      <c r="J123" s="93"/>
      <c r="K123" s="93"/>
      <c r="L123" s="93"/>
      <c r="M123" s="93"/>
      <c r="N123" s="93"/>
      <c r="O123" s="93"/>
      <c r="P123" s="93"/>
      <c r="Q123" s="93"/>
      <c r="R123" s="93"/>
      <c r="S123" s="93"/>
      <c r="T123" s="93"/>
      <c r="U123" s="93"/>
      <c r="V123" s="93"/>
      <c r="W123" s="93"/>
      <c r="X123" s="93"/>
      <c r="Y123" s="93"/>
    </row>
    <row r="124">
      <c r="A124" s="1"/>
      <c r="B124" s="44"/>
      <c r="D124" s="44"/>
      <c r="E124" s="93"/>
      <c r="F124" s="93"/>
      <c r="G124" s="93"/>
      <c r="H124" s="93"/>
      <c r="I124" s="93"/>
      <c r="J124" s="93"/>
      <c r="K124" s="93"/>
      <c r="L124" s="93"/>
      <c r="M124" s="93"/>
      <c r="N124" s="93"/>
      <c r="O124" s="93"/>
      <c r="P124" s="93"/>
      <c r="Q124" s="93"/>
      <c r="R124" s="93"/>
      <c r="S124" s="93"/>
      <c r="T124" s="93"/>
      <c r="U124" s="93"/>
      <c r="V124" s="93"/>
      <c r="W124" s="93"/>
      <c r="X124" s="93"/>
      <c r="Y124" s="93"/>
    </row>
    <row r="125">
      <c r="A125" s="1"/>
      <c r="B125" s="44"/>
      <c r="D125" s="44"/>
      <c r="E125" s="93"/>
      <c r="F125" s="93"/>
      <c r="G125" s="93"/>
      <c r="H125" s="93"/>
      <c r="I125" s="93"/>
      <c r="J125" s="93"/>
      <c r="K125" s="93"/>
      <c r="L125" s="93"/>
      <c r="M125" s="93"/>
      <c r="N125" s="93"/>
      <c r="O125" s="93"/>
      <c r="P125" s="93"/>
      <c r="Q125" s="93"/>
      <c r="R125" s="93"/>
      <c r="S125" s="93"/>
      <c r="T125" s="93"/>
      <c r="U125" s="93"/>
      <c r="V125" s="93"/>
      <c r="W125" s="93"/>
      <c r="X125" s="93"/>
      <c r="Y125" s="93"/>
    </row>
    <row r="126">
      <c r="A126" s="1"/>
      <c r="B126" s="44"/>
      <c r="D126" s="44"/>
      <c r="E126" s="93"/>
      <c r="F126" s="93"/>
      <c r="G126" s="93"/>
      <c r="H126" s="93"/>
      <c r="I126" s="93"/>
      <c r="J126" s="93"/>
      <c r="K126" s="93"/>
      <c r="L126" s="93"/>
      <c r="M126" s="93"/>
      <c r="N126" s="93"/>
      <c r="O126" s="93"/>
      <c r="P126" s="93"/>
      <c r="Q126" s="93"/>
      <c r="R126" s="93"/>
      <c r="S126" s="93"/>
      <c r="T126" s="93"/>
      <c r="U126" s="93"/>
      <c r="V126" s="93"/>
      <c r="W126" s="93"/>
      <c r="X126" s="93"/>
      <c r="Y126" s="93"/>
    </row>
    <row r="127">
      <c r="A127" s="1"/>
      <c r="B127" s="44"/>
      <c r="D127" s="44"/>
      <c r="E127" s="93"/>
      <c r="F127" s="93"/>
      <c r="G127" s="93"/>
      <c r="H127" s="93"/>
      <c r="I127" s="93"/>
      <c r="J127" s="93"/>
      <c r="K127" s="93"/>
      <c r="L127" s="93"/>
      <c r="M127" s="93"/>
      <c r="N127" s="93"/>
      <c r="O127" s="93"/>
      <c r="P127" s="93"/>
      <c r="Q127" s="93"/>
      <c r="R127" s="93"/>
      <c r="S127" s="93"/>
      <c r="T127" s="93"/>
      <c r="U127" s="93"/>
      <c r="V127" s="93"/>
      <c r="W127" s="93"/>
      <c r="X127" s="93"/>
      <c r="Y127" s="93"/>
    </row>
    <row r="128">
      <c r="A128" s="1"/>
      <c r="B128" s="44"/>
      <c r="D128" s="44"/>
      <c r="E128" s="93"/>
      <c r="F128" s="93"/>
      <c r="G128" s="93"/>
      <c r="H128" s="93"/>
      <c r="I128" s="93"/>
      <c r="J128" s="93"/>
      <c r="K128" s="93"/>
      <c r="L128" s="93"/>
      <c r="M128" s="93"/>
      <c r="N128" s="93"/>
      <c r="O128" s="93"/>
      <c r="P128" s="93"/>
      <c r="Q128" s="93"/>
      <c r="R128" s="93"/>
      <c r="S128" s="93"/>
      <c r="T128" s="93"/>
      <c r="U128" s="93"/>
      <c r="V128" s="93"/>
      <c r="W128" s="93"/>
      <c r="X128" s="93"/>
      <c r="Y128" s="93"/>
    </row>
    <row r="129">
      <c r="A129" s="1"/>
      <c r="B129" s="44"/>
      <c r="D129" s="44"/>
      <c r="E129" s="93"/>
      <c r="F129" s="93"/>
      <c r="G129" s="93"/>
      <c r="H129" s="93"/>
      <c r="I129" s="93"/>
      <c r="J129" s="93"/>
      <c r="K129" s="93"/>
      <c r="L129" s="93"/>
      <c r="M129" s="93"/>
      <c r="N129" s="93"/>
      <c r="O129" s="93"/>
      <c r="P129" s="93"/>
      <c r="Q129" s="93"/>
      <c r="R129" s="93"/>
      <c r="S129" s="93"/>
      <c r="T129" s="93"/>
      <c r="U129" s="93"/>
      <c r="V129" s="93"/>
      <c r="W129" s="93"/>
      <c r="X129" s="93"/>
      <c r="Y129" s="93"/>
    </row>
    <row r="130">
      <c r="A130" s="1"/>
      <c r="B130" s="44"/>
      <c r="D130" s="44"/>
      <c r="E130" s="93"/>
      <c r="F130" s="93"/>
      <c r="G130" s="93"/>
      <c r="H130" s="93"/>
      <c r="I130" s="93"/>
      <c r="J130" s="93"/>
      <c r="K130" s="93"/>
      <c r="L130" s="93"/>
      <c r="M130" s="93"/>
      <c r="N130" s="93"/>
      <c r="O130" s="93"/>
      <c r="P130" s="93"/>
      <c r="Q130" s="93"/>
      <c r="R130" s="93"/>
      <c r="S130" s="93"/>
      <c r="T130" s="93"/>
      <c r="U130" s="93"/>
      <c r="V130" s="93"/>
      <c r="W130" s="93"/>
      <c r="X130" s="93"/>
      <c r="Y130" s="93"/>
    </row>
    <row r="131">
      <c r="A131" s="1"/>
      <c r="B131" s="44"/>
      <c r="D131" s="44"/>
      <c r="E131" s="93"/>
      <c r="F131" s="93"/>
      <c r="G131" s="93"/>
      <c r="H131" s="93"/>
      <c r="I131" s="93"/>
      <c r="J131" s="93"/>
      <c r="K131" s="93"/>
      <c r="L131" s="93"/>
      <c r="M131" s="93"/>
      <c r="N131" s="93"/>
      <c r="O131" s="93"/>
      <c r="P131" s="93"/>
      <c r="Q131" s="93"/>
      <c r="R131" s="93"/>
      <c r="S131" s="93"/>
      <c r="T131" s="93"/>
      <c r="U131" s="93"/>
      <c r="V131" s="93"/>
      <c r="W131" s="93"/>
      <c r="X131" s="93"/>
      <c r="Y131" s="93"/>
    </row>
    <row r="132">
      <c r="A132" s="1"/>
      <c r="B132" s="44"/>
      <c r="D132" s="44"/>
      <c r="E132" s="93"/>
      <c r="F132" s="93"/>
      <c r="G132" s="93"/>
      <c r="H132" s="93"/>
      <c r="I132" s="93"/>
      <c r="J132" s="93"/>
      <c r="K132" s="93"/>
      <c r="L132" s="93"/>
      <c r="M132" s="93"/>
      <c r="N132" s="93"/>
      <c r="O132" s="93"/>
      <c r="P132" s="93"/>
      <c r="Q132" s="93"/>
      <c r="R132" s="93"/>
      <c r="S132" s="93"/>
      <c r="T132" s="93"/>
      <c r="U132" s="93"/>
      <c r="V132" s="93"/>
      <c r="W132" s="93"/>
      <c r="X132" s="93"/>
      <c r="Y132" s="93"/>
    </row>
    <row r="133">
      <c r="A133" s="1"/>
      <c r="B133" s="44"/>
      <c r="D133" s="44"/>
      <c r="E133" s="93"/>
      <c r="F133" s="93"/>
      <c r="G133" s="93"/>
      <c r="H133" s="93"/>
      <c r="I133" s="93"/>
      <c r="J133" s="93"/>
      <c r="K133" s="93"/>
      <c r="L133" s="93"/>
      <c r="M133" s="93"/>
      <c r="N133" s="93"/>
      <c r="O133" s="93"/>
      <c r="P133" s="93"/>
      <c r="Q133" s="93"/>
      <c r="R133" s="93"/>
      <c r="S133" s="93"/>
      <c r="T133" s="93"/>
      <c r="U133" s="93"/>
      <c r="V133" s="93"/>
      <c r="W133" s="93"/>
      <c r="X133" s="93"/>
      <c r="Y133" s="93"/>
    </row>
    <row r="134">
      <c r="A134" s="1"/>
      <c r="B134" s="44"/>
      <c r="D134" s="44"/>
      <c r="E134" s="93"/>
      <c r="F134" s="93"/>
      <c r="G134" s="93"/>
      <c r="H134" s="93"/>
      <c r="I134" s="93"/>
      <c r="J134" s="93"/>
      <c r="K134" s="93"/>
      <c r="L134" s="93"/>
      <c r="M134" s="93"/>
      <c r="N134" s="93"/>
      <c r="O134" s="93"/>
      <c r="P134" s="93"/>
      <c r="Q134" s="93"/>
      <c r="R134" s="93"/>
      <c r="S134" s="93"/>
      <c r="T134" s="93"/>
      <c r="U134" s="93"/>
      <c r="V134" s="93"/>
      <c r="W134" s="93"/>
      <c r="X134" s="93"/>
      <c r="Y134" s="93"/>
    </row>
    <row r="135">
      <c r="A135" s="1"/>
      <c r="B135" s="44"/>
      <c r="D135" s="44"/>
      <c r="E135" s="93"/>
      <c r="F135" s="93"/>
      <c r="G135" s="93"/>
      <c r="H135" s="93"/>
      <c r="I135" s="93"/>
      <c r="J135" s="93"/>
      <c r="K135" s="93"/>
      <c r="L135" s="93"/>
      <c r="M135" s="93"/>
      <c r="N135" s="93"/>
      <c r="O135" s="93"/>
      <c r="P135" s="93"/>
      <c r="Q135" s="93"/>
      <c r="R135" s="93"/>
      <c r="S135" s="93"/>
      <c r="T135" s="93"/>
      <c r="U135" s="93"/>
      <c r="V135" s="93"/>
      <c r="W135" s="93"/>
      <c r="X135" s="93"/>
      <c r="Y135" s="93"/>
    </row>
    <row r="136">
      <c r="A136" s="1"/>
      <c r="B136" s="44"/>
      <c r="D136" s="44"/>
      <c r="E136" s="93"/>
      <c r="F136" s="93"/>
      <c r="G136" s="93"/>
      <c r="H136" s="93"/>
      <c r="I136" s="93"/>
      <c r="J136" s="93"/>
      <c r="K136" s="93"/>
      <c r="L136" s="93"/>
      <c r="M136" s="93"/>
      <c r="N136" s="93"/>
      <c r="O136" s="93"/>
      <c r="P136" s="93"/>
      <c r="Q136" s="93"/>
      <c r="R136" s="93"/>
      <c r="S136" s="93"/>
      <c r="T136" s="93"/>
      <c r="U136" s="93"/>
      <c r="V136" s="93"/>
      <c r="W136" s="93"/>
      <c r="X136" s="93"/>
      <c r="Y136" s="93"/>
    </row>
    <row r="137">
      <c r="A137" s="1"/>
      <c r="B137" s="44"/>
      <c r="D137" s="44"/>
      <c r="E137" s="93"/>
      <c r="F137" s="93"/>
      <c r="G137" s="93"/>
      <c r="H137" s="93"/>
      <c r="I137" s="93"/>
      <c r="J137" s="93"/>
      <c r="K137" s="93"/>
      <c r="L137" s="93"/>
      <c r="M137" s="93"/>
      <c r="N137" s="93"/>
      <c r="O137" s="93"/>
      <c r="P137" s="93"/>
      <c r="Q137" s="93"/>
      <c r="R137" s="93"/>
      <c r="S137" s="93"/>
      <c r="T137" s="93"/>
      <c r="U137" s="93"/>
      <c r="V137" s="93"/>
      <c r="W137" s="93"/>
      <c r="X137" s="93"/>
      <c r="Y137" s="93"/>
    </row>
    <row r="138">
      <c r="A138" s="1"/>
      <c r="B138" s="44"/>
      <c r="D138" s="44"/>
      <c r="E138" s="93"/>
      <c r="F138" s="93"/>
      <c r="G138" s="93"/>
      <c r="H138" s="93"/>
      <c r="I138" s="93"/>
      <c r="J138" s="93"/>
      <c r="K138" s="93"/>
      <c r="L138" s="93"/>
      <c r="M138" s="93"/>
      <c r="N138" s="93"/>
      <c r="O138" s="93"/>
      <c r="P138" s="93"/>
      <c r="Q138" s="93"/>
      <c r="R138" s="93"/>
      <c r="S138" s="93"/>
      <c r="T138" s="93"/>
      <c r="U138" s="93"/>
      <c r="V138" s="93"/>
      <c r="W138" s="93"/>
      <c r="X138" s="93"/>
      <c r="Y138" s="93"/>
    </row>
    <row r="139">
      <c r="A139" s="1"/>
      <c r="B139" s="44"/>
      <c r="D139" s="44"/>
      <c r="E139" s="93"/>
      <c r="F139" s="93"/>
      <c r="G139" s="93"/>
      <c r="H139" s="93"/>
      <c r="I139" s="93"/>
      <c r="J139" s="93"/>
      <c r="K139" s="93"/>
      <c r="L139" s="93"/>
      <c r="M139" s="93"/>
      <c r="N139" s="93"/>
      <c r="O139" s="93"/>
      <c r="P139" s="93"/>
      <c r="Q139" s="93"/>
      <c r="R139" s="93"/>
      <c r="S139" s="93"/>
      <c r="T139" s="93"/>
      <c r="U139" s="93"/>
      <c r="V139" s="93"/>
      <c r="W139" s="93"/>
      <c r="X139" s="93"/>
      <c r="Y139" s="93"/>
    </row>
    <row r="140">
      <c r="A140" s="1"/>
      <c r="B140" s="44"/>
      <c r="D140" s="44"/>
      <c r="E140" s="93"/>
      <c r="F140" s="93"/>
      <c r="G140" s="93"/>
      <c r="H140" s="93"/>
      <c r="I140" s="93"/>
      <c r="J140" s="93"/>
      <c r="K140" s="93"/>
      <c r="L140" s="93"/>
      <c r="M140" s="93"/>
      <c r="N140" s="93"/>
      <c r="O140" s="93"/>
      <c r="P140" s="93"/>
      <c r="Q140" s="93"/>
      <c r="R140" s="93"/>
      <c r="S140" s="93"/>
      <c r="T140" s="93"/>
      <c r="U140" s="93"/>
      <c r="V140" s="93"/>
      <c r="W140" s="93"/>
      <c r="X140" s="93"/>
      <c r="Y140" s="93"/>
    </row>
    <row r="141">
      <c r="A141" s="1"/>
      <c r="B141" s="44"/>
      <c r="D141" s="44"/>
      <c r="E141" s="93"/>
      <c r="F141" s="93"/>
      <c r="G141" s="93"/>
      <c r="H141" s="93"/>
      <c r="I141" s="93"/>
      <c r="J141" s="93"/>
      <c r="K141" s="93"/>
      <c r="L141" s="93"/>
      <c r="M141" s="93"/>
      <c r="N141" s="93"/>
      <c r="O141" s="93"/>
      <c r="P141" s="93"/>
      <c r="Q141" s="93"/>
      <c r="R141" s="93"/>
      <c r="S141" s="93"/>
      <c r="T141" s="93"/>
      <c r="U141" s="93"/>
      <c r="V141" s="93"/>
      <c r="W141" s="93"/>
      <c r="X141" s="93"/>
      <c r="Y141" s="93"/>
    </row>
    <row r="142">
      <c r="A142" s="1"/>
      <c r="B142" s="44"/>
      <c r="D142" s="44"/>
      <c r="E142" s="93"/>
      <c r="F142" s="93"/>
      <c r="G142" s="93"/>
      <c r="H142" s="93"/>
      <c r="I142" s="93"/>
      <c r="J142" s="93"/>
      <c r="K142" s="93"/>
      <c r="L142" s="93"/>
      <c r="M142" s="93"/>
      <c r="N142" s="93"/>
      <c r="O142" s="93"/>
      <c r="P142" s="93"/>
      <c r="Q142" s="93"/>
      <c r="R142" s="93"/>
      <c r="S142" s="93"/>
      <c r="T142" s="93"/>
      <c r="U142" s="93"/>
      <c r="V142" s="93"/>
      <c r="W142" s="93"/>
      <c r="X142" s="93"/>
      <c r="Y142" s="93"/>
    </row>
    <row r="143">
      <c r="A143" s="1"/>
      <c r="B143" s="44"/>
      <c r="D143" s="44"/>
      <c r="E143" s="93"/>
      <c r="F143" s="93"/>
      <c r="G143" s="93"/>
      <c r="H143" s="93"/>
      <c r="I143" s="93"/>
      <c r="J143" s="93"/>
      <c r="K143" s="93"/>
      <c r="L143" s="93"/>
      <c r="M143" s="93"/>
      <c r="N143" s="93"/>
      <c r="O143" s="93"/>
      <c r="P143" s="93"/>
      <c r="Q143" s="93"/>
      <c r="R143" s="93"/>
      <c r="S143" s="93"/>
      <c r="T143" s="93"/>
      <c r="U143" s="93"/>
      <c r="V143" s="93"/>
      <c r="W143" s="93"/>
      <c r="X143" s="93"/>
      <c r="Y143" s="93"/>
    </row>
    <row r="144">
      <c r="A144" s="1"/>
      <c r="B144" s="44"/>
      <c r="D144" s="44"/>
      <c r="E144" s="93"/>
      <c r="F144" s="93"/>
      <c r="G144" s="93"/>
      <c r="H144" s="93"/>
      <c r="I144" s="93"/>
      <c r="J144" s="93"/>
      <c r="K144" s="93"/>
      <c r="L144" s="93"/>
      <c r="M144" s="93"/>
      <c r="N144" s="93"/>
      <c r="O144" s="93"/>
      <c r="P144" s="93"/>
      <c r="Q144" s="93"/>
      <c r="R144" s="93"/>
      <c r="S144" s="93"/>
      <c r="T144" s="93"/>
      <c r="U144" s="93"/>
      <c r="V144" s="93"/>
      <c r="W144" s="93"/>
      <c r="X144" s="93"/>
      <c r="Y144" s="93"/>
    </row>
    <row r="145">
      <c r="A145" s="1"/>
      <c r="B145" s="44"/>
      <c r="D145" s="44"/>
      <c r="E145" s="93"/>
      <c r="F145" s="93"/>
      <c r="G145" s="93"/>
      <c r="H145" s="93"/>
      <c r="I145" s="93"/>
      <c r="J145" s="93"/>
      <c r="K145" s="93"/>
      <c r="L145" s="93"/>
      <c r="M145" s="93"/>
      <c r="N145" s="93"/>
      <c r="O145" s="93"/>
      <c r="P145" s="93"/>
      <c r="Q145" s="93"/>
      <c r="R145" s="93"/>
      <c r="S145" s="93"/>
      <c r="T145" s="93"/>
      <c r="U145" s="93"/>
      <c r="V145" s="93"/>
      <c r="W145" s="93"/>
      <c r="X145" s="93"/>
      <c r="Y145" s="93"/>
    </row>
    <row r="146">
      <c r="A146" s="1"/>
      <c r="B146" s="44"/>
      <c r="D146" s="44"/>
      <c r="E146" s="93"/>
      <c r="F146" s="93"/>
      <c r="G146" s="93"/>
      <c r="H146" s="93"/>
      <c r="I146" s="93"/>
      <c r="J146" s="93"/>
      <c r="K146" s="93"/>
      <c r="L146" s="93"/>
      <c r="M146" s="93"/>
      <c r="N146" s="93"/>
      <c r="O146" s="93"/>
      <c r="P146" s="93"/>
      <c r="Q146" s="93"/>
      <c r="R146" s="93"/>
      <c r="S146" s="93"/>
      <c r="T146" s="93"/>
      <c r="U146" s="93"/>
      <c r="V146" s="93"/>
      <c r="W146" s="93"/>
      <c r="X146" s="93"/>
      <c r="Y146" s="93"/>
    </row>
    <row r="147">
      <c r="A147" s="1"/>
      <c r="B147" s="44"/>
      <c r="D147" s="44"/>
      <c r="E147" s="93"/>
      <c r="F147" s="93"/>
      <c r="G147" s="93"/>
      <c r="H147" s="93"/>
      <c r="I147" s="93"/>
      <c r="J147" s="93"/>
      <c r="K147" s="93"/>
      <c r="L147" s="93"/>
      <c r="M147" s="93"/>
      <c r="N147" s="93"/>
      <c r="O147" s="93"/>
      <c r="P147" s="93"/>
      <c r="Q147" s="93"/>
      <c r="R147" s="93"/>
      <c r="S147" s="93"/>
      <c r="T147" s="93"/>
      <c r="U147" s="93"/>
      <c r="V147" s="93"/>
      <c r="W147" s="93"/>
      <c r="X147" s="93"/>
      <c r="Y147" s="93"/>
    </row>
    <row r="148">
      <c r="A148" s="1"/>
      <c r="B148" s="44"/>
      <c r="D148" s="44"/>
      <c r="E148" s="93"/>
      <c r="F148" s="93"/>
      <c r="G148" s="93"/>
      <c r="H148" s="93"/>
      <c r="I148" s="93"/>
      <c r="J148" s="93"/>
      <c r="K148" s="93"/>
      <c r="L148" s="93"/>
      <c r="M148" s="93"/>
      <c r="N148" s="93"/>
      <c r="O148" s="93"/>
      <c r="P148" s="93"/>
      <c r="Q148" s="93"/>
      <c r="R148" s="93"/>
      <c r="S148" s="93"/>
      <c r="T148" s="93"/>
      <c r="U148" s="93"/>
      <c r="V148" s="93"/>
      <c r="W148" s="93"/>
      <c r="X148" s="93"/>
      <c r="Y148" s="93"/>
    </row>
    <row r="149">
      <c r="A149" s="1"/>
      <c r="B149" s="44"/>
      <c r="D149" s="44"/>
      <c r="E149" s="93"/>
      <c r="F149" s="93"/>
      <c r="G149" s="93"/>
      <c r="H149" s="93"/>
      <c r="I149" s="93"/>
      <c r="J149" s="93"/>
      <c r="K149" s="93"/>
      <c r="L149" s="93"/>
      <c r="M149" s="93"/>
      <c r="N149" s="93"/>
      <c r="O149" s="93"/>
      <c r="P149" s="93"/>
      <c r="Q149" s="93"/>
      <c r="R149" s="93"/>
      <c r="S149" s="93"/>
      <c r="T149" s="93"/>
      <c r="U149" s="93"/>
      <c r="V149" s="93"/>
      <c r="W149" s="93"/>
      <c r="X149" s="93"/>
      <c r="Y149" s="93"/>
    </row>
    <row r="150">
      <c r="A150" s="1"/>
      <c r="B150" s="44"/>
      <c r="D150" s="44"/>
      <c r="E150" s="93"/>
      <c r="F150" s="93"/>
      <c r="G150" s="93"/>
      <c r="H150" s="93"/>
      <c r="I150" s="93"/>
      <c r="J150" s="93"/>
      <c r="K150" s="93"/>
      <c r="L150" s="93"/>
      <c r="M150" s="93"/>
      <c r="N150" s="93"/>
      <c r="O150" s="93"/>
      <c r="P150" s="93"/>
      <c r="Q150" s="93"/>
      <c r="R150" s="93"/>
      <c r="S150" s="93"/>
      <c r="T150" s="93"/>
      <c r="U150" s="93"/>
      <c r="V150" s="93"/>
      <c r="W150" s="93"/>
      <c r="X150" s="93"/>
      <c r="Y150" s="93"/>
    </row>
    <row r="151">
      <c r="A151" s="1"/>
      <c r="B151" s="44"/>
      <c r="D151" s="44"/>
      <c r="E151" s="93"/>
      <c r="F151" s="93"/>
      <c r="G151" s="93"/>
      <c r="H151" s="93"/>
      <c r="I151" s="93"/>
      <c r="J151" s="93"/>
      <c r="K151" s="93"/>
      <c r="L151" s="93"/>
      <c r="M151" s="93"/>
      <c r="N151" s="93"/>
      <c r="O151" s="93"/>
      <c r="P151" s="93"/>
      <c r="Q151" s="93"/>
      <c r="R151" s="93"/>
      <c r="S151" s="93"/>
      <c r="T151" s="93"/>
      <c r="U151" s="93"/>
      <c r="V151" s="93"/>
      <c r="W151" s="93"/>
      <c r="X151" s="93"/>
      <c r="Y151" s="93"/>
    </row>
    <row r="152">
      <c r="A152" s="1"/>
      <c r="B152" s="44"/>
      <c r="D152" s="44"/>
      <c r="E152" s="93"/>
      <c r="F152" s="93"/>
      <c r="G152" s="93"/>
      <c r="H152" s="93"/>
      <c r="I152" s="93"/>
      <c r="J152" s="93"/>
      <c r="K152" s="93"/>
      <c r="L152" s="93"/>
      <c r="M152" s="93"/>
      <c r="N152" s="93"/>
      <c r="O152" s="93"/>
      <c r="P152" s="93"/>
      <c r="Q152" s="93"/>
      <c r="R152" s="93"/>
      <c r="S152" s="93"/>
      <c r="T152" s="93"/>
      <c r="U152" s="93"/>
      <c r="V152" s="93"/>
      <c r="W152" s="93"/>
      <c r="X152" s="93"/>
      <c r="Y152" s="93"/>
    </row>
    <row r="153">
      <c r="A153" s="1"/>
      <c r="B153" s="44"/>
      <c r="D153" s="44"/>
      <c r="E153" s="93"/>
      <c r="F153" s="93"/>
      <c r="G153" s="93"/>
      <c r="H153" s="93"/>
      <c r="I153" s="93"/>
      <c r="J153" s="93"/>
      <c r="K153" s="93"/>
      <c r="L153" s="93"/>
      <c r="M153" s="93"/>
      <c r="N153" s="93"/>
      <c r="O153" s="93"/>
      <c r="P153" s="93"/>
      <c r="Q153" s="93"/>
      <c r="R153" s="93"/>
      <c r="S153" s="93"/>
      <c r="T153" s="93"/>
      <c r="U153" s="93"/>
      <c r="V153" s="93"/>
      <c r="W153" s="93"/>
      <c r="X153" s="93"/>
      <c r="Y153" s="93"/>
    </row>
    <row r="154">
      <c r="A154" s="1"/>
      <c r="B154" s="44"/>
      <c r="D154" s="44"/>
      <c r="E154" s="93"/>
      <c r="F154" s="93"/>
      <c r="G154" s="93"/>
      <c r="H154" s="93"/>
      <c r="I154" s="93"/>
      <c r="J154" s="93"/>
      <c r="K154" s="93"/>
      <c r="L154" s="93"/>
      <c r="M154" s="93"/>
      <c r="N154" s="93"/>
      <c r="O154" s="93"/>
      <c r="P154" s="93"/>
      <c r="Q154" s="93"/>
      <c r="R154" s="93"/>
      <c r="S154" s="93"/>
      <c r="T154" s="93"/>
      <c r="U154" s="93"/>
      <c r="V154" s="93"/>
      <c r="W154" s="93"/>
      <c r="X154" s="93"/>
      <c r="Y154" s="93"/>
    </row>
    <row r="155">
      <c r="A155" s="1"/>
      <c r="B155" s="44"/>
      <c r="D155" s="44"/>
      <c r="E155" s="93"/>
      <c r="F155" s="93"/>
      <c r="G155" s="93"/>
      <c r="H155" s="93"/>
      <c r="I155" s="93"/>
      <c r="J155" s="93"/>
      <c r="K155" s="93"/>
      <c r="L155" s="93"/>
      <c r="M155" s="93"/>
      <c r="N155" s="93"/>
      <c r="O155" s="93"/>
      <c r="P155" s="93"/>
      <c r="Q155" s="93"/>
      <c r="R155" s="93"/>
      <c r="S155" s="93"/>
      <c r="T155" s="93"/>
      <c r="U155" s="93"/>
      <c r="V155" s="93"/>
      <c r="W155" s="93"/>
      <c r="X155" s="93"/>
      <c r="Y155" s="93"/>
    </row>
    <row r="156">
      <c r="A156" s="1"/>
      <c r="B156" s="44"/>
      <c r="D156" s="44"/>
      <c r="E156" s="93"/>
      <c r="F156" s="93"/>
      <c r="G156" s="93"/>
      <c r="H156" s="93"/>
      <c r="I156" s="93"/>
      <c r="J156" s="93"/>
      <c r="K156" s="93"/>
      <c r="L156" s="93"/>
      <c r="M156" s="93"/>
      <c r="N156" s="93"/>
      <c r="O156" s="93"/>
      <c r="P156" s="93"/>
      <c r="Q156" s="93"/>
      <c r="R156" s="93"/>
      <c r="S156" s="93"/>
      <c r="T156" s="93"/>
      <c r="U156" s="93"/>
      <c r="V156" s="93"/>
      <c r="W156" s="93"/>
      <c r="X156" s="93"/>
      <c r="Y156" s="93"/>
    </row>
    <row r="157">
      <c r="A157" s="1"/>
      <c r="B157" s="44"/>
      <c r="D157" s="44"/>
      <c r="E157" s="93"/>
      <c r="F157" s="93"/>
      <c r="G157" s="93"/>
      <c r="H157" s="93"/>
      <c r="I157" s="93"/>
      <c r="J157" s="93"/>
      <c r="K157" s="93"/>
      <c r="L157" s="93"/>
      <c r="M157" s="93"/>
      <c r="N157" s="93"/>
      <c r="O157" s="93"/>
      <c r="P157" s="93"/>
      <c r="Q157" s="93"/>
      <c r="R157" s="93"/>
      <c r="S157" s="93"/>
      <c r="T157" s="93"/>
      <c r="U157" s="93"/>
      <c r="V157" s="93"/>
      <c r="W157" s="93"/>
      <c r="X157" s="93"/>
      <c r="Y157" s="93"/>
    </row>
    <row r="158">
      <c r="A158" s="1"/>
      <c r="B158" s="44"/>
      <c r="D158" s="44"/>
      <c r="E158" s="93"/>
      <c r="F158" s="93"/>
      <c r="G158" s="93"/>
      <c r="H158" s="93"/>
      <c r="I158" s="93"/>
      <c r="J158" s="93"/>
      <c r="K158" s="93"/>
      <c r="L158" s="93"/>
      <c r="M158" s="93"/>
      <c r="N158" s="93"/>
      <c r="O158" s="93"/>
      <c r="P158" s="93"/>
      <c r="Q158" s="93"/>
      <c r="R158" s="93"/>
      <c r="S158" s="93"/>
      <c r="T158" s="93"/>
      <c r="U158" s="93"/>
      <c r="V158" s="93"/>
      <c r="W158" s="93"/>
      <c r="X158" s="93"/>
      <c r="Y158" s="93"/>
    </row>
    <row r="159">
      <c r="A159" s="1"/>
      <c r="B159" s="44"/>
      <c r="D159" s="44"/>
      <c r="E159" s="93"/>
      <c r="F159" s="93"/>
      <c r="G159" s="93"/>
      <c r="H159" s="93"/>
      <c r="I159" s="93"/>
      <c r="J159" s="93"/>
      <c r="K159" s="93"/>
      <c r="L159" s="93"/>
      <c r="M159" s="93"/>
      <c r="N159" s="93"/>
      <c r="O159" s="93"/>
      <c r="P159" s="93"/>
      <c r="Q159" s="93"/>
      <c r="R159" s="93"/>
      <c r="S159" s="93"/>
      <c r="T159" s="93"/>
      <c r="U159" s="93"/>
      <c r="V159" s="93"/>
      <c r="W159" s="93"/>
      <c r="X159" s="93"/>
      <c r="Y159" s="93"/>
    </row>
    <row r="160">
      <c r="A160" s="1"/>
      <c r="B160" s="44"/>
      <c r="D160" s="44"/>
      <c r="E160" s="93"/>
      <c r="F160" s="93"/>
      <c r="G160" s="93"/>
      <c r="H160" s="93"/>
      <c r="I160" s="93"/>
      <c r="J160" s="93"/>
      <c r="K160" s="93"/>
      <c r="L160" s="93"/>
      <c r="M160" s="93"/>
      <c r="N160" s="93"/>
      <c r="O160" s="93"/>
      <c r="P160" s="93"/>
      <c r="Q160" s="93"/>
      <c r="R160" s="93"/>
      <c r="S160" s="93"/>
      <c r="T160" s="93"/>
      <c r="U160" s="93"/>
      <c r="V160" s="93"/>
      <c r="W160" s="93"/>
      <c r="X160" s="93"/>
      <c r="Y160" s="93"/>
    </row>
    <row r="161">
      <c r="A161" s="1"/>
      <c r="B161" s="44"/>
      <c r="D161" s="44"/>
      <c r="E161" s="93"/>
      <c r="F161" s="93"/>
      <c r="G161" s="93"/>
      <c r="H161" s="93"/>
      <c r="I161" s="93"/>
      <c r="J161" s="93"/>
      <c r="K161" s="93"/>
      <c r="L161" s="93"/>
      <c r="M161" s="93"/>
      <c r="N161" s="93"/>
      <c r="O161" s="93"/>
      <c r="P161" s="93"/>
      <c r="Q161" s="93"/>
      <c r="R161" s="93"/>
      <c r="S161" s="93"/>
      <c r="T161" s="93"/>
      <c r="U161" s="93"/>
      <c r="V161" s="93"/>
      <c r="W161" s="93"/>
      <c r="X161" s="93"/>
      <c r="Y161" s="93"/>
    </row>
    <row r="162">
      <c r="A162" s="1"/>
      <c r="B162" s="44"/>
      <c r="D162" s="44"/>
      <c r="E162" s="93"/>
      <c r="F162" s="93"/>
      <c r="G162" s="93"/>
      <c r="H162" s="93"/>
      <c r="I162" s="93"/>
      <c r="J162" s="93"/>
      <c r="K162" s="93"/>
      <c r="L162" s="93"/>
      <c r="M162" s="93"/>
      <c r="N162" s="93"/>
      <c r="O162" s="93"/>
      <c r="P162" s="93"/>
      <c r="Q162" s="93"/>
      <c r="R162" s="93"/>
      <c r="S162" s="93"/>
      <c r="T162" s="93"/>
      <c r="U162" s="93"/>
      <c r="V162" s="93"/>
      <c r="W162" s="93"/>
      <c r="X162" s="93"/>
      <c r="Y162" s="93"/>
    </row>
    <row r="163">
      <c r="A163" s="1"/>
      <c r="B163" s="44"/>
      <c r="D163" s="44"/>
      <c r="E163" s="93"/>
      <c r="F163" s="93"/>
      <c r="G163" s="93"/>
      <c r="H163" s="93"/>
      <c r="I163" s="93"/>
      <c r="J163" s="93"/>
      <c r="K163" s="93"/>
      <c r="L163" s="93"/>
      <c r="M163" s="93"/>
      <c r="N163" s="93"/>
      <c r="O163" s="93"/>
      <c r="P163" s="93"/>
      <c r="Q163" s="93"/>
      <c r="R163" s="93"/>
      <c r="S163" s="93"/>
      <c r="T163" s="93"/>
      <c r="U163" s="93"/>
      <c r="V163" s="93"/>
      <c r="W163" s="93"/>
      <c r="X163" s="93"/>
      <c r="Y163" s="93"/>
    </row>
    <row r="164">
      <c r="A164" s="1"/>
      <c r="B164" s="44"/>
      <c r="D164" s="44"/>
      <c r="E164" s="93"/>
      <c r="F164" s="93"/>
      <c r="G164" s="93"/>
      <c r="H164" s="93"/>
      <c r="I164" s="93"/>
      <c r="J164" s="93"/>
      <c r="K164" s="93"/>
      <c r="L164" s="93"/>
      <c r="M164" s="93"/>
      <c r="N164" s="93"/>
      <c r="O164" s="93"/>
      <c r="P164" s="93"/>
      <c r="Q164" s="93"/>
      <c r="R164" s="93"/>
      <c r="S164" s="93"/>
      <c r="T164" s="93"/>
      <c r="U164" s="93"/>
      <c r="V164" s="93"/>
      <c r="W164" s="93"/>
      <c r="X164" s="93"/>
      <c r="Y164" s="93"/>
    </row>
    <row r="165">
      <c r="A165" s="1"/>
      <c r="B165" s="44"/>
      <c r="D165" s="44"/>
      <c r="E165" s="93"/>
      <c r="F165" s="93"/>
      <c r="G165" s="93"/>
      <c r="H165" s="93"/>
      <c r="I165" s="93"/>
      <c r="J165" s="93"/>
      <c r="K165" s="93"/>
      <c r="L165" s="93"/>
      <c r="M165" s="93"/>
      <c r="N165" s="93"/>
      <c r="O165" s="93"/>
      <c r="P165" s="93"/>
      <c r="Q165" s="93"/>
      <c r="R165" s="93"/>
      <c r="S165" s="93"/>
      <c r="T165" s="93"/>
      <c r="U165" s="93"/>
      <c r="V165" s="93"/>
      <c r="W165" s="93"/>
      <c r="X165" s="93"/>
      <c r="Y165" s="93"/>
    </row>
    <row r="166">
      <c r="A166" s="1"/>
      <c r="B166" s="44"/>
      <c r="D166" s="44"/>
      <c r="E166" s="93"/>
      <c r="F166" s="93"/>
      <c r="G166" s="93"/>
      <c r="H166" s="93"/>
      <c r="I166" s="93"/>
      <c r="J166" s="93"/>
      <c r="K166" s="93"/>
      <c r="L166" s="93"/>
      <c r="M166" s="93"/>
      <c r="N166" s="93"/>
      <c r="O166" s="93"/>
      <c r="P166" s="93"/>
      <c r="Q166" s="93"/>
      <c r="R166" s="93"/>
      <c r="S166" s="93"/>
      <c r="T166" s="93"/>
      <c r="U166" s="93"/>
      <c r="V166" s="93"/>
      <c r="W166" s="93"/>
      <c r="X166" s="93"/>
      <c r="Y166" s="93"/>
    </row>
    <row r="167">
      <c r="A167" s="1"/>
      <c r="B167" s="44"/>
      <c r="D167" s="44"/>
      <c r="E167" s="93"/>
      <c r="F167" s="93"/>
      <c r="G167" s="93"/>
      <c r="H167" s="93"/>
      <c r="I167" s="93"/>
      <c r="J167" s="93"/>
      <c r="K167" s="93"/>
      <c r="L167" s="93"/>
      <c r="M167" s="93"/>
      <c r="N167" s="93"/>
      <c r="O167" s="93"/>
      <c r="P167" s="93"/>
      <c r="Q167" s="93"/>
      <c r="R167" s="93"/>
      <c r="S167" s="93"/>
      <c r="T167" s="93"/>
      <c r="U167" s="93"/>
      <c r="V167" s="93"/>
      <c r="W167" s="93"/>
      <c r="X167" s="93"/>
      <c r="Y167" s="93"/>
    </row>
    <row r="168">
      <c r="A168" s="1"/>
      <c r="B168" s="44"/>
      <c r="D168" s="44"/>
      <c r="E168" s="93"/>
      <c r="F168" s="93"/>
      <c r="G168" s="93"/>
      <c r="H168" s="93"/>
      <c r="I168" s="93"/>
      <c r="J168" s="93"/>
      <c r="K168" s="93"/>
      <c r="L168" s="93"/>
      <c r="M168" s="93"/>
      <c r="N168" s="93"/>
      <c r="O168" s="93"/>
      <c r="P168" s="93"/>
      <c r="Q168" s="93"/>
      <c r="R168" s="93"/>
      <c r="S168" s="93"/>
      <c r="T168" s="93"/>
      <c r="U168" s="93"/>
      <c r="V168" s="93"/>
      <c r="W168" s="93"/>
      <c r="X168" s="93"/>
      <c r="Y168" s="93"/>
    </row>
    <row r="169">
      <c r="A169" s="1"/>
      <c r="B169" s="44"/>
      <c r="D169" s="44"/>
      <c r="E169" s="93"/>
      <c r="F169" s="93"/>
      <c r="G169" s="93"/>
      <c r="H169" s="93"/>
      <c r="I169" s="93"/>
      <c r="J169" s="93"/>
      <c r="K169" s="93"/>
      <c r="L169" s="93"/>
      <c r="M169" s="93"/>
      <c r="N169" s="93"/>
      <c r="O169" s="93"/>
      <c r="P169" s="93"/>
      <c r="Q169" s="93"/>
      <c r="R169" s="93"/>
      <c r="S169" s="93"/>
      <c r="T169" s="93"/>
      <c r="U169" s="93"/>
      <c r="V169" s="93"/>
      <c r="W169" s="93"/>
      <c r="X169" s="93"/>
      <c r="Y169" s="93"/>
    </row>
    <row r="170">
      <c r="A170" s="1"/>
      <c r="B170" s="44"/>
      <c r="D170" s="44"/>
      <c r="E170" s="93"/>
      <c r="F170" s="93"/>
      <c r="G170" s="93"/>
      <c r="H170" s="93"/>
      <c r="I170" s="93"/>
      <c r="J170" s="93"/>
      <c r="K170" s="93"/>
      <c r="L170" s="93"/>
      <c r="M170" s="93"/>
      <c r="N170" s="93"/>
      <c r="O170" s="93"/>
      <c r="P170" s="93"/>
      <c r="Q170" s="93"/>
      <c r="R170" s="93"/>
      <c r="S170" s="93"/>
      <c r="T170" s="93"/>
      <c r="U170" s="93"/>
      <c r="V170" s="93"/>
      <c r="W170" s="93"/>
      <c r="X170" s="93"/>
      <c r="Y170" s="93"/>
    </row>
    <row r="171">
      <c r="A171" s="1"/>
      <c r="B171" s="44"/>
      <c r="D171" s="44"/>
      <c r="E171" s="93"/>
      <c r="F171" s="93"/>
      <c r="G171" s="93"/>
      <c r="H171" s="93"/>
      <c r="I171" s="93"/>
      <c r="J171" s="93"/>
      <c r="K171" s="93"/>
      <c r="L171" s="93"/>
      <c r="M171" s="93"/>
      <c r="N171" s="93"/>
      <c r="O171" s="93"/>
      <c r="P171" s="93"/>
      <c r="Q171" s="93"/>
      <c r="R171" s="93"/>
      <c r="S171" s="93"/>
      <c r="T171" s="93"/>
      <c r="U171" s="93"/>
      <c r="V171" s="93"/>
      <c r="W171" s="93"/>
      <c r="X171" s="93"/>
      <c r="Y171" s="93"/>
    </row>
    <row r="172">
      <c r="A172" s="1"/>
      <c r="B172" s="44"/>
      <c r="D172" s="44"/>
      <c r="E172" s="93"/>
      <c r="F172" s="93"/>
      <c r="G172" s="93"/>
      <c r="H172" s="93"/>
      <c r="I172" s="93"/>
      <c r="J172" s="93"/>
      <c r="K172" s="93"/>
      <c r="L172" s="93"/>
      <c r="M172" s="93"/>
      <c r="N172" s="93"/>
      <c r="O172" s="93"/>
      <c r="P172" s="93"/>
      <c r="Q172" s="93"/>
      <c r="R172" s="93"/>
      <c r="S172" s="93"/>
      <c r="T172" s="93"/>
      <c r="U172" s="93"/>
      <c r="V172" s="93"/>
      <c r="W172" s="93"/>
      <c r="X172" s="93"/>
      <c r="Y172" s="93"/>
    </row>
    <row r="173">
      <c r="A173" s="1"/>
      <c r="B173" s="44"/>
      <c r="D173" s="44"/>
      <c r="E173" s="93"/>
      <c r="F173" s="93"/>
      <c r="G173" s="93"/>
      <c r="H173" s="93"/>
      <c r="I173" s="93"/>
      <c r="J173" s="93"/>
      <c r="K173" s="93"/>
      <c r="L173" s="93"/>
      <c r="M173" s="93"/>
      <c r="N173" s="93"/>
      <c r="O173" s="93"/>
      <c r="P173" s="93"/>
      <c r="Q173" s="93"/>
      <c r="R173" s="93"/>
      <c r="S173" s="93"/>
      <c r="T173" s="93"/>
      <c r="U173" s="93"/>
      <c r="V173" s="93"/>
      <c r="W173" s="93"/>
      <c r="X173" s="93"/>
      <c r="Y173" s="93"/>
    </row>
    <row r="174">
      <c r="A174" s="1"/>
      <c r="B174" s="44"/>
      <c r="D174" s="44"/>
      <c r="E174" s="93"/>
      <c r="F174" s="93"/>
      <c r="G174" s="93"/>
      <c r="H174" s="93"/>
      <c r="I174" s="93"/>
      <c r="J174" s="93"/>
      <c r="K174" s="93"/>
      <c r="L174" s="93"/>
      <c r="M174" s="93"/>
      <c r="N174" s="93"/>
      <c r="O174" s="93"/>
      <c r="P174" s="93"/>
      <c r="Q174" s="93"/>
      <c r="R174" s="93"/>
      <c r="S174" s="93"/>
      <c r="T174" s="93"/>
      <c r="U174" s="93"/>
      <c r="V174" s="93"/>
      <c r="W174" s="93"/>
      <c r="X174" s="93"/>
      <c r="Y174" s="93"/>
    </row>
    <row r="175">
      <c r="A175" s="1"/>
      <c r="B175" s="44"/>
      <c r="D175" s="44"/>
      <c r="E175" s="93"/>
      <c r="F175" s="93"/>
      <c r="G175" s="93"/>
      <c r="H175" s="93"/>
      <c r="I175" s="93"/>
      <c r="J175" s="93"/>
      <c r="K175" s="93"/>
      <c r="L175" s="93"/>
      <c r="M175" s="93"/>
      <c r="N175" s="93"/>
      <c r="O175" s="93"/>
      <c r="P175" s="93"/>
      <c r="Q175" s="93"/>
      <c r="R175" s="93"/>
      <c r="S175" s="93"/>
      <c r="T175" s="93"/>
      <c r="U175" s="93"/>
      <c r="V175" s="93"/>
      <c r="W175" s="93"/>
      <c r="X175" s="93"/>
      <c r="Y175" s="93"/>
    </row>
    <row r="176">
      <c r="A176" s="1"/>
      <c r="B176" s="44"/>
      <c r="D176" s="44"/>
      <c r="E176" s="93"/>
      <c r="F176" s="93"/>
      <c r="G176" s="93"/>
      <c r="H176" s="93"/>
      <c r="I176" s="93"/>
      <c r="J176" s="93"/>
      <c r="K176" s="93"/>
      <c r="L176" s="93"/>
      <c r="M176" s="93"/>
      <c r="N176" s="93"/>
      <c r="O176" s="93"/>
      <c r="P176" s="93"/>
      <c r="Q176" s="93"/>
      <c r="R176" s="93"/>
      <c r="S176" s="93"/>
      <c r="T176" s="93"/>
      <c r="U176" s="93"/>
      <c r="V176" s="93"/>
      <c r="W176" s="93"/>
      <c r="X176" s="93"/>
      <c r="Y176" s="93"/>
    </row>
    <row r="177">
      <c r="A177" s="1"/>
      <c r="B177" s="44"/>
      <c r="D177" s="44"/>
      <c r="E177" s="93"/>
      <c r="F177" s="93"/>
      <c r="G177" s="93"/>
      <c r="H177" s="93"/>
      <c r="I177" s="93"/>
      <c r="J177" s="93"/>
      <c r="K177" s="93"/>
      <c r="L177" s="93"/>
      <c r="M177" s="93"/>
      <c r="N177" s="93"/>
      <c r="O177" s="93"/>
      <c r="P177" s="93"/>
      <c r="Q177" s="93"/>
      <c r="R177" s="93"/>
      <c r="S177" s="93"/>
      <c r="T177" s="93"/>
      <c r="U177" s="93"/>
      <c r="V177" s="93"/>
      <c r="W177" s="93"/>
      <c r="X177" s="93"/>
      <c r="Y177" s="93"/>
    </row>
    <row r="178">
      <c r="A178" s="1"/>
      <c r="B178" s="44"/>
      <c r="D178" s="44"/>
      <c r="E178" s="93"/>
      <c r="F178" s="93"/>
      <c r="G178" s="93"/>
      <c r="H178" s="93"/>
      <c r="I178" s="93"/>
      <c r="J178" s="93"/>
      <c r="K178" s="93"/>
      <c r="L178" s="93"/>
      <c r="M178" s="93"/>
      <c r="N178" s="93"/>
      <c r="O178" s="93"/>
      <c r="P178" s="93"/>
      <c r="Q178" s="93"/>
      <c r="R178" s="93"/>
      <c r="S178" s="93"/>
      <c r="T178" s="93"/>
      <c r="U178" s="93"/>
      <c r="V178" s="93"/>
      <c r="W178" s="93"/>
      <c r="X178" s="93"/>
      <c r="Y178" s="93"/>
    </row>
    <row r="179">
      <c r="A179" s="1"/>
      <c r="B179" s="44"/>
      <c r="D179" s="44"/>
      <c r="E179" s="93"/>
      <c r="F179" s="93"/>
      <c r="G179" s="93"/>
      <c r="H179" s="93"/>
      <c r="I179" s="93"/>
      <c r="J179" s="93"/>
      <c r="K179" s="93"/>
      <c r="L179" s="93"/>
      <c r="M179" s="93"/>
      <c r="N179" s="93"/>
      <c r="O179" s="93"/>
      <c r="P179" s="93"/>
      <c r="Q179" s="93"/>
      <c r="R179" s="93"/>
      <c r="S179" s="93"/>
      <c r="T179" s="93"/>
      <c r="U179" s="93"/>
      <c r="V179" s="93"/>
      <c r="W179" s="93"/>
      <c r="X179" s="93"/>
      <c r="Y179" s="93"/>
    </row>
    <row r="180">
      <c r="A180" s="1"/>
      <c r="B180" s="44"/>
      <c r="D180" s="44"/>
      <c r="E180" s="93"/>
      <c r="F180" s="93"/>
      <c r="G180" s="93"/>
      <c r="H180" s="93"/>
      <c r="I180" s="93"/>
      <c r="J180" s="93"/>
      <c r="K180" s="93"/>
      <c r="L180" s="93"/>
      <c r="M180" s="93"/>
      <c r="N180" s="93"/>
      <c r="O180" s="93"/>
      <c r="P180" s="93"/>
      <c r="Q180" s="93"/>
      <c r="R180" s="93"/>
      <c r="S180" s="93"/>
      <c r="T180" s="93"/>
      <c r="U180" s="93"/>
      <c r="V180" s="93"/>
      <c r="W180" s="93"/>
      <c r="X180" s="93"/>
      <c r="Y180" s="93"/>
    </row>
    <row r="181">
      <c r="A181" s="1"/>
      <c r="B181" s="44"/>
      <c r="D181" s="44"/>
      <c r="E181" s="93"/>
      <c r="F181" s="93"/>
      <c r="G181" s="93"/>
      <c r="H181" s="93"/>
      <c r="I181" s="93"/>
      <c r="J181" s="93"/>
      <c r="K181" s="93"/>
      <c r="L181" s="93"/>
      <c r="M181" s="93"/>
      <c r="N181" s="93"/>
      <c r="O181" s="93"/>
      <c r="P181" s="93"/>
      <c r="Q181" s="93"/>
      <c r="R181" s="93"/>
      <c r="S181" s="93"/>
      <c r="T181" s="93"/>
      <c r="U181" s="93"/>
      <c r="V181" s="93"/>
      <c r="W181" s="93"/>
      <c r="X181" s="93"/>
      <c r="Y181" s="93"/>
    </row>
    <row r="182">
      <c r="A182" s="1"/>
      <c r="B182" s="44"/>
      <c r="D182" s="44"/>
      <c r="E182" s="93"/>
      <c r="F182" s="93"/>
      <c r="G182" s="93"/>
      <c r="H182" s="93"/>
      <c r="I182" s="93"/>
      <c r="J182" s="93"/>
      <c r="K182" s="93"/>
      <c r="L182" s="93"/>
      <c r="M182" s="93"/>
      <c r="N182" s="93"/>
      <c r="O182" s="93"/>
      <c r="P182" s="93"/>
      <c r="Q182" s="93"/>
      <c r="R182" s="93"/>
      <c r="S182" s="93"/>
      <c r="T182" s="93"/>
      <c r="U182" s="93"/>
      <c r="V182" s="93"/>
      <c r="W182" s="93"/>
      <c r="X182" s="93"/>
      <c r="Y182" s="93"/>
    </row>
    <row r="183">
      <c r="A183" s="1"/>
      <c r="B183" s="44"/>
      <c r="D183" s="44"/>
      <c r="E183" s="93"/>
      <c r="F183" s="93"/>
      <c r="G183" s="93"/>
      <c r="H183" s="93"/>
      <c r="I183" s="93"/>
      <c r="J183" s="93"/>
      <c r="K183" s="93"/>
      <c r="L183" s="93"/>
      <c r="M183" s="93"/>
      <c r="N183" s="93"/>
      <c r="O183" s="93"/>
      <c r="P183" s="93"/>
      <c r="Q183" s="93"/>
      <c r="R183" s="93"/>
      <c r="S183" s="93"/>
      <c r="T183" s="93"/>
      <c r="U183" s="93"/>
      <c r="V183" s="93"/>
      <c r="W183" s="93"/>
      <c r="X183" s="93"/>
      <c r="Y183" s="93"/>
    </row>
    <row r="184">
      <c r="A184" s="1"/>
      <c r="B184" s="44"/>
      <c r="D184" s="44"/>
      <c r="E184" s="93"/>
      <c r="F184" s="93"/>
      <c r="G184" s="93"/>
      <c r="H184" s="93"/>
      <c r="I184" s="93"/>
      <c r="J184" s="93"/>
      <c r="K184" s="93"/>
      <c r="L184" s="93"/>
      <c r="M184" s="93"/>
      <c r="N184" s="93"/>
      <c r="O184" s="93"/>
      <c r="P184" s="93"/>
      <c r="Q184" s="93"/>
      <c r="R184" s="93"/>
      <c r="S184" s="93"/>
      <c r="T184" s="93"/>
      <c r="U184" s="93"/>
      <c r="V184" s="93"/>
      <c r="W184" s="93"/>
      <c r="X184" s="93"/>
      <c r="Y184" s="93"/>
    </row>
    <row r="185">
      <c r="A185" s="1"/>
      <c r="B185" s="44"/>
      <c r="D185" s="44"/>
      <c r="E185" s="93"/>
      <c r="F185" s="93"/>
      <c r="G185" s="93"/>
      <c r="H185" s="93"/>
      <c r="I185" s="93"/>
      <c r="J185" s="93"/>
      <c r="K185" s="93"/>
      <c r="L185" s="93"/>
      <c r="M185" s="93"/>
      <c r="N185" s="93"/>
      <c r="O185" s="93"/>
      <c r="P185" s="93"/>
      <c r="Q185" s="93"/>
      <c r="R185" s="93"/>
      <c r="S185" s="93"/>
      <c r="T185" s="93"/>
      <c r="U185" s="93"/>
      <c r="V185" s="93"/>
      <c r="W185" s="93"/>
      <c r="X185" s="93"/>
      <c r="Y185" s="93"/>
    </row>
    <row r="186">
      <c r="A186" s="1"/>
      <c r="B186" s="44"/>
      <c r="D186" s="44"/>
      <c r="E186" s="93"/>
      <c r="F186" s="93"/>
      <c r="G186" s="93"/>
      <c r="H186" s="93"/>
      <c r="I186" s="93"/>
      <c r="J186" s="93"/>
      <c r="K186" s="93"/>
      <c r="L186" s="93"/>
      <c r="M186" s="93"/>
      <c r="N186" s="93"/>
      <c r="O186" s="93"/>
      <c r="P186" s="93"/>
      <c r="Q186" s="93"/>
      <c r="R186" s="93"/>
      <c r="S186" s="93"/>
      <c r="T186" s="93"/>
      <c r="U186" s="93"/>
      <c r="V186" s="93"/>
      <c r="W186" s="93"/>
      <c r="X186" s="93"/>
      <c r="Y186" s="93"/>
    </row>
    <row r="187">
      <c r="A187" s="1"/>
      <c r="B187" s="44"/>
      <c r="D187" s="44"/>
      <c r="E187" s="93"/>
      <c r="F187" s="93"/>
      <c r="G187" s="93"/>
      <c r="H187" s="93"/>
      <c r="I187" s="93"/>
      <c r="J187" s="93"/>
      <c r="K187" s="93"/>
      <c r="L187" s="93"/>
      <c r="M187" s="93"/>
      <c r="N187" s="93"/>
      <c r="O187" s="93"/>
      <c r="P187" s="93"/>
      <c r="Q187" s="93"/>
      <c r="R187" s="93"/>
      <c r="S187" s="93"/>
      <c r="T187" s="93"/>
      <c r="U187" s="93"/>
      <c r="V187" s="93"/>
      <c r="W187" s="93"/>
      <c r="X187" s="93"/>
      <c r="Y187" s="93"/>
    </row>
    <row r="188">
      <c r="A188" s="1"/>
      <c r="B188" s="44"/>
      <c r="D188" s="44"/>
      <c r="E188" s="93"/>
      <c r="F188" s="93"/>
      <c r="G188" s="93"/>
      <c r="H188" s="93"/>
      <c r="I188" s="93"/>
      <c r="J188" s="93"/>
      <c r="K188" s="93"/>
      <c r="L188" s="93"/>
      <c r="M188" s="93"/>
      <c r="N188" s="93"/>
      <c r="O188" s="93"/>
      <c r="P188" s="93"/>
      <c r="Q188" s="93"/>
      <c r="R188" s="93"/>
      <c r="S188" s="93"/>
      <c r="T188" s="93"/>
      <c r="U188" s="93"/>
      <c r="V188" s="93"/>
      <c r="W188" s="93"/>
      <c r="X188" s="93"/>
      <c r="Y188" s="93"/>
    </row>
    <row r="189">
      <c r="A189" s="1"/>
      <c r="B189" s="44"/>
      <c r="D189" s="44"/>
      <c r="E189" s="93"/>
      <c r="F189" s="93"/>
      <c r="G189" s="93"/>
      <c r="H189" s="93"/>
      <c r="I189" s="93"/>
      <c r="J189" s="93"/>
      <c r="K189" s="93"/>
      <c r="L189" s="93"/>
      <c r="M189" s="93"/>
      <c r="N189" s="93"/>
      <c r="O189" s="93"/>
      <c r="P189" s="93"/>
      <c r="Q189" s="93"/>
      <c r="R189" s="93"/>
      <c r="S189" s="93"/>
      <c r="T189" s="93"/>
      <c r="U189" s="93"/>
      <c r="V189" s="93"/>
      <c r="W189" s="93"/>
      <c r="X189" s="93"/>
      <c r="Y189" s="93"/>
    </row>
    <row r="190">
      <c r="A190" s="1"/>
      <c r="B190" s="44"/>
      <c r="D190" s="44"/>
      <c r="E190" s="93"/>
      <c r="F190" s="93"/>
      <c r="G190" s="93"/>
      <c r="H190" s="93"/>
      <c r="I190" s="93"/>
      <c r="J190" s="93"/>
      <c r="K190" s="93"/>
      <c r="L190" s="93"/>
      <c r="M190" s="93"/>
      <c r="N190" s="93"/>
      <c r="O190" s="93"/>
      <c r="P190" s="93"/>
      <c r="Q190" s="93"/>
      <c r="R190" s="93"/>
      <c r="S190" s="93"/>
      <c r="T190" s="93"/>
      <c r="U190" s="93"/>
      <c r="V190" s="93"/>
      <c r="W190" s="93"/>
      <c r="X190" s="93"/>
      <c r="Y190" s="93"/>
    </row>
    <row r="191">
      <c r="A191" s="1"/>
      <c r="B191" s="44"/>
      <c r="D191" s="44"/>
      <c r="E191" s="93"/>
      <c r="F191" s="93"/>
      <c r="G191" s="93"/>
      <c r="H191" s="93"/>
      <c r="I191" s="93"/>
      <c r="J191" s="93"/>
      <c r="K191" s="93"/>
      <c r="L191" s="93"/>
      <c r="M191" s="93"/>
      <c r="N191" s="93"/>
      <c r="O191" s="93"/>
      <c r="P191" s="93"/>
      <c r="Q191" s="93"/>
      <c r="R191" s="93"/>
      <c r="S191" s="93"/>
      <c r="T191" s="93"/>
      <c r="U191" s="93"/>
      <c r="V191" s="93"/>
      <c r="W191" s="93"/>
      <c r="X191" s="93"/>
      <c r="Y191" s="93"/>
    </row>
    <row r="192">
      <c r="A192" s="1"/>
      <c r="B192" s="44"/>
      <c r="D192" s="44"/>
      <c r="E192" s="93"/>
      <c r="F192" s="93"/>
      <c r="G192" s="93"/>
      <c r="H192" s="93"/>
      <c r="I192" s="93"/>
      <c r="J192" s="93"/>
      <c r="K192" s="93"/>
      <c r="L192" s="93"/>
      <c r="M192" s="93"/>
      <c r="N192" s="93"/>
      <c r="O192" s="93"/>
      <c r="P192" s="93"/>
      <c r="Q192" s="93"/>
      <c r="R192" s="93"/>
      <c r="S192" s="93"/>
      <c r="T192" s="93"/>
      <c r="U192" s="93"/>
      <c r="V192" s="93"/>
      <c r="W192" s="93"/>
      <c r="X192" s="93"/>
      <c r="Y192" s="93"/>
    </row>
    <row r="193">
      <c r="A193" s="1"/>
      <c r="B193" s="44"/>
      <c r="D193" s="44"/>
      <c r="E193" s="93"/>
      <c r="F193" s="93"/>
      <c r="G193" s="93"/>
      <c r="H193" s="93"/>
      <c r="I193" s="93"/>
      <c r="J193" s="93"/>
      <c r="K193" s="93"/>
      <c r="L193" s="93"/>
      <c r="M193" s="93"/>
      <c r="N193" s="93"/>
      <c r="O193" s="93"/>
      <c r="P193" s="93"/>
      <c r="Q193" s="93"/>
      <c r="R193" s="93"/>
      <c r="S193" s="93"/>
      <c r="T193" s="93"/>
      <c r="U193" s="93"/>
      <c r="V193" s="93"/>
      <c r="W193" s="93"/>
      <c r="X193" s="93"/>
      <c r="Y193" s="93"/>
    </row>
    <row r="194">
      <c r="A194" s="1"/>
      <c r="B194" s="44"/>
      <c r="D194" s="44"/>
      <c r="E194" s="93"/>
      <c r="F194" s="93"/>
      <c r="G194" s="93"/>
      <c r="H194" s="93"/>
      <c r="I194" s="93"/>
      <c r="J194" s="93"/>
      <c r="K194" s="93"/>
      <c r="L194" s="93"/>
      <c r="M194" s="93"/>
      <c r="N194" s="93"/>
      <c r="O194" s="93"/>
      <c r="P194" s="93"/>
      <c r="Q194" s="93"/>
      <c r="R194" s="93"/>
      <c r="S194" s="93"/>
      <c r="T194" s="93"/>
      <c r="U194" s="93"/>
      <c r="V194" s="93"/>
      <c r="W194" s="93"/>
      <c r="X194" s="93"/>
      <c r="Y194" s="93"/>
    </row>
    <row r="195">
      <c r="A195" s="1"/>
      <c r="B195" s="44"/>
      <c r="D195" s="44"/>
      <c r="E195" s="93"/>
      <c r="F195" s="93"/>
      <c r="G195" s="93"/>
      <c r="H195" s="93"/>
      <c r="I195" s="93"/>
      <c r="J195" s="93"/>
      <c r="K195" s="93"/>
      <c r="L195" s="93"/>
      <c r="M195" s="93"/>
      <c r="N195" s="93"/>
      <c r="O195" s="93"/>
      <c r="P195" s="93"/>
      <c r="Q195" s="93"/>
      <c r="R195" s="93"/>
      <c r="S195" s="93"/>
      <c r="T195" s="93"/>
      <c r="U195" s="93"/>
      <c r="V195" s="93"/>
      <c r="W195" s="93"/>
      <c r="X195" s="93"/>
      <c r="Y195" s="93"/>
    </row>
    <row r="196">
      <c r="A196" s="1"/>
      <c r="B196" s="44"/>
      <c r="D196" s="44"/>
      <c r="E196" s="93"/>
      <c r="F196" s="93"/>
      <c r="G196" s="93"/>
      <c r="H196" s="93"/>
      <c r="I196" s="93"/>
      <c r="J196" s="93"/>
      <c r="K196" s="93"/>
      <c r="L196" s="93"/>
      <c r="M196" s="93"/>
      <c r="N196" s="93"/>
      <c r="O196" s="93"/>
      <c r="P196" s="93"/>
      <c r="Q196" s="93"/>
      <c r="R196" s="93"/>
      <c r="S196" s="93"/>
      <c r="T196" s="93"/>
      <c r="U196" s="93"/>
      <c r="V196" s="93"/>
      <c r="W196" s="93"/>
      <c r="X196" s="93"/>
      <c r="Y196" s="93"/>
    </row>
    <row r="197">
      <c r="A197" s="1"/>
      <c r="B197" s="44"/>
      <c r="D197" s="44"/>
      <c r="E197" s="93"/>
      <c r="F197" s="93"/>
      <c r="G197" s="93"/>
      <c r="H197" s="93"/>
      <c r="I197" s="93"/>
      <c r="J197" s="93"/>
      <c r="K197" s="93"/>
      <c r="L197" s="93"/>
      <c r="M197" s="93"/>
      <c r="N197" s="93"/>
      <c r="O197" s="93"/>
      <c r="P197" s="93"/>
      <c r="Q197" s="93"/>
      <c r="R197" s="93"/>
      <c r="S197" s="93"/>
      <c r="T197" s="93"/>
      <c r="U197" s="93"/>
      <c r="V197" s="93"/>
      <c r="W197" s="93"/>
      <c r="X197" s="93"/>
      <c r="Y197" s="93"/>
    </row>
    <row r="198">
      <c r="A198" s="1"/>
      <c r="B198" s="44"/>
      <c r="D198" s="44"/>
      <c r="E198" s="93"/>
      <c r="F198" s="93"/>
      <c r="G198" s="93"/>
      <c r="H198" s="93"/>
      <c r="I198" s="93"/>
      <c r="J198" s="93"/>
      <c r="K198" s="93"/>
      <c r="L198" s="93"/>
      <c r="M198" s="93"/>
      <c r="N198" s="93"/>
      <c r="O198" s="93"/>
      <c r="P198" s="93"/>
      <c r="Q198" s="93"/>
      <c r="R198" s="93"/>
      <c r="S198" s="93"/>
      <c r="T198" s="93"/>
      <c r="U198" s="93"/>
      <c r="V198" s="93"/>
      <c r="W198" s="93"/>
      <c r="X198" s="93"/>
      <c r="Y198" s="93"/>
    </row>
    <row r="199">
      <c r="A199" s="1"/>
      <c r="B199" s="44"/>
      <c r="D199" s="44"/>
      <c r="E199" s="93"/>
      <c r="F199" s="93"/>
      <c r="G199" s="93"/>
      <c r="H199" s="93"/>
      <c r="I199" s="93"/>
      <c r="J199" s="93"/>
      <c r="K199" s="93"/>
      <c r="L199" s="93"/>
      <c r="M199" s="93"/>
      <c r="N199" s="93"/>
      <c r="O199" s="93"/>
      <c r="P199" s="93"/>
      <c r="Q199" s="93"/>
      <c r="R199" s="93"/>
      <c r="S199" s="93"/>
      <c r="T199" s="93"/>
      <c r="U199" s="93"/>
      <c r="V199" s="93"/>
      <c r="W199" s="93"/>
      <c r="X199" s="93"/>
      <c r="Y199" s="93"/>
    </row>
    <row r="200">
      <c r="A200" s="1"/>
      <c r="B200" s="44"/>
      <c r="D200" s="44"/>
      <c r="E200" s="93"/>
      <c r="F200" s="93"/>
      <c r="G200" s="93"/>
      <c r="H200" s="93"/>
      <c r="I200" s="93"/>
      <c r="J200" s="93"/>
      <c r="K200" s="93"/>
      <c r="L200" s="93"/>
      <c r="M200" s="93"/>
      <c r="N200" s="93"/>
      <c r="O200" s="93"/>
      <c r="P200" s="93"/>
      <c r="Q200" s="93"/>
      <c r="R200" s="93"/>
      <c r="S200" s="93"/>
      <c r="T200" s="93"/>
      <c r="U200" s="93"/>
      <c r="V200" s="93"/>
      <c r="W200" s="93"/>
      <c r="X200" s="93"/>
      <c r="Y200" s="93"/>
    </row>
    <row r="201">
      <c r="A201" s="1"/>
      <c r="B201" s="44"/>
      <c r="D201" s="44"/>
      <c r="E201" s="93"/>
      <c r="F201" s="93"/>
      <c r="G201" s="93"/>
      <c r="H201" s="93"/>
      <c r="I201" s="93"/>
      <c r="J201" s="93"/>
      <c r="K201" s="93"/>
      <c r="L201" s="93"/>
      <c r="M201" s="93"/>
      <c r="N201" s="93"/>
      <c r="O201" s="93"/>
      <c r="P201" s="93"/>
      <c r="Q201" s="93"/>
      <c r="R201" s="93"/>
      <c r="S201" s="93"/>
      <c r="T201" s="93"/>
      <c r="U201" s="93"/>
      <c r="V201" s="93"/>
      <c r="W201" s="93"/>
      <c r="X201" s="93"/>
      <c r="Y201" s="93"/>
    </row>
    <row r="202">
      <c r="A202" s="1"/>
      <c r="B202" s="44"/>
      <c r="D202" s="44"/>
      <c r="E202" s="93"/>
      <c r="F202" s="93"/>
      <c r="G202" s="93"/>
      <c r="H202" s="93"/>
      <c r="I202" s="93"/>
      <c r="J202" s="93"/>
      <c r="K202" s="93"/>
      <c r="L202" s="93"/>
      <c r="M202" s="93"/>
      <c r="N202" s="93"/>
      <c r="O202" s="93"/>
      <c r="P202" s="93"/>
      <c r="Q202" s="93"/>
      <c r="R202" s="93"/>
      <c r="S202" s="93"/>
      <c r="T202" s="93"/>
      <c r="U202" s="93"/>
      <c r="V202" s="93"/>
      <c r="W202" s="93"/>
      <c r="X202" s="93"/>
      <c r="Y202" s="93"/>
    </row>
    <row r="203">
      <c r="A203" s="1"/>
      <c r="B203" s="44"/>
      <c r="D203" s="44"/>
      <c r="E203" s="93"/>
      <c r="F203" s="93"/>
      <c r="G203" s="93"/>
      <c r="H203" s="93"/>
      <c r="I203" s="93"/>
      <c r="J203" s="93"/>
      <c r="K203" s="93"/>
      <c r="L203" s="93"/>
      <c r="M203" s="93"/>
      <c r="N203" s="93"/>
      <c r="O203" s="93"/>
      <c r="P203" s="93"/>
      <c r="Q203" s="93"/>
      <c r="R203" s="93"/>
      <c r="S203" s="93"/>
      <c r="T203" s="93"/>
      <c r="U203" s="93"/>
      <c r="V203" s="93"/>
      <c r="W203" s="93"/>
      <c r="X203" s="93"/>
      <c r="Y203" s="93"/>
    </row>
    <row r="204">
      <c r="A204" s="1"/>
      <c r="B204" s="44"/>
      <c r="D204" s="44"/>
      <c r="E204" s="93"/>
      <c r="F204" s="93"/>
      <c r="G204" s="93"/>
      <c r="H204" s="93"/>
      <c r="I204" s="93"/>
      <c r="J204" s="93"/>
      <c r="K204" s="93"/>
      <c r="L204" s="93"/>
      <c r="M204" s="93"/>
      <c r="N204" s="93"/>
      <c r="O204" s="93"/>
      <c r="P204" s="93"/>
      <c r="Q204" s="93"/>
      <c r="R204" s="93"/>
      <c r="S204" s="93"/>
      <c r="T204" s="93"/>
      <c r="U204" s="93"/>
      <c r="V204" s="93"/>
      <c r="W204" s="93"/>
      <c r="X204" s="93"/>
      <c r="Y204" s="93"/>
    </row>
    <row r="205">
      <c r="A205" s="1"/>
      <c r="B205" s="44"/>
      <c r="D205" s="44"/>
      <c r="E205" s="93"/>
      <c r="F205" s="93"/>
      <c r="G205" s="93"/>
      <c r="H205" s="93"/>
      <c r="I205" s="93"/>
      <c r="J205" s="93"/>
      <c r="K205" s="93"/>
      <c r="L205" s="93"/>
      <c r="M205" s="93"/>
      <c r="N205" s="93"/>
      <c r="O205" s="93"/>
      <c r="P205" s="93"/>
      <c r="Q205" s="93"/>
      <c r="R205" s="93"/>
      <c r="S205" s="93"/>
      <c r="T205" s="93"/>
      <c r="U205" s="93"/>
      <c r="V205" s="93"/>
      <c r="W205" s="93"/>
      <c r="X205" s="93"/>
      <c r="Y205" s="93"/>
    </row>
    <row r="206">
      <c r="A206" s="1"/>
      <c r="B206" s="44"/>
      <c r="D206" s="44"/>
      <c r="E206" s="93"/>
      <c r="F206" s="93"/>
      <c r="G206" s="93"/>
      <c r="H206" s="93"/>
      <c r="I206" s="93"/>
      <c r="J206" s="93"/>
      <c r="K206" s="93"/>
      <c r="L206" s="93"/>
      <c r="M206" s="93"/>
      <c r="N206" s="93"/>
      <c r="O206" s="93"/>
      <c r="P206" s="93"/>
      <c r="Q206" s="93"/>
      <c r="R206" s="93"/>
      <c r="S206" s="93"/>
      <c r="T206" s="93"/>
      <c r="U206" s="93"/>
      <c r="V206" s="93"/>
      <c r="W206" s="93"/>
      <c r="X206" s="93"/>
      <c r="Y206" s="93"/>
    </row>
    <row r="207">
      <c r="A207" s="1"/>
      <c r="B207" s="44"/>
      <c r="D207" s="44"/>
      <c r="E207" s="93"/>
      <c r="F207" s="93"/>
      <c r="G207" s="93"/>
      <c r="H207" s="93"/>
      <c r="I207" s="93"/>
      <c r="J207" s="93"/>
      <c r="K207" s="93"/>
      <c r="L207" s="93"/>
      <c r="M207" s="93"/>
      <c r="N207" s="93"/>
      <c r="O207" s="93"/>
      <c r="P207" s="93"/>
      <c r="Q207" s="93"/>
      <c r="R207" s="93"/>
      <c r="S207" s="93"/>
      <c r="T207" s="93"/>
      <c r="U207" s="93"/>
      <c r="V207" s="93"/>
      <c r="W207" s="93"/>
      <c r="X207" s="93"/>
      <c r="Y207" s="93"/>
    </row>
    <row r="208">
      <c r="A208" s="1"/>
      <c r="B208" s="44"/>
      <c r="D208" s="44"/>
      <c r="E208" s="93"/>
      <c r="F208" s="93"/>
      <c r="G208" s="93"/>
      <c r="H208" s="93"/>
      <c r="I208" s="93"/>
      <c r="J208" s="93"/>
      <c r="K208" s="93"/>
      <c r="L208" s="93"/>
      <c r="M208" s="93"/>
      <c r="N208" s="93"/>
      <c r="O208" s="93"/>
      <c r="P208" s="93"/>
      <c r="Q208" s="93"/>
      <c r="R208" s="93"/>
      <c r="S208" s="93"/>
      <c r="T208" s="93"/>
      <c r="U208" s="93"/>
      <c r="V208" s="93"/>
      <c r="W208" s="93"/>
      <c r="X208" s="93"/>
      <c r="Y208" s="93"/>
    </row>
    <row r="209">
      <c r="A209" s="1"/>
      <c r="B209" s="44"/>
      <c r="D209" s="44"/>
      <c r="E209" s="93"/>
      <c r="F209" s="93"/>
      <c r="G209" s="93"/>
      <c r="H209" s="93"/>
      <c r="I209" s="93"/>
      <c r="J209" s="93"/>
      <c r="K209" s="93"/>
      <c r="L209" s="93"/>
      <c r="M209" s="93"/>
      <c r="N209" s="93"/>
      <c r="O209" s="93"/>
      <c r="P209" s="93"/>
      <c r="Q209" s="93"/>
      <c r="R209" s="93"/>
      <c r="S209" s="93"/>
      <c r="T209" s="93"/>
      <c r="U209" s="93"/>
      <c r="V209" s="93"/>
      <c r="W209" s="93"/>
      <c r="X209" s="93"/>
      <c r="Y209" s="93"/>
    </row>
    <row r="210">
      <c r="A210" s="1"/>
      <c r="B210" s="44"/>
      <c r="D210" s="44"/>
      <c r="E210" s="93"/>
      <c r="F210" s="93"/>
      <c r="G210" s="93"/>
      <c r="H210" s="93"/>
      <c r="I210" s="93"/>
      <c r="J210" s="93"/>
      <c r="K210" s="93"/>
      <c r="L210" s="93"/>
      <c r="M210" s="93"/>
      <c r="N210" s="93"/>
      <c r="O210" s="93"/>
      <c r="P210" s="93"/>
      <c r="Q210" s="93"/>
      <c r="R210" s="93"/>
      <c r="S210" s="93"/>
      <c r="T210" s="93"/>
      <c r="U210" s="93"/>
      <c r="V210" s="93"/>
      <c r="W210" s="93"/>
      <c r="X210" s="93"/>
      <c r="Y210" s="93"/>
    </row>
    <row r="211">
      <c r="A211" s="1"/>
      <c r="B211" s="44"/>
      <c r="D211" s="44"/>
      <c r="E211" s="93"/>
      <c r="F211" s="93"/>
      <c r="G211" s="93"/>
      <c r="H211" s="93"/>
      <c r="I211" s="93"/>
      <c r="J211" s="93"/>
      <c r="K211" s="93"/>
      <c r="L211" s="93"/>
      <c r="M211" s="93"/>
      <c r="N211" s="93"/>
      <c r="O211" s="93"/>
      <c r="P211" s="93"/>
      <c r="Q211" s="93"/>
      <c r="R211" s="93"/>
      <c r="S211" s="93"/>
      <c r="T211" s="93"/>
      <c r="U211" s="93"/>
      <c r="V211" s="93"/>
      <c r="W211" s="93"/>
      <c r="X211" s="93"/>
      <c r="Y211" s="93"/>
    </row>
    <row r="212">
      <c r="A212" s="1"/>
      <c r="B212" s="44"/>
      <c r="D212" s="44"/>
      <c r="E212" s="93"/>
      <c r="F212" s="93"/>
      <c r="G212" s="93"/>
      <c r="H212" s="93"/>
      <c r="I212" s="93"/>
      <c r="J212" s="93"/>
      <c r="K212" s="93"/>
      <c r="L212" s="93"/>
      <c r="M212" s="93"/>
      <c r="N212" s="93"/>
      <c r="O212" s="93"/>
      <c r="P212" s="93"/>
      <c r="Q212" s="93"/>
      <c r="R212" s="93"/>
      <c r="S212" s="93"/>
      <c r="T212" s="93"/>
      <c r="U212" s="93"/>
      <c r="V212" s="93"/>
      <c r="W212" s="93"/>
      <c r="X212" s="93"/>
      <c r="Y212" s="93"/>
    </row>
    <row r="213">
      <c r="A213" s="1"/>
      <c r="B213" s="44"/>
      <c r="D213" s="44"/>
      <c r="E213" s="93"/>
      <c r="F213" s="93"/>
      <c r="G213" s="93"/>
      <c r="H213" s="93"/>
      <c r="I213" s="93"/>
      <c r="J213" s="93"/>
      <c r="K213" s="93"/>
      <c r="L213" s="93"/>
      <c r="M213" s="93"/>
      <c r="N213" s="93"/>
      <c r="O213" s="93"/>
      <c r="P213" s="93"/>
      <c r="Q213" s="93"/>
      <c r="R213" s="93"/>
      <c r="S213" s="93"/>
      <c r="T213" s="93"/>
      <c r="U213" s="93"/>
      <c r="V213" s="93"/>
      <c r="W213" s="93"/>
      <c r="X213" s="93"/>
      <c r="Y213" s="93"/>
    </row>
    <row r="214">
      <c r="A214" s="1"/>
      <c r="B214" s="44"/>
      <c r="D214" s="44"/>
      <c r="E214" s="93"/>
      <c r="F214" s="93"/>
      <c r="G214" s="93"/>
      <c r="H214" s="93"/>
      <c r="I214" s="93"/>
      <c r="J214" s="93"/>
      <c r="K214" s="93"/>
      <c r="L214" s="93"/>
      <c r="M214" s="93"/>
      <c r="N214" s="93"/>
      <c r="O214" s="93"/>
      <c r="P214" s="93"/>
      <c r="Q214" s="93"/>
      <c r="R214" s="93"/>
      <c r="S214" s="93"/>
      <c r="T214" s="93"/>
      <c r="U214" s="93"/>
      <c r="V214" s="93"/>
      <c r="W214" s="93"/>
      <c r="X214" s="93"/>
      <c r="Y214" s="93"/>
    </row>
    <row r="215">
      <c r="A215" s="1"/>
      <c r="B215" s="44"/>
      <c r="D215" s="44"/>
      <c r="E215" s="93"/>
      <c r="F215" s="93"/>
      <c r="G215" s="93"/>
      <c r="H215" s="93"/>
      <c r="I215" s="93"/>
      <c r="J215" s="93"/>
      <c r="K215" s="93"/>
      <c r="L215" s="93"/>
      <c r="M215" s="93"/>
      <c r="N215" s="93"/>
      <c r="O215" s="93"/>
      <c r="P215" s="93"/>
      <c r="Q215" s="93"/>
      <c r="R215" s="93"/>
      <c r="S215" s="93"/>
      <c r="T215" s="93"/>
      <c r="U215" s="93"/>
      <c r="V215" s="93"/>
      <c r="W215" s="93"/>
      <c r="X215" s="93"/>
      <c r="Y215" s="93"/>
    </row>
    <row r="216">
      <c r="A216" s="1"/>
      <c r="B216" s="44"/>
      <c r="D216" s="44"/>
      <c r="E216" s="93"/>
      <c r="F216" s="93"/>
      <c r="G216" s="93"/>
      <c r="H216" s="93"/>
      <c r="I216" s="93"/>
      <c r="J216" s="93"/>
      <c r="K216" s="93"/>
      <c r="L216" s="93"/>
      <c r="M216" s="93"/>
      <c r="N216" s="93"/>
      <c r="O216" s="93"/>
      <c r="P216" s="93"/>
      <c r="Q216" s="93"/>
      <c r="R216" s="93"/>
      <c r="S216" s="93"/>
      <c r="T216" s="93"/>
      <c r="U216" s="93"/>
      <c r="V216" s="93"/>
      <c r="W216" s="93"/>
      <c r="X216" s="93"/>
      <c r="Y216" s="93"/>
    </row>
    <row r="217">
      <c r="A217" s="1"/>
      <c r="B217" s="44"/>
      <c r="D217" s="44"/>
      <c r="E217" s="93"/>
      <c r="F217" s="93"/>
      <c r="G217" s="93"/>
      <c r="H217" s="93"/>
      <c r="I217" s="93"/>
      <c r="J217" s="93"/>
      <c r="K217" s="93"/>
      <c r="L217" s="93"/>
      <c r="M217" s="93"/>
      <c r="N217" s="93"/>
      <c r="O217" s="93"/>
      <c r="P217" s="93"/>
      <c r="Q217" s="93"/>
      <c r="R217" s="93"/>
      <c r="S217" s="93"/>
      <c r="T217" s="93"/>
      <c r="U217" s="93"/>
      <c r="V217" s="93"/>
      <c r="W217" s="93"/>
      <c r="X217" s="93"/>
      <c r="Y217" s="93"/>
    </row>
    <row r="218">
      <c r="A218" s="1"/>
      <c r="B218" s="44"/>
      <c r="D218" s="44"/>
      <c r="E218" s="93"/>
      <c r="F218" s="93"/>
      <c r="G218" s="93"/>
      <c r="H218" s="93"/>
      <c r="I218" s="93"/>
      <c r="J218" s="93"/>
      <c r="K218" s="93"/>
      <c r="L218" s="93"/>
      <c r="M218" s="93"/>
      <c r="N218" s="93"/>
      <c r="O218" s="93"/>
      <c r="P218" s="93"/>
      <c r="Q218" s="93"/>
      <c r="R218" s="93"/>
      <c r="S218" s="93"/>
      <c r="T218" s="93"/>
      <c r="U218" s="93"/>
      <c r="V218" s="93"/>
      <c r="W218" s="93"/>
      <c r="X218" s="93"/>
      <c r="Y218" s="93"/>
    </row>
    <row r="219">
      <c r="A219" s="1"/>
      <c r="B219" s="44"/>
      <c r="D219" s="44"/>
      <c r="E219" s="93"/>
      <c r="F219" s="93"/>
      <c r="G219" s="93"/>
      <c r="H219" s="93"/>
      <c r="I219" s="93"/>
      <c r="J219" s="93"/>
      <c r="K219" s="93"/>
      <c r="L219" s="93"/>
      <c r="M219" s="93"/>
      <c r="N219" s="93"/>
      <c r="O219" s="93"/>
      <c r="P219" s="93"/>
      <c r="Q219" s="93"/>
      <c r="R219" s="93"/>
      <c r="S219" s="93"/>
      <c r="T219" s="93"/>
      <c r="U219" s="93"/>
      <c r="V219" s="93"/>
      <c r="W219" s="93"/>
      <c r="X219" s="93"/>
      <c r="Y219" s="93"/>
    </row>
    <row r="220">
      <c r="A220" s="1"/>
      <c r="B220" s="44"/>
      <c r="D220" s="44"/>
      <c r="E220" s="93"/>
      <c r="F220" s="93"/>
      <c r="G220" s="93"/>
      <c r="H220" s="93"/>
      <c r="I220" s="93"/>
      <c r="J220" s="93"/>
      <c r="K220" s="93"/>
      <c r="L220" s="93"/>
      <c r="M220" s="93"/>
      <c r="N220" s="93"/>
      <c r="O220" s="93"/>
      <c r="P220" s="93"/>
      <c r="Q220" s="93"/>
      <c r="R220" s="93"/>
      <c r="S220" s="93"/>
      <c r="T220" s="93"/>
      <c r="U220" s="93"/>
      <c r="V220" s="93"/>
      <c r="W220" s="93"/>
      <c r="X220" s="93"/>
      <c r="Y220" s="93"/>
    </row>
    <row r="221">
      <c r="A221" s="1"/>
      <c r="B221" s="44"/>
      <c r="D221" s="44"/>
      <c r="E221" s="93"/>
      <c r="F221" s="93"/>
      <c r="G221" s="93"/>
      <c r="H221" s="93"/>
      <c r="I221" s="93"/>
      <c r="J221" s="93"/>
      <c r="K221" s="93"/>
      <c r="L221" s="93"/>
      <c r="M221" s="93"/>
      <c r="N221" s="93"/>
      <c r="O221" s="93"/>
      <c r="P221" s="93"/>
      <c r="Q221" s="93"/>
      <c r="R221" s="93"/>
      <c r="S221" s="93"/>
      <c r="T221" s="93"/>
      <c r="U221" s="93"/>
      <c r="V221" s="93"/>
      <c r="W221" s="93"/>
      <c r="X221" s="93"/>
      <c r="Y221" s="93"/>
    </row>
    <row r="222">
      <c r="A222" s="1"/>
      <c r="B222" s="44"/>
      <c r="D222" s="44"/>
      <c r="E222" s="93"/>
      <c r="F222" s="93"/>
      <c r="G222" s="93"/>
      <c r="H222" s="93"/>
      <c r="I222" s="93"/>
      <c r="J222" s="93"/>
      <c r="K222" s="93"/>
      <c r="L222" s="93"/>
      <c r="M222" s="93"/>
      <c r="N222" s="93"/>
      <c r="O222" s="93"/>
      <c r="P222" s="93"/>
      <c r="Q222" s="93"/>
      <c r="R222" s="93"/>
      <c r="S222" s="93"/>
      <c r="T222" s="93"/>
      <c r="U222" s="93"/>
      <c r="V222" s="93"/>
      <c r="W222" s="93"/>
      <c r="X222" s="93"/>
      <c r="Y222" s="93"/>
    </row>
    <row r="223">
      <c r="A223" s="1"/>
      <c r="B223" s="44"/>
      <c r="D223" s="44"/>
      <c r="E223" s="93"/>
      <c r="F223" s="93"/>
      <c r="G223" s="93"/>
      <c r="H223" s="93"/>
      <c r="I223" s="93"/>
      <c r="J223" s="93"/>
      <c r="K223" s="93"/>
      <c r="L223" s="93"/>
      <c r="M223" s="93"/>
      <c r="N223" s="93"/>
      <c r="O223" s="93"/>
      <c r="P223" s="93"/>
      <c r="Q223" s="93"/>
      <c r="R223" s="93"/>
      <c r="S223" s="93"/>
      <c r="T223" s="93"/>
      <c r="U223" s="93"/>
      <c r="V223" s="93"/>
      <c r="W223" s="93"/>
      <c r="X223" s="93"/>
      <c r="Y223" s="93"/>
    </row>
    <row r="224">
      <c r="A224" s="1"/>
      <c r="B224" s="44"/>
      <c r="D224" s="44"/>
      <c r="E224" s="93"/>
      <c r="F224" s="93"/>
      <c r="G224" s="93"/>
      <c r="H224" s="93"/>
      <c r="I224" s="93"/>
      <c r="J224" s="93"/>
      <c r="K224" s="93"/>
      <c r="L224" s="93"/>
      <c r="M224" s="93"/>
      <c r="N224" s="93"/>
      <c r="O224" s="93"/>
      <c r="P224" s="93"/>
      <c r="Q224" s="93"/>
      <c r="R224" s="93"/>
      <c r="S224" s="93"/>
      <c r="T224" s="93"/>
      <c r="U224" s="93"/>
      <c r="V224" s="93"/>
      <c r="W224" s="93"/>
      <c r="X224" s="93"/>
      <c r="Y224" s="93"/>
    </row>
    <row r="225">
      <c r="A225" s="1"/>
      <c r="B225" s="44"/>
      <c r="D225" s="44"/>
      <c r="E225" s="93"/>
      <c r="F225" s="93"/>
      <c r="G225" s="93"/>
      <c r="H225" s="93"/>
      <c r="I225" s="93"/>
      <c r="J225" s="93"/>
      <c r="K225" s="93"/>
      <c r="L225" s="93"/>
      <c r="M225" s="93"/>
      <c r="N225" s="93"/>
      <c r="O225" s="93"/>
      <c r="P225" s="93"/>
      <c r="Q225" s="93"/>
      <c r="R225" s="93"/>
      <c r="S225" s="93"/>
      <c r="T225" s="93"/>
      <c r="U225" s="93"/>
      <c r="V225" s="93"/>
      <c r="W225" s="93"/>
      <c r="X225" s="93"/>
      <c r="Y225" s="93"/>
    </row>
    <row r="226">
      <c r="A226" s="1"/>
      <c r="B226" s="44"/>
      <c r="D226" s="44"/>
      <c r="E226" s="93"/>
      <c r="F226" s="93"/>
      <c r="G226" s="93"/>
      <c r="H226" s="93"/>
      <c r="I226" s="93"/>
      <c r="J226" s="93"/>
      <c r="K226" s="93"/>
      <c r="L226" s="93"/>
      <c r="M226" s="93"/>
      <c r="N226" s="93"/>
      <c r="O226" s="93"/>
      <c r="P226" s="93"/>
      <c r="Q226" s="93"/>
      <c r="R226" s="93"/>
      <c r="S226" s="93"/>
      <c r="T226" s="93"/>
      <c r="U226" s="93"/>
      <c r="V226" s="93"/>
      <c r="W226" s="93"/>
      <c r="X226" s="93"/>
      <c r="Y226" s="93"/>
    </row>
    <row r="227">
      <c r="A227" s="1"/>
      <c r="B227" s="44"/>
      <c r="D227" s="44"/>
      <c r="E227" s="93"/>
      <c r="F227" s="93"/>
      <c r="G227" s="93"/>
      <c r="H227" s="93"/>
      <c r="I227" s="93"/>
      <c r="J227" s="93"/>
      <c r="K227" s="93"/>
      <c r="L227" s="93"/>
      <c r="M227" s="93"/>
      <c r="N227" s="93"/>
      <c r="O227" s="93"/>
      <c r="P227" s="93"/>
      <c r="Q227" s="93"/>
      <c r="R227" s="93"/>
      <c r="S227" s="93"/>
      <c r="T227" s="93"/>
      <c r="U227" s="93"/>
      <c r="V227" s="93"/>
      <c r="W227" s="93"/>
      <c r="X227" s="93"/>
      <c r="Y227" s="93"/>
    </row>
    <row r="228">
      <c r="A228" s="1"/>
      <c r="B228" s="44"/>
      <c r="D228" s="44"/>
      <c r="E228" s="93"/>
      <c r="F228" s="93"/>
      <c r="G228" s="93"/>
      <c r="H228" s="93"/>
      <c r="I228" s="93"/>
      <c r="J228" s="93"/>
      <c r="K228" s="93"/>
      <c r="L228" s="93"/>
      <c r="M228" s="93"/>
      <c r="N228" s="93"/>
      <c r="O228" s="93"/>
      <c r="P228" s="93"/>
      <c r="Q228" s="93"/>
      <c r="R228" s="93"/>
      <c r="S228" s="93"/>
      <c r="T228" s="93"/>
      <c r="U228" s="93"/>
      <c r="V228" s="93"/>
      <c r="W228" s="93"/>
      <c r="X228" s="93"/>
      <c r="Y228" s="93"/>
    </row>
    <row r="229">
      <c r="A229" s="1"/>
      <c r="B229" s="44"/>
      <c r="D229" s="44"/>
      <c r="E229" s="93"/>
      <c r="F229" s="93"/>
      <c r="G229" s="93"/>
      <c r="H229" s="93"/>
      <c r="I229" s="93"/>
      <c r="J229" s="93"/>
      <c r="K229" s="93"/>
      <c r="L229" s="93"/>
      <c r="M229" s="93"/>
      <c r="N229" s="93"/>
      <c r="O229" s="93"/>
      <c r="P229" s="93"/>
      <c r="Q229" s="93"/>
      <c r="R229" s="93"/>
      <c r="S229" s="93"/>
      <c r="T229" s="93"/>
      <c r="U229" s="93"/>
      <c r="V229" s="93"/>
      <c r="W229" s="93"/>
      <c r="X229" s="93"/>
      <c r="Y229" s="93"/>
    </row>
    <row r="230">
      <c r="A230" s="1"/>
      <c r="B230" s="44"/>
      <c r="D230" s="44"/>
      <c r="E230" s="93"/>
      <c r="F230" s="93"/>
      <c r="G230" s="93"/>
      <c r="H230" s="93"/>
      <c r="I230" s="93"/>
      <c r="J230" s="93"/>
      <c r="K230" s="93"/>
      <c r="L230" s="93"/>
      <c r="M230" s="93"/>
      <c r="N230" s="93"/>
      <c r="O230" s="93"/>
      <c r="P230" s="93"/>
      <c r="Q230" s="93"/>
      <c r="R230" s="93"/>
      <c r="S230" s="93"/>
      <c r="T230" s="93"/>
      <c r="U230" s="93"/>
      <c r="V230" s="93"/>
      <c r="W230" s="93"/>
      <c r="X230" s="93"/>
      <c r="Y230" s="93"/>
    </row>
    <row r="231">
      <c r="A231" s="1"/>
      <c r="B231" s="44"/>
      <c r="D231" s="44"/>
      <c r="E231" s="93"/>
      <c r="F231" s="93"/>
      <c r="G231" s="93"/>
      <c r="H231" s="93"/>
      <c r="I231" s="93"/>
      <c r="J231" s="93"/>
      <c r="K231" s="93"/>
      <c r="L231" s="93"/>
      <c r="M231" s="93"/>
      <c r="N231" s="93"/>
      <c r="O231" s="93"/>
      <c r="P231" s="93"/>
      <c r="Q231" s="93"/>
      <c r="R231" s="93"/>
      <c r="S231" s="93"/>
      <c r="T231" s="93"/>
      <c r="U231" s="93"/>
      <c r="V231" s="93"/>
      <c r="W231" s="93"/>
      <c r="X231" s="93"/>
      <c r="Y231" s="93"/>
    </row>
    <row r="232">
      <c r="A232" s="1"/>
      <c r="B232" s="44"/>
      <c r="D232" s="44"/>
      <c r="E232" s="93"/>
      <c r="F232" s="93"/>
      <c r="G232" s="93"/>
      <c r="H232" s="93"/>
      <c r="I232" s="93"/>
      <c r="J232" s="93"/>
      <c r="K232" s="93"/>
      <c r="L232" s="93"/>
      <c r="M232" s="93"/>
      <c r="N232" s="93"/>
      <c r="O232" s="93"/>
      <c r="P232" s="93"/>
      <c r="Q232" s="93"/>
      <c r="R232" s="93"/>
      <c r="S232" s="93"/>
      <c r="T232" s="93"/>
      <c r="U232" s="93"/>
      <c r="V232" s="93"/>
      <c r="W232" s="93"/>
      <c r="X232" s="93"/>
      <c r="Y232" s="93"/>
    </row>
    <row r="233">
      <c r="A233" s="1"/>
      <c r="B233" s="44"/>
      <c r="D233" s="44"/>
      <c r="E233" s="93"/>
      <c r="F233" s="93"/>
      <c r="G233" s="93"/>
      <c r="H233" s="93"/>
      <c r="I233" s="93"/>
      <c r="J233" s="93"/>
      <c r="K233" s="93"/>
      <c r="L233" s="93"/>
      <c r="M233" s="93"/>
      <c r="N233" s="93"/>
      <c r="O233" s="93"/>
      <c r="P233" s="93"/>
      <c r="Q233" s="93"/>
      <c r="R233" s="93"/>
      <c r="S233" s="93"/>
      <c r="T233" s="93"/>
      <c r="U233" s="93"/>
      <c r="V233" s="93"/>
      <c r="W233" s="93"/>
      <c r="X233" s="93"/>
      <c r="Y233" s="93"/>
    </row>
    <row r="234">
      <c r="A234" s="1"/>
      <c r="B234" s="44"/>
      <c r="D234" s="44"/>
      <c r="E234" s="93"/>
      <c r="F234" s="93"/>
      <c r="G234" s="93"/>
      <c r="H234" s="93"/>
      <c r="I234" s="93"/>
      <c r="J234" s="93"/>
      <c r="K234" s="93"/>
      <c r="L234" s="93"/>
      <c r="M234" s="93"/>
      <c r="N234" s="93"/>
      <c r="O234" s="93"/>
      <c r="P234" s="93"/>
      <c r="Q234" s="93"/>
      <c r="R234" s="93"/>
      <c r="S234" s="93"/>
      <c r="T234" s="93"/>
      <c r="U234" s="93"/>
      <c r="V234" s="93"/>
      <c r="W234" s="93"/>
      <c r="X234" s="93"/>
      <c r="Y234" s="93"/>
    </row>
    <row r="235">
      <c r="A235" s="1"/>
      <c r="B235" s="44"/>
      <c r="D235" s="44"/>
      <c r="E235" s="93"/>
      <c r="F235" s="93"/>
      <c r="G235" s="93"/>
      <c r="H235" s="93"/>
      <c r="I235" s="93"/>
      <c r="J235" s="93"/>
      <c r="K235" s="93"/>
      <c r="L235" s="93"/>
      <c r="M235" s="93"/>
      <c r="N235" s="93"/>
      <c r="O235" s="93"/>
      <c r="P235" s="93"/>
      <c r="Q235" s="93"/>
      <c r="R235" s="93"/>
      <c r="S235" s="93"/>
      <c r="T235" s="93"/>
      <c r="U235" s="93"/>
      <c r="V235" s="93"/>
      <c r="W235" s="93"/>
      <c r="X235" s="93"/>
      <c r="Y235" s="93"/>
    </row>
    <row r="236">
      <c r="A236" s="1"/>
      <c r="B236" s="44"/>
      <c r="D236" s="44"/>
      <c r="E236" s="93"/>
      <c r="F236" s="93"/>
      <c r="G236" s="93"/>
      <c r="H236" s="93"/>
      <c r="I236" s="93"/>
      <c r="J236" s="93"/>
      <c r="K236" s="93"/>
      <c r="L236" s="93"/>
      <c r="M236" s="93"/>
      <c r="N236" s="93"/>
      <c r="O236" s="93"/>
      <c r="P236" s="93"/>
      <c r="Q236" s="93"/>
      <c r="R236" s="93"/>
      <c r="S236" s="93"/>
      <c r="T236" s="93"/>
      <c r="U236" s="93"/>
      <c r="V236" s="93"/>
      <c r="W236" s="93"/>
      <c r="X236" s="93"/>
      <c r="Y236" s="93"/>
    </row>
    <row r="237">
      <c r="A237" s="1"/>
      <c r="B237" s="44"/>
      <c r="D237" s="44"/>
      <c r="E237" s="93"/>
      <c r="F237" s="93"/>
      <c r="G237" s="93"/>
      <c r="H237" s="93"/>
      <c r="I237" s="93"/>
      <c r="J237" s="93"/>
      <c r="K237" s="93"/>
      <c r="L237" s="93"/>
      <c r="M237" s="93"/>
      <c r="N237" s="93"/>
      <c r="O237" s="93"/>
      <c r="P237" s="93"/>
      <c r="Q237" s="93"/>
      <c r="R237" s="93"/>
      <c r="S237" s="93"/>
      <c r="T237" s="93"/>
      <c r="U237" s="93"/>
      <c r="V237" s="93"/>
      <c r="W237" s="93"/>
      <c r="X237" s="93"/>
      <c r="Y237" s="93"/>
    </row>
    <row r="238">
      <c r="A238" s="1"/>
      <c r="B238" s="44"/>
      <c r="D238" s="44"/>
      <c r="E238" s="93"/>
      <c r="F238" s="93"/>
      <c r="G238" s="93"/>
      <c r="H238" s="93"/>
      <c r="I238" s="93"/>
      <c r="J238" s="93"/>
      <c r="K238" s="93"/>
      <c r="L238" s="93"/>
      <c r="M238" s="93"/>
      <c r="N238" s="93"/>
      <c r="O238" s="93"/>
      <c r="P238" s="93"/>
      <c r="Q238" s="93"/>
      <c r="R238" s="93"/>
      <c r="S238" s="93"/>
      <c r="T238" s="93"/>
      <c r="U238" s="93"/>
      <c r="V238" s="93"/>
      <c r="W238" s="93"/>
      <c r="X238" s="93"/>
      <c r="Y238" s="93"/>
    </row>
    <row r="239">
      <c r="A239" s="1"/>
      <c r="B239" s="44"/>
      <c r="D239" s="44"/>
      <c r="E239" s="93"/>
      <c r="F239" s="93"/>
      <c r="G239" s="93"/>
      <c r="H239" s="93"/>
      <c r="I239" s="93"/>
      <c r="J239" s="93"/>
      <c r="K239" s="93"/>
      <c r="L239" s="93"/>
      <c r="M239" s="93"/>
      <c r="N239" s="93"/>
      <c r="O239" s="93"/>
      <c r="P239" s="93"/>
      <c r="Q239" s="93"/>
      <c r="R239" s="93"/>
      <c r="S239" s="93"/>
      <c r="T239" s="93"/>
      <c r="U239" s="93"/>
      <c r="V239" s="93"/>
      <c r="W239" s="93"/>
      <c r="X239" s="93"/>
      <c r="Y239" s="93"/>
    </row>
    <row r="240">
      <c r="A240" s="1"/>
      <c r="B240" s="44"/>
      <c r="D240" s="44"/>
      <c r="E240" s="93"/>
      <c r="F240" s="93"/>
      <c r="G240" s="93"/>
      <c r="H240" s="93"/>
      <c r="I240" s="93"/>
      <c r="J240" s="93"/>
      <c r="K240" s="93"/>
      <c r="L240" s="93"/>
      <c r="M240" s="93"/>
      <c r="N240" s="93"/>
      <c r="O240" s="93"/>
      <c r="P240" s="93"/>
      <c r="Q240" s="93"/>
      <c r="R240" s="93"/>
      <c r="S240" s="93"/>
      <c r="T240" s="93"/>
      <c r="U240" s="93"/>
      <c r="V240" s="93"/>
      <c r="W240" s="93"/>
      <c r="X240" s="93"/>
      <c r="Y240" s="93"/>
    </row>
    <row r="241">
      <c r="A241" s="1"/>
      <c r="B241" s="44"/>
      <c r="D241" s="44"/>
      <c r="E241" s="93"/>
      <c r="F241" s="93"/>
      <c r="G241" s="93"/>
      <c r="H241" s="93"/>
      <c r="I241" s="93"/>
      <c r="J241" s="93"/>
      <c r="K241" s="93"/>
      <c r="L241" s="93"/>
      <c r="M241" s="93"/>
      <c r="N241" s="93"/>
      <c r="O241" s="93"/>
      <c r="P241" s="93"/>
      <c r="Q241" s="93"/>
      <c r="R241" s="93"/>
      <c r="S241" s="93"/>
      <c r="T241" s="93"/>
      <c r="U241" s="93"/>
      <c r="V241" s="93"/>
      <c r="W241" s="93"/>
      <c r="X241" s="93"/>
      <c r="Y241" s="93"/>
    </row>
    <row r="242">
      <c r="A242" s="1"/>
      <c r="B242" s="44"/>
      <c r="D242" s="44"/>
      <c r="E242" s="93"/>
      <c r="F242" s="93"/>
      <c r="G242" s="93"/>
      <c r="H242" s="93"/>
      <c r="I242" s="93"/>
      <c r="J242" s="93"/>
      <c r="K242" s="93"/>
      <c r="L242" s="93"/>
      <c r="M242" s="93"/>
      <c r="N242" s="93"/>
      <c r="O242" s="93"/>
      <c r="P242" s="93"/>
      <c r="Q242" s="93"/>
      <c r="R242" s="93"/>
      <c r="S242" s="93"/>
      <c r="T242" s="93"/>
      <c r="U242" s="93"/>
      <c r="V242" s="93"/>
      <c r="W242" s="93"/>
      <c r="X242" s="93"/>
      <c r="Y242" s="93"/>
    </row>
    <row r="243">
      <c r="A243" s="1"/>
      <c r="B243" s="44"/>
      <c r="D243" s="44"/>
      <c r="E243" s="93"/>
      <c r="F243" s="93"/>
      <c r="G243" s="93"/>
      <c r="H243" s="93"/>
      <c r="I243" s="93"/>
      <c r="J243" s="93"/>
      <c r="K243" s="93"/>
      <c r="L243" s="93"/>
      <c r="M243" s="93"/>
      <c r="N243" s="93"/>
      <c r="O243" s="93"/>
      <c r="P243" s="93"/>
      <c r="Q243" s="93"/>
      <c r="R243" s="93"/>
      <c r="S243" s="93"/>
      <c r="T243" s="93"/>
      <c r="U243" s="93"/>
      <c r="V243" s="93"/>
      <c r="W243" s="93"/>
      <c r="X243" s="93"/>
      <c r="Y243" s="93"/>
    </row>
    <row r="244">
      <c r="A244" s="1"/>
      <c r="B244" s="44"/>
      <c r="D244" s="44"/>
      <c r="E244" s="93"/>
      <c r="F244" s="93"/>
      <c r="G244" s="93"/>
      <c r="H244" s="93"/>
      <c r="I244" s="93"/>
      <c r="J244" s="93"/>
      <c r="K244" s="93"/>
      <c r="L244" s="93"/>
      <c r="M244" s="93"/>
      <c r="N244" s="93"/>
      <c r="O244" s="93"/>
      <c r="P244" s="93"/>
      <c r="Q244" s="93"/>
      <c r="R244" s="93"/>
      <c r="S244" s="93"/>
      <c r="T244" s="93"/>
      <c r="U244" s="93"/>
      <c r="V244" s="93"/>
      <c r="W244" s="93"/>
      <c r="X244" s="93"/>
      <c r="Y244" s="93"/>
    </row>
    <row r="245">
      <c r="A245" s="1"/>
      <c r="B245" s="44"/>
      <c r="D245" s="44"/>
      <c r="E245" s="93"/>
      <c r="F245" s="93"/>
      <c r="G245" s="93"/>
      <c r="H245" s="93"/>
      <c r="I245" s="93"/>
      <c r="J245" s="93"/>
      <c r="K245" s="93"/>
      <c r="L245" s="93"/>
      <c r="M245" s="93"/>
      <c r="N245" s="93"/>
      <c r="O245" s="93"/>
      <c r="P245" s="93"/>
      <c r="Q245" s="93"/>
      <c r="R245" s="93"/>
      <c r="S245" s="93"/>
      <c r="T245" s="93"/>
      <c r="U245" s="93"/>
      <c r="V245" s="93"/>
      <c r="W245" s="93"/>
      <c r="X245" s="93"/>
      <c r="Y245" s="93"/>
    </row>
    <row r="246">
      <c r="A246" s="1"/>
      <c r="B246" s="44"/>
      <c r="D246" s="44"/>
      <c r="E246" s="93"/>
      <c r="F246" s="93"/>
      <c r="G246" s="93"/>
      <c r="H246" s="93"/>
      <c r="I246" s="93"/>
      <c r="J246" s="93"/>
      <c r="K246" s="93"/>
      <c r="L246" s="93"/>
      <c r="M246" s="93"/>
      <c r="N246" s="93"/>
      <c r="O246" s="93"/>
      <c r="P246" s="93"/>
      <c r="Q246" s="93"/>
      <c r="R246" s="93"/>
      <c r="S246" s="93"/>
      <c r="T246" s="93"/>
      <c r="U246" s="93"/>
      <c r="V246" s="93"/>
      <c r="W246" s="93"/>
      <c r="X246" s="93"/>
      <c r="Y246" s="93"/>
    </row>
    <row r="247">
      <c r="A247" s="1"/>
      <c r="B247" s="44"/>
      <c r="D247" s="44"/>
      <c r="E247" s="93"/>
      <c r="F247" s="93"/>
      <c r="G247" s="93"/>
      <c r="H247" s="93"/>
      <c r="I247" s="93"/>
      <c r="J247" s="93"/>
      <c r="K247" s="93"/>
      <c r="L247" s="93"/>
      <c r="M247" s="93"/>
      <c r="N247" s="93"/>
      <c r="O247" s="93"/>
      <c r="P247" s="93"/>
      <c r="Q247" s="93"/>
      <c r="R247" s="93"/>
      <c r="S247" s="93"/>
      <c r="T247" s="93"/>
      <c r="U247" s="93"/>
      <c r="V247" s="93"/>
      <c r="W247" s="93"/>
      <c r="X247" s="93"/>
      <c r="Y247" s="93"/>
    </row>
    <row r="248">
      <c r="A248" s="1"/>
      <c r="B248" s="44"/>
      <c r="D248" s="44"/>
      <c r="E248" s="93"/>
      <c r="F248" s="93"/>
      <c r="G248" s="93"/>
      <c r="H248" s="93"/>
      <c r="I248" s="93"/>
      <c r="J248" s="93"/>
      <c r="K248" s="93"/>
      <c r="L248" s="93"/>
      <c r="M248" s="93"/>
      <c r="N248" s="93"/>
      <c r="O248" s="93"/>
      <c r="P248" s="93"/>
      <c r="Q248" s="93"/>
      <c r="R248" s="93"/>
      <c r="S248" s="93"/>
      <c r="T248" s="93"/>
      <c r="U248" s="93"/>
      <c r="V248" s="93"/>
      <c r="W248" s="93"/>
      <c r="X248" s="93"/>
      <c r="Y248" s="93"/>
    </row>
    <row r="249">
      <c r="A249" s="1"/>
      <c r="B249" s="44"/>
      <c r="D249" s="44"/>
      <c r="E249" s="93"/>
      <c r="F249" s="93"/>
      <c r="G249" s="93"/>
      <c r="H249" s="93"/>
      <c r="I249" s="93"/>
      <c r="J249" s="93"/>
      <c r="K249" s="93"/>
      <c r="L249" s="93"/>
      <c r="M249" s="93"/>
      <c r="N249" s="93"/>
      <c r="O249" s="93"/>
      <c r="P249" s="93"/>
      <c r="Q249" s="93"/>
      <c r="R249" s="93"/>
      <c r="S249" s="93"/>
      <c r="T249" s="93"/>
      <c r="U249" s="93"/>
      <c r="V249" s="93"/>
      <c r="W249" s="93"/>
      <c r="X249" s="93"/>
      <c r="Y249" s="93"/>
    </row>
    <row r="250">
      <c r="A250" s="1"/>
      <c r="B250" s="44"/>
      <c r="D250" s="44"/>
      <c r="E250" s="93"/>
      <c r="F250" s="93"/>
      <c r="G250" s="93"/>
      <c r="H250" s="93"/>
      <c r="I250" s="93"/>
      <c r="J250" s="93"/>
      <c r="K250" s="93"/>
      <c r="L250" s="93"/>
      <c r="M250" s="93"/>
      <c r="N250" s="93"/>
      <c r="O250" s="93"/>
      <c r="P250" s="93"/>
      <c r="Q250" s="93"/>
      <c r="R250" s="93"/>
      <c r="S250" s="93"/>
      <c r="T250" s="93"/>
      <c r="U250" s="93"/>
      <c r="V250" s="93"/>
      <c r="W250" s="93"/>
      <c r="X250" s="93"/>
      <c r="Y250" s="93"/>
    </row>
    <row r="251">
      <c r="A251" s="1"/>
      <c r="B251" s="44"/>
      <c r="D251" s="44"/>
      <c r="E251" s="93"/>
      <c r="F251" s="93"/>
      <c r="G251" s="93"/>
      <c r="H251" s="93"/>
      <c r="I251" s="93"/>
      <c r="J251" s="93"/>
      <c r="K251" s="93"/>
      <c r="L251" s="93"/>
      <c r="M251" s="93"/>
      <c r="N251" s="93"/>
      <c r="O251" s="93"/>
      <c r="P251" s="93"/>
      <c r="Q251" s="93"/>
      <c r="R251" s="93"/>
      <c r="S251" s="93"/>
      <c r="T251" s="93"/>
      <c r="U251" s="93"/>
      <c r="V251" s="93"/>
      <c r="W251" s="93"/>
      <c r="X251" s="93"/>
      <c r="Y251" s="93"/>
    </row>
    <row r="252">
      <c r="A252" s="1"/>
      <c r="B252" s="44"/>
      <c r="D252" s="44"/>
      <c r="E252" s="93"/>
      <c r="F252" s="93"/>
      <c r="G252" s="93"/>
      <c r="H252" s="93"/>
      <c r="I252" s="93"/>
      <c r="J252" s="93"/>
      <c r="K252" s="93"/>
      <c r="L252" s="93"/>
      <c r="M252" s="93"/>
      <c r="N252" s="93"/>
      <c r="O252" s="93"/>
      <c r="P252" s="93"/>
      <c r="Q252" s="93"/>
      <c r="R252" s="93"/>
      <c r="S252" s="93"/>
      <c r="T252" s="93"/>
      <c r="U252" s="93"/>
      <c r="V252" s="93"/>
      <c r="W252" s="93"/>
      <c r="X252" s="93"/>
      <c r="Y252" s="93"/>
    </row>
    <row r="253">
      <c r="A253" s="1"/>
      <c r="B253" s="44"/>
      <c r="D253" s="44"/>
      <c r="E253" s="93"/>
      <c r="F253" s="93"/>
      <c r="G253" s="93"/>
      <c r="H253" s="93"/>
      <c r="I253" s="93"/>
      <c r="J253" s="93"/>
      <c r="K253" s="93"/>
      <c r="L253" s="93"/>
      <c r="M253" s="93"/>
      <c r="N253" s="93"/>
      <c r="O253" s="93"/>
      <c r="P253" s="93"/>
      <c r="Q253" s="93"/>
      <c r="R253" s="93"/>
      <c r="S253" s="93"/>
      <c r="T253" s="93"/>
      <c r="U253" s="93"/>
      <c r="V253" s="93"/>
      <c r="W253" s="93"/>
      <c r="X253" s="93"/>
      <c r="Y253" s="93"/>
    </row>
    <row r="254">
      <c r="A254" s="1"/>
      <c r="B254" s="44"/>
      <c r="D254" s="44"/>
      <c r="E254" s="93"/>
      <c r="F254" s="93"/>
      <c r="G254" s="93"/>
      <c r="H254" s="93"/>
      <c r="I254" s="93"/>
      <c r="J254" s="93"/>
      <c r="K254" s="93"/>
      <c r="L254" s="93"/>
      <c r="M254" s="93"/>
      <c r="N254" s="93"/>
      <c r="O254" s="93"/>
      <c r="P254" s="93"/>
      <c r="Q254" s="93"/>
      <c r="R254" s="93"/>
      <c r="S254" s="93"/>
      <c r="T254" s="93"/>
      <c r="U254" s="93"/>
      <c r="V254" s="93"/>
      <c r="W254" s="93"/>
      <c r="X254" s="93"/>
      <c r="Y254" s="93"/>
    </row>
    <row r="255">
      <c r="A255" s="1"/>
      <c r="B255" s="44"/>
      <c r="D255" s="44"/>
      <c r="E255" s="93"/>
      <c r="F255" s="93"/>
      <c r="G255" s="93"/>
      <c r="H255" s="93"/>
      <c r="I255" s="93"/>
      <c r="J255" s="93"/>
      <c r="K255" s="93"/>
      <c r="L255" s="93"/>
      <c r="M255" s="93"/>
      <c r="N255" s="93"/>
      <c r="O255" s="93"/>
      <c r="P255" s="93"/>
      <c r="Q255" s="93"/>
      <c r="R255" s="93"/>
      <c r="S255" s="93"/>
      <c r="T255" s="93"/>
      <c r="U255" s="93"/>
      <c r="V255" s="93"/>
      <c r="W255" s="93"/>
      <c r="X255" s="93"/>
      <c r="Y255" s="93"/>
    </row>
    <row r="256">
      <c r="A256" s="1"/>
      <c r="B256" s="44"/>
      <c r="D256" s="44"/>
      <c r="E256" s="93"/>
      <c r="F256" s="93"/>
      <c r="G256" s="93"/>
      <c r="H256" s="93"/>
      <c r="I256" s="93"/>
      <c r="J256" s="93"/>
      <c r="K256" s="93"/>
      <c r="L256" s="93"/>
      <c r="M256" s="93"/>
      <c r="N256" s="93"/>
      <c r="O256" s="93"/>
      <c r="P256" s="93"/>
      <c r="Q256" s="93"/>
      <c r="R256" s="93"/>
      <c r="S256" s="93"/>
      <c r="T256" s="93"/>
      <c r="U256" s="93"/>
      <c r="V256" s="93"/>
      <c r="W256" s="93"/>
      <c r="X256" s="93"/>
      <c r="Y256" s="93"/>
    </row>
    <row r="257">
      <c r="A257" s="1"/>
      <c r="B257" s="44"/>
      <c r="D257" s="44"/>
      <c r="E257" s="93"/>
      <c r="F257" s="93"/>
      <c r="G257" s="93"/>
      <c r="H257" s="93"/>
      <c r="I257" s="93"/>
      <c r="J257" s="93"/>
      <c r="K257" s="93"/>
      <c r="L257" s="93"/>
      <c r="M257" s="93"/>
      <c r="N257" s="93"/>
      <c r="O257" s="93"/>
      <c r="P257" s="93"/>
      <c r="Q257" s="93"/>
      <c r="R257" s="93"/>
      <c r="S257" s="93"/>
      <c r="T257" s="93"/>
      <c r="U257" s="93"/>
      <c r="V257" s="93"/>
      <c r="W257" s="93"/>
      <c r="X257" s="93"/>
      <c r="Y257" s="93"/>
    </row>
    <row r="258">
      <c r="A258" s="1"/>
      <c r="B258" s="44"/>
      <c r="D258" s="44"/>
      <c r="E258" s="93"/>
      <c r="F258" s="93"/>
      <c r="G258" s="93"/>
      <c r="H258" s="93"/>
      <c r="I258" s="93"/>
      <c r="J258" s="93"/>
      <c r="K258" s="93"/>
      <c r="L258" s="93"/>
      <c r="M258" s="93"/>
      <c r="N258" s="93"/>
      <c r="O258" s="93"/>
      <c r="P258" s="93"/>
      <c r="Q258" s="93"/>
      <c r="R258" s="93"/>
      <c r="S258" s="93"/>
      <c r="T258" s="93"/>
      <c r="U258" s="93"/>
      <c r="V258" s="93"/>
      <c r="W258" s="93"/>
      <c r="X258" s="93"/>
      <c r="Y258" s="93"/>
    </row>
    <row r="259">
      <c r="A259" s="1"/>
      <c r="B259" s="44"/>
      <c r="D259" s="44"/>
      <c r="E259" s="93"/>
      <c r="F259" s="93"/>
      <c r="G259" s="93"/>
      <c r="H259" s="93"/>
      <c r="I259" s="93"/>
      <c r="J259" s="93"/>
      <c r="K259" s="93"/>
      <c r="L259" s="93"/>
      <c r="M259" s="93"/>
      <c r="N259" s="93"/>
      <c r="O259" s="93"/>
      <c r="P259" s="93"/>
      <c r="Q259" s="93"/>
      <c r="R259" s="93"/>
      <c r="S259" s="93"/>
      <c r="T259" s="93"/>
      <c r="U259" s="93"/>
      <c r="V259" s="93"/>
      <c r="W259" s="93"/>
      <c r="X259" s="93"/>
      <c r="Y259" s="93"/>
    </row>
    <row r="260">
      <c r="A260" s="1"/>
      <c r="B260" s="44"/>
      <c r="D260" s="44"/>
      <c r="E260" s="93"/>
      <c r="F260" s="93"/>
      <c r="G260" s="93"/>
      <c r="H260" s="93"/>
      <c r="I260" s="93"/>
      <c r="J260" s="93"/>
      <c r="K260" s="93"/>
      <c r="L260" s="93"/>
      <c r="M260" s="93"/>
      <c r="N260" s="93"/>
      <c r="O260" s="93"/>
      <c r="P260" s="93"/>
      <c r="Q260" s="93"/>
      <c r="R260" s="93"/>
      <c r="S260" s="93"/>
      <c r="T260" s="93"/>
      <c r="U260" s="93"/>
      <c r="V260" s="93"/>
      <c r="W260" s="93"/>
      <c r="X260" s="93"/>
      <c r="Y260" s="93"/>
    </row>
    <row r="261">
      <c r="A261" s="1"/>
      <c r="B261" s="44"/>
      <c r="D261" s="44"/>
      <c r="E261" s="93"/>
      <c r="F261" s="93"/>
      <c r="G261" s="93"/>
      <c r="H261" s="93"/>
      <c r="I261" s="93"/>
      <c r="J261" s="93"/>
      <c r="K261" s="93"/>
      <c r="L261" s="93"/>
      <c r="M261" s="93"/>
      <c r="N261" s="93"/>
      <c r="O261" s="93"/>
      <c r="P261" s="93"/>
      <c r="Q261" s="93"/>
      <c r="R261" s="93"/>
      <c r="S261" s="93"/>
      <c r="T261" s="93"/>
      <c r="U261" s="93"/>
      <c r="V261" s="93"/>
      <c r="W261" s="93"/>
      <c r="X261" s="93"/>
      <c r="Y261" s="93"/>
    </row>
    <row r="262">
      <c r="A262" s="1"/>
      <c r="B262" s="44"/>
      <c r="D262" s="44"/>
      <c r="E262" s="93"/>
      <c r="F262" s="93"/>
      <c r="G262" s="93"/>
      <c r="H262" s="93"/>
      <c r="I262" s="93"/>
      <c r="J262" s="93"/>
      <c r="K262" s="93"/>
      <c r="L262" s="93"/>
      <c r="M262" s="93"/>
      <c r="N262" s="93"/>
      <c r="O262" s="93"/>
      <c r="P262" s="93"/>
      <c r="Q262" s="93"/>
      <c r="R262" s="93"/>
      <c r="S262" s="93"/>
      <c r="T262" s="93"/>
      <c r="U262" s="93"/>
      <c r="V262" s="93"/>
      <c r="W262" s="93"/>
      <c r="X262" s="93"/>
      <c r="Y262" s="93"/>
    </row>
    <row r="263">
      <c r="A263" s="1"/>
      <c r="B263" s="44"/>
      <c r="D263" s="44"/>
      <c r="E263" s="93"/>
      <c r="F263" s="93"/>
      <c r="G263" s="93"/>
      <c r="H263" s="93"/>
      <c r="I263" s="93"/>
      <c r="J263" s="93"/>
      <c r="K263" s="93"/>
      <c r="L263" s="93"/>
      <c r="M263" s="93"/>
      <c r="N263" s="93"/>
      <c r="O263" s="93"/>
      <c r="P263" s="93"/>
      <c r="Q263" s="93"/>
      <c r="R263" s="93"/>
      <c r="S263" s="93"/>
      <c r="T263" s="93"/>
      <c r="U263" s="93"/>
      <c r="V263" s="93"/>
      <c r="W263" s="93"/>
      <c r="X263" s="93"/>
      <c r="Y263" s="93"/>
    </row>
    <row r="264">
      <c r="A264" s="1"/>
      <c r="B264" s="44"/>
      <c r="D264" s="44"/>
      <c r="E264" s="93"/>
      <c r="F264" s="93"/>
      <c r="G264" s="93"/>
      <c r="H264" s="93"/>
      <c r="I264" s="93"/>
      <c r="J264" s="93"/>
      <c r="K264" s="93"/>
      <c r="L264" s="93"/>
      <c r="M264" s="93"/>
      <c r="N264" s="93"/>
      <c r="O264" s="93"/>
      <c r="P264" s="93"/>
      <c r="Q264" s="93"/>
      <c r="R264" s="93"/>
      <c r="S264" s="93"/>
      <c r="T264" s="93"/>
      <c r="U264" s="93"/>
      <c r="V264" s="93"/>
      <c r="W264" s="93"/>
      <c r="X264" s="93"/>
      <c r="Y264" s="93"/>
    </row>
    <row r="265">
      <c r="A265" s="1"/>
      <c r="B265" s="44"/>
      <c r="D265" s="44"/>
      <c r="E265" s="93"/>
      <c r="F265" s="93"/>
      <c r="G265" s="93"/>
      <c r="H265" s="93"/>
      <c r="I265" s="93"/>
      <c r="J265" s="93"/>
      <c r="K265" s="93"/>
      <c r="L265" s="93"/>
      <c r="M265" s="93"/>
      <c r="N265" s="93"/>
      <c r="O265" s="93"/>
      <c r="P265" s="93"/>
      <c r="Q265" s="93"/>
      <c r="R265" s="93"/>
      <c r="S265" s="93"/>
      <c r="T265" s="93"/>
      <c r="U265" s="93"/>
      <c r="V265" s="93"/>
      <c r="W265" s="93"/>
      <c r="X265" s="93"/>
      <c r="Y265" s="93"/>
    </row>
    <row r="266">
      <c r="A266" s="1"/>
      <c r="B266" s="44"/>
      <c r="D266" s="44"/>
      <c r="E266" s="93"/>
      <c r="F266" s="93"/>
      <c r="G266" s="93"/>
      <c r="H266" s="93"/>
      <c r="I266" s="93"/>
      <c r="J266" s="93"/>
      <c r="K266" s="93"/>
      <c r="L266" s="93"/>
      <c r="M266" s="93"/>
      <c r="N266" s="93"/>
      <c r="O266" s="93"/>
      <c r="P266" s="93"/>
      <c r="Q266" s="93"/>
      <c r="R266" s="93"/>
      <c r="S266" s="93"/>
      <c r="T266" s="93"/>
      <c r="U266" s="93"/>
      <c r="V266" s="93"/>
      <c r="W266" s="93"/>
      <c r="X266" s="93"/>
      <c r="Y266" s="93"/>
    </row>
    <row r="267">
      <c r="A267" s="1"/>
      <c r="B267" s="44"/>
      <c r="D267" s="44"/>
      <c r="E267" s="93"/>
      <c r="F267" s="93"/>
      <c r="G267" s="93"/>
      <c r="H267" s="93"/>
      <c r="I267" s="93"/>
      <c r="J267" s="93"/>
      <c r="K267" s="93"/>
      <c r="L267" s="93"/>
      <c r="M267" s="93"/>
      <c r="N267" s="93"/>
      <c r="O267" s="93"/>
      <c r="P267" s="93"/>
      <c r="Q267" s="93"/>
      <c r="R267" s="93"/>
      <c r="S267" s="93"/>
      <c r="T267" s="93"/>
      <c r="U267" s="93"/>
      <c r="V267" s="93"/>
      <c r="W267" s="93"/>
      <c r="X267" s="93"/>
      <c r="Y267" s="93"/>
    </row>
    <row r="268">
      <c r="A268" s="1"/>
      <c r="B268" s="44"/>
      <c r="D268" s="44"/>
      <c r="E268" s="93"/>
      <c r="F268" s="93"/>
      <c r="G268" s="93"/>
      <c r="H268" s="93"/>
      <c r="I268" s="93"/>
      <c r="J268" s="93"/>
      <c r="K268" s="93"/>
      <c r="L268" s="93"/>
      <c r="M268" s="93"/>
      <c r="N268" s="93"/>
      <c r="O268" s="93"/>
      <c r="P268" s="93"/>
      <c r="Q268" s="93"/>
      <c r="R268" s="93"/>
      <c r="S268" s="93"/>
      <c r="T268" s="93"/>
      <c r="U268" s="93"/>
      <c r="V268" s="93"/>
      <c r="W268" s="93"/>
      <c r="X268" s="93"/>
      <c r="Y268" s="93"/>
    </row>
    <row r="269">
      <c r="A269" s="1"/>
      <c r="B269" s="44"/>
      <c r="D269" s="44"/>
      <c r="E269" s="93"/>
      <c r="F269" s="93"/>
      <c r="G269" s="93"/>
      <c r="H269" s="93"/>
      <c r="I269" s="93"/>
      <c r="J269" s="93"/>
      <c r="K269" s="93"/>
      <c r="L269" s="93"/>
      <c r="M269" s="93"/>
      <c r="N269" s="93"/>
      <c r="O269" s="93"/>
      <c r="P269" s="93"/>
      <c r="Q269" s="93"/>
      <c r="R269" s="93"/>
      <c r="S269" s="93"/>
      <c r="T269" s="93"/>
      <c r="U269" s="93"/>
      <c r="V269" s="93"/>
      <c r="W269" s="93"/>
      <c r="X269" s="93"/>
      <c r="Y269" s="93"/>
    </row>
    <row r="270">
      <c r="A270" s="1"/>
      <c r="B270" s="44"/>
      <c r="D270" s="44"/>
      <c r="E270" s="93"/>
      <c r="F270" s="93"/>
      <c r="G270" s="93"/>
      <c r="H270" s="93"/>
      <c r="I270" s="93"/>
      <c r="J270" s="93"/>
      <c r="K270" s="93"/>
      <c r="L270" s="93"/>
      <c r="M270" s="93"/>
      <c r="N270" s="93"/>
      <c r="O270" s="93"/>
      <c r="P270" s="93"/>
      <c r="Q270" s="93"/>
      <c r="R270" s="93"/>
      <c r="S270" s="93"/>
      <c r="T270" s="93"/>
      <c r="U270" s="93"/>
      <c r="V270" s="93"/>
      <c r="W270" s="93"/>
      <c r="X270" s="93"/>
      <c r="Y270" s="93"/>
    </row>
    <row r="271">
      <c r="A271" s="1"/>
      <c r="B271" s="44"/>
      <c r="D271" s="44"/>
      <c r="E271" s="93"/>
      <c r="F271" s="93"/>
      <c r="G271" s="93"/>
      <c r="H271" s="93"/>
      <c r="I271" s="93"/>
      <c r="J271" s="93"/>
      <c r="K271" s="93"/>
      <c r="L271" s="93"/>
      <c r="M271" s="93"/>
      <c r="N271" s="93"/>
      <c r="O271" s="93"/>
      <c r="P271" s="93"/>
      <c r="Q271" s="93"/>
      <c r="R271" s="93"/>
      <c r="S271" s="93"/>
      <c r="T271" s="93"/>
      <c r="U271" s="93"/>
      <c r="V271" s="93"/>
      <c r="W271" s="93"/>
      <c r="X271" s="93"/>
      <c r="Y271" s="93"/>
    </row>
    <row r="272">
      <c r="A272" s="1"/>
      <c r="B272" s="44"/>
      <c r="D272" s="44"/>
      <c r="E272" s="93"/>
      <c r="F272" s="93"/>
      <c r="G272" s="93"/>
      <c r="H272" s="93"/>
      <c r="I272" s="93"/>
      <c r="J272" s="93"/>
      <c r="K272" s="93"/>
      <c r="L272" s="93"/>
      <c r="M272" s="93"/>
      <c r="N272" s="93"/>
      <c r="O272" s="93"/>
      <c r="P272" s="93"/>
      <c r="Q272" s="93"/>
      <c r="R272" s="93"/>
      <c r="S272" s="93"/>
      <c r="T272" s="93"/>
      <c r="U272" s="93"/>
      <c r="V272" s="93"/>
      <c r="W272" s="93"/>
      <c r="X272" s="93"/>
      <c r="Y272" s="93"/>
    </row>
    <row r="273">
      <c r="A273" s="1"/>
      <c r="B273" s="44"/>
      <c r="D273" s="44"/>
      <c r="E273" s="93"/>
      <c r="F273" s="93"/>
      <c r="G273" s="93"/>
      <c r="H273" s="93"/>
      <c r="I273" s="93"/>
      <c r="J273" s="93"/>
      <c r="K273" s="93"/>
      <c r="L273" s="93"/>
      <c r="M273" s="93"/>
      <c r="N273" s="93"/>
      <c r="O273" s="93"/>
      <c r="P273" s="93"/>
      <c r="Q273" s="93"/>
      <c r="R273" s="93"/>
      <c r="S273" s="93"/>
      <c r="T273" s="93"/>
      <c r="U273" s="93"/>
      <c r="V273" s="93"/>
      <c r="W273" s="93"/>
      <c r="X273" s="93"/>
      <c r="Y273" s="93"/>
    </row>
    <row r="274">
      <c r="A274" s="1"/>
      <c r="B274" s="44"/>
      <c r="D274" s="44"/>
      <c r="E274" s="93"/>
      <c r="F274" s="93"/>
      <c r="G274" s="93"/>
      <c r="H274" s="93"/>
      <c r="I274" s="93"/>
      <c r="J274" s="93"/>
      <c r="K274" s="93"/>
      <c r="L274" s="93"/>
      <c r="M274" s="93"/>
      <c r="N274" s="93"/>
      <c r="O274" s="93"/>
      <c r="P274" s="93"/>
      <c r="Q274" s="93"/>
      <c r="R274" s="93"/>
      <c r="S274" s="93"/>
      <c r="T274" s="93"/>
      <c r="U274" s="93"/>
      <c r="V274" s="93"/>
      <c r="W274" s="93"/>
      <c r="X274" s="93"/>
      <c r="Y274" s="93"/>
    </row>
    <row r="275">
      <c r="A275" s="1"/>
      <c r="B275" s="44"/>
      <c r="D275" s="44"/>
      <c r="E275" s="93"/>
      <c r="F275" s="93"/>
      <c r="G275" s="93"/>
      <c r="H275" s="93"/>
      <c r="I275" s="93"/>
      <c r="J275" s="93"/>
      <c r="K275" s="93"/>
      <c r="L275" s="93"/>
      <c r="M275" s="93"/>
      <c r="N275" s="93"/>
      <c r="O275" s="93"/>
      <c r="P275" s="93"/>
      <c r="Q275" s="93"/>
      <c r="R275" s="93"/>
      <c r="S275" s="93"/>
      <c r="T275" s="93"/>
      <c r="U275" s="93"/>
      <c r="V275" s="93"/>
      <c r="W275" s="93"/>
      <c r="X275" s="93"/>
      <c r="Y275" s="93"/>
    </row>
    <row r="276">
      <c r="A276" s="1"/>
      <c r="B276" s="44"/>
      <c r="D276" s="44"/>
      <c r="E276" s="93"/>
      <c r="F276" s="93"/>
      <c r="G276" s="93"/>
      <c r="H276" s="93"/>
      <c r="I276" s="93"/>
      <c r="J276" s="93"/>
      <c r="K276" s="93"/>
      <c r="L276" s="93"/>
      <c r="M276" s="93"/>
      <c r="N276" s="93"/>
      <c r="O276" s="93"/>
      <c r="P276" s="93"/>
      <c r="Q276" s="93"/>
      <c r="R276" s="93"/>
      <c r="S276" s="93"/>
      <c r="T276" s="93"/>
      <c r="U276" s="93"/>
      <c r="V276" s="93"/>
      <c r="W276" s="93"/>
      <c r="X276" s="93"/>
      <c r="Y276" s="93"/>
    </row>
    <row r="277">
      <c r="A277" s="1"/>
      <c r="B277" s="44"/>
      <c r="D277" s="44"/>
      <c r="E277" s="93"/>
      <c r="F277" s="93"/>
      <c r="G277" s="93"/>
      <c r="H277" s="93"/>
      <c r="I277" s="93"/>
      <c r="J277" s="93"/>
      <c r="K277" s="93"/>
      <c r="L277" s="93"/>
      <c r="M277" s="93"/>
      <c r="N277" s="93"/>
      <c r="O277" s="93"/>
      <c r="P277" s="93"/>
      <c r="Q277" s="93"/>
      <c r="R277" s="93"/>
      <c r="S277" s="93"/>
      <c r="T277" s="93"/>
      <c r="U277" s="93"/>
      <c r="V277" s="93"/>
      <c r="W277" s="93"/>
      <c r="X277" s="93"/>
      <c r="Y277" s="93"/>
    </row>
    <row r="278">
      <c r="A278" s="1"/>
      <c r="B278" s="44"/>
      <c r="D278" s="44"/>
      <c r="E278" s="93"/>
      <c r="F278" s="93"/>
      <c r="G278" s="93"/>
      <c r="H278" s="93"/>
      <c r="I278" s="93"/>
      <c r="J278" s="93"/>
      <c r="K278" s="93"/>
      <c r="L278" s="93"/>
      <c r="M278" s="93"/>
      <c r="N278" s="93"/>
      <c r="O278" s="93"/>
      <c r="P278" s="93"/>
      <c r="Q278" s="93"/>
      <c r="R278" s="93"/>
      <c r="S278" s="93"/>
      <c r="T278" s="93"/>
      <c r="U278" s="93"/>
      <c r="V278" s="93"/>
      <c r="W278" s="93"/>
      <c r="X278" s="93"/>
      <c r="Y278" s="93"/>
    </row>
    <row r="279">
      <c r="A279" s="1"/>
      <c r="B279" s="44"/>
      <c r="D279" s="44"/>
      <c r="E279" s="93"/>
      <c r="F279" s="93"/>
      <c r="G279" s="93"/>
      <c r="H279" s="93"/>
      <c r="I279" s="93"/>
      <c r="J279" s="93"/>
      <c r="K279" s="93"/>
      <c r="L279" s="93"/>
      <c r="M279" s="93"/>
      <c r="N279" s="93"/>
      <c r="O279" s="93"/>
      <c r="P279" s="93"/>
      <c r="Q279" s="93"/>
      <c r="R279" s="93"/>
      <c r="S279" s="93"/>
      <c r="T279" s="93"/>
      <c r="U279" s="93"/>
      <c r="V279" s="93"/>
      <c r="W279" s="93"/>
      <c r="X279" s="93"/>
      <c r="Y279" s="93"/>
    </row>
    <row r="280">
      <c r="A280" s="1"/>
      <c r="B280" s="44"/>
      <c r="D280" s="44"/>
      <c r="E280" s="93"/>
      <c r="F280" s="93"/>
      <c r="G280" s="93"/>
      <c r="H280" s="93"/>
      <c r="I280" s="93"/>
      <c r="J280" s="93"/>
      <c r="K280" s="93"/>
      <c r="L280" s="93"/>
      <c r="M280" s="93"/>
      <c r="N280" s="93"/>
      <c r="O280" s="93"/>
      <c r="P280" s="93"/>
      <c r="Q280" s="93"/>
      <c r="R280" s="93"/>
      <c r="S280" s="93"/>
      <c r="T280" s="93"/>
      <c r="U280" s="93"/>
      <c r="V280" s="93"/>
      <c r="W280" s="93"/>
      <c r="X280" s="93"/>
      <c r="Y280" s="93"/>
    </row>
    <row r="281">
      <c r="A281" s="1"/>
      <c r="B281" s="44"/>
      <c r="D281" s="44"/>
      <c r="E281" s="93"/>
      <c r="F281" s="93"/>
      <c r="G281" s="93"/>
      <c r="H281" s="93"/>
      <c r="I281" s="93"/>
      <c r="J281" s="93"/>
      <c r="K281" s="93"/>
      <c r="L281" s="93"/>
      <c r="M281" s="93"/>
      <c r="N281" s="93"/>
      <c r="O281" s="93"/>
      <c r="P281" s="93"/>
      <c r="Q281" s="93"/>
      <c r="R281" s="93"/>
      <c r="S281" s="93"/>
      <c r="T281" s="93"/>
      <c r="U281" s="93"/>
      <c r="V281" s="93"/>
      <c r="W281" s="93"/>
      <c r="X281" s="93"/>
      <c r="Y281" s="93"/>
    </row>
    <row r="282">
      <c r="A282" s="1"/>
      <c r="B282" s="44"/>
      <c r="D282" s="44"/>
      <c r="E282" s="93"/>
      <c r="F282" s="93"/>
      <c r="G282" s="93"/>
      <c r="H282" s="93"/>
      <c r="I282" s="93"/>
      <c r="J282" s="93"/>
      <c r="K282" s="93"/>
      <c r="L282" s="93"/>
      <c r="M282" s="93"/>
      <c r="N282" s="93"/>
      <c r="O282" s="93"/>
      <c r="P282" s="93"/>
      <c r="Q282" s="93"/>
      <c r="R282" s="93"/>
      <c r="S282" s="93"/>
      <c r="T282" s="93"/>
      <c r="U282" s="93"/>
      <c r="V282" s="93"/>
      <c r="W282" s="93"/>
      <c r="X282" s="93"/>
      <c r="Y282" s="93"/>
    </row>
    <row r="283">
      <c r="A283" s="1"/>
      <c r="B283" s="44"/>
      <c r="D283" s="44"/>
      <c r="E283" s="93"/>
      <c r="F283" s="93"/>
      <c r="G283" s="93"/>
      <c r="H283" s="93"/>
      <c r="I283" s="93"/>
      <c r="J283" s="93"/>
      <c r="K283" s="93"/>
      <c r="L283" s="93"/>
      <c r="M283" s="93"/>
      <c r="N283" s="93"/>
      <c r="O283" s="93"/>
      <c r="P283" s="93"/>
      <c r="Q283" s="93"/>
      <c r="R283" s="93"/>
      <c r="S283" s="93"/>
      <c r="T283" s="93"/>
      <c r="U283" s="93"/>
      <c r="V283" s="93"/>
      <c r="W283" s="93"/>
      <c r="X283" s="93"/>
      <c r="Y283" s="93"/>
    </row>
    <row r="284">
      <c r="A284" s="1"/>
      <c r="B284" s="44"/>
      <c r="D284" s="44"/>
      <c r="E284" s="93"/>
      <c r="F284" s="93"/>
      <c r="G284" s="93"/>
      <c r="H284" s="93"/>
      <c r="I284" s="93"/>
      <c r="J284" s="93"/>
      <c r="K284" s="93"/>
      <c r="L284" s="93"/>
      <c r="M284" s="93"/>
      <c r="N284" s="93"/>
      <c r="O284" s="93"/>
      <c r="P284" s="93"/>
      <c r="Q284" s="93"/>
      <c r="R284" s="93"/>
      <c r="S284" s="93"/>
      <c r="T284" s="93"/>
      <c r="U284" s="93"/>
      <c r="V284" s="93"/>
      <c r="W284" s="93"/>
      <c r="X284" s="93"/>
      <c r="Y284" s="93"/>
    </row>
    <row r="285">
      <c r="A285" s="1"/>
      <c r="B285" s="44"/>
      <c r="D285" s="44"/>
      <c r="E285" s="93"/>
      <c r="F285" s="93"/>
      <c r="G285" s="93"/>
      <c r="H285" s="93"/>
      <c r="I285" s="93"/>
      <c r="J285" s="93"/>
      <c r="K285" s="93"/>
      <c r="L285" s="93"/>
      <c r="M285" s="93"/>
      <c r="N285" s="93"/>
      <c r="O285" s="93"/>
      <c r="P285" s="93"/>
      <c r="Q285" s="93"/>
      <c r="R285" s="93"/>
      <c r="S285" s="93"/>
      <c r="T285" s="93"/>
      <c r="U285" s="93"/>
      <c r="V285" s="93"/>
      <c r="W285" s="93"/>
      <c r="X285" s="93"/>
      <c r="Y285" s="93"/>
    </row>
    <row r="286">
      <c r="A286" s="1"/>
      <c r="B286" s="44"/>
      <c r="D286" s="44"/>
      <c r="E286" s="93"/>
      <c r="F286" s="93"/>
      <c r="G286" s="93"/>
      <c r="H286" s="93"/>
      <c r="I286" s="93"/>
      <c r="J286" s="93"/>
      <c r="K286" s="93"/>
      <c r="L286" s="93"/>
      <c r="M286" s="93"/>
      <c r="N286" s="93"/>
      <c r="O286" s="93"/>
      <c r="P286" s="93"/>
      <c r="Q286" s="93"/>
      <c r="R286" s="93"/>
      <c r="S286" s="93"/>
      <c r="T286" s="93"/>
      <c r="U286" s="93"/>
      <c r="V286" s="93"/>
      <c r="W286" s="93"/>
      <c r="X286" s="93"/>
      <c r="Y286" s="93"/>
    </row>
    <row r="287">
      <c r="A287" s="1"/>
      <c r="B287" s="44"/>
      <c r="D287" s="44"/>
      <c r="E287" s="93"/>
      <c r="F287" s="93"/>
      <c r="G287" s="93"/>
      <c r="H287" s="93"/>
      <c r="I287" s="93"/>
      <c r="J287" s="93"/>
      <c r="K287" s="93"/>
      <c r="L287" s="93"/>
      <c r="M287" s="93"/>
      <c r="N287" s="93"/>
      <c r="O287" s="93"/>
      <c r="P287" s="93"/>
      <c r="Q287" s="93"/>
      <c r="R287" s="93"/>
      <c r="S287" s="93"/>
      <c r="T287" s="93"/>
      <c r="U287" s="93"/>
      <c r="V287" s="93"/>
      <c r="W287" s="93"/>
      <c r="X287" s="93"/>
      <c r="Y287" s="93"/>
    </row>
    <row r="288">
      <c r="A288" s="1"/>
      <c r="B288" s="44"/>
      <c r="D288" s="44"/>
      <c r="E288" s="93"/>
      <c r="F288" s="93"/>
      <c r="G288" s="93"/>
      <c r="H288" s="93"/>
      <c r="I288" s="93"/>
      <c r="J288" s="93"/>
      <c r="K288" s="93"/>
      <c r="L288" s="93"/>
      <c r="M288" s="93"/>
      <c r="N288" s="93"/>
      <c r="O288" s="93"/>
      <c r="P288" s="93"/>
      <c r="Q288" s="93"/>
      <c r="R288" s="93"/>
      <c r="S288" s="93"/>
      <c r="T288" s="93"/>
      <c r="U288" s="93"/>
      <c r="V288" s="93"/>
      <c r="W288" s="93"/>
      <c r="X288" s="93"/>
      <c r="Y288" s="93"/>
    </row>
    <row r="289">
      <c r="A289" s="1"/>
      <c r="B289" s="44"/>
      <c r="D289" s="44"/>
      <c r="E289" s="93"/>
      <c r="F289" s="93"/>
      <c r="G289" s="93"/>
      <c r="H289" s="93"/>
      <c r="I289" s="93"/>
      <c r="J289" s="93"/>
      <c r="K289" s="93"/>
      <c r="L289" s="93"/>
      <c r="M289" s="93"/>
      <c r="N289" s="93"/>
      <c r="O289" s="93"/>
      <c r="P289" s="93"/>
      <c r="Q289" s="93"/>
      <c r="R289" s="93"/>
      <c r="S289" s="93"/>
      <c r="T289" s="93"/>
      <c r="U289" s="93"/>
      <c r="V289" s="93"/>
      <c r="W289" s="93"/>
      <c r="X289" s="93"/>
      <c r="Y289" s="93"/>
    </row>
    <row r="290">
      <c r="A290" s="1"/>
      <c r="B290" s="44"/>
      <c r="D290" s="44"/>
      <c r="E290" s="93"/>
      <c r="F290" s="93"/>
      <c r="G290" s="93"/>
      <c r="H290" s="93"/>
      <c r="I290" s="93"/>
      <c r="J290" s="93"/>
      <c r="K290" s="93"/>
      <c r="L290" s="93"/>
      <c r="M290" s="93"/>
      <c r="N290" s="93"/>
      <c r="O290" s="93"/>
      <c r="P290" s="93"/>
      <c r="Q290" s="93"/>
      <c r="R290" s="93"/>
      <c r="S290" s="93"/>
      <c r="T290" s="93"/>
      <c r="U290" s="93"/>
      <c r="V290" s="93"/>
      <c r="W290" s="93"/>
      <c r="X290" s="93"/>
      <c r="Y290" s="93"/>
    </row>
    <row r="291">
      <c r="A291" s="1"/>
      <c r="B291" s="44"/>
      <c r="D291" s="44"/>
      <c r="E291" s="93"/>
      <c r="F291" s="93"/>
      <c r="G291" s="93"/>
      <c r="H291" s="93"/>
      <c r="I291" s="93"/>
      <c r="J291" s="93"/>
      <c r="K291" s="93"/>
      <c r="L291" s="93"/>
      <c r="M291" s="93"/>
      <c r="N291" s="93"/>
      <c r="O291" s="93"/>
      <c r="P291" s="93"/>
      <c r="Q291" s="93"/>
      <c r="R291" s="93"/>
      <c r="S291" s="93"/>
      <c r="T291" s="93"/>
      <c r="U291" s="93"/>
      <c r="V291" s="93"/>
      <c r="W291" s="93"/>
      <c r="X291" s="93"/>
      <c r="Y291" s="93"/>
    </row>
    <row r="292">
      <c r="A292" s="1"/>
      <c r="B292" s="44"/>
      <c r="D292" s="44"/>
      <c r="E292" s="93"/>
      <c r="F292" s="93"/>
      <c r="G292" s="93"/>
      <c r="H292" s="93"/>
      <c r="I292" s="93"/>
      <c r="J292" s="93"/>
      <c r="K292" s="93"/>
      <c r="L292" s="93"/>
      <c r="M292" s="93"/>
      <c r="N292" s="93"/>
      <c r="O292" s="93"/>
      <c r="P292" s="93"/>
      <c r="Q292" s="93"/>
      <c r="R292" s="93"/>
      <c r="S292" s="93"/>
      <c r="T292" s="93"/>
      <c r="U292" s="93"/>
      <c r="V292" s="93"/>
      <c r="W292" s="93"/>
      <c r="X292" s="93"/>
      <c r="Y292" s="93"/>
    </row>
    <row r="293">
      <c r="A293" s="1"/>
      <c r="B293" s="44"/>
      <c r="D293" s="44"/>
      <c r="E293" s="93"/>
      <c r="F293" s="93"/>
      <c r="G293" s="93"/>
      <c r="H293" s="93"/>
      <c r="I293" s="93"/>
      <c r="J293" s="93"/>
      <c r="K293" s="93"/>
      <c r="L293" s="93"/>
      <c r="M293" s="93"/>
      <c r="N293" s="93"/>
      <c r="O293" s="93"/>
      <c r="P293" s="93"/>
      <c r="Q293" s="93"/>
      <c r="R293" s="93"/>
      <c r="S293" s="93"/>
      <c r="T293" s="93"/>
      <c r="U293" s="93"/>
      <c r="V293" s="93"/>
      <c r="W293" s="93"/>
      <c r="X293" s="93"/>
      <c r="Y293" s="93"/>
    </row>
    <row r="294">
      <c r="A294" s="1"/>
      <c r="B294" s="44"/>
      <c r="D294" s="44"/>
      <c r="E294" s="93"/>
      <c r="F294" s="93"/>
      <c r="G294" s="93"/>
      <c r="H294" s="93"/>
      <c r="I294" s="93"/>
      <c r="J294" s="93"/>
      <c r="K294" s="93"/>
      <c r="L294" s="93"/>
      <c r="M294" s="93"/>
      <c r="N294" s="93"/>
      <c r="O294" s="93"/>
      <c r="P294" s="93"/>
      <c r="Q294" s="93"/>
      <c r="R294" s="93"/>
      <c r="S294" s="93"/>
      <c r="T294" s="93"/>
      <c r="U294" s="93"/>
      <c r="V294" s="93"/>
      <c r="W294" s="93"/>
      <c r="X294" s="93"/>
      <c r="Y294" s="93"/>
    </row>
    <row r="295">
      <c r="A295" s="1"/>
      <c r="B295" s="44"/>
      <c r="D295" s="44"/>
      <c r="E295" s="93"/>
      <c r="F295" s="93"/>
      <c r="G295" s="93"/>
      <c r="H295" s="93"/>
      <c r="I295" s="93"/>
      <c r="J295" s="93"/>
      <c r="K295" s="93"/>
      <c r="L295" s="93"/>
      <c r="M295" s="93"/>
      <c r="N295" s="93"/>
      <c r="O295" s="93"/>
      <c r="P295" s="93"/>
      <c r="Q295" s="93"/>
      <c r="R295" s="93"/>
      <c r="S295" s="93"/>
      <c r="T295" s="93"/>
      <c r="U295" s="93"/>
      <c r="V295" s="93"/>
      <c r="W295" s="93"/>
      <c r="X295" s="93"/>
      <c r="Y295" s="93"/>
    </row>
    <row r="296">
      <c r="A296" s="1"/>
      <c r="B296" s="44"/>
      <c r="D296" s="44"/>
      <c r="E296" s="93"/>
      <c r="F296" s="93"/>
      <c r="G296" s="93"/>
      <c r="H296" s="93"/>
      <c r="I296" s="93"/>
      <c r="J296" s="93"/>
      <c r="K296" s="93"/>
      <c r="L296" s="93"/>
      <c r="M296" s="93"/>
      <c r="N296" s="93"/>
      <c r="O296" s="93"/>
      <c r="P296" s="93"/>
      <c r="Q296" s="93"/>
      <c r="R296" s="93"/>
      <c r="S296" s="93"/>
      <c r="T296" s="93"/>
      <c r="U296" s="93"/>
      <c r="V296" s="93"/>
      <c r="W296" s="93"/>
      <c r="X296" s="93"/>
      <c r="Y296" s="93"/>
    </row>
    <row r="297">
      <c r="A297" s="1"/>
      <c r="B297" s="44"/>
      <c r="D297" s="44"/>
      <c r="E297" s="93"/>
      <c r="F297" s="93"/>
      <c r="G297" s="93"/>
      <c r="H297" s="93"/>
      <c r="I297" s="93"/>
      <c r="J297" s="93"/>
      <c r="K297" s="93"/>
      <c r="L297" s="93"/>
      <c r="M297" s="93"/>
      <c r="N297" s="93"/>
      <c r="O297" s="93"/>
      <c r="P297" s="93"/>
      <c r="Q297" s="93"/>
      <c r="R297" s="93"/>
      <c r="S297" s="93"/>
      <c r="T297" s="93"/>
      <c r="U297" s="93"/>
      <c r="V297" s="93"/>
      <c r="W297" s="93"/>
      <c r="X297" s="93"/>
      <c r="Y297" s="93"/>
    </row>
    <row r="298">
      <c r="A298" s="1"/>
      <c r="B298" s="44"/>
      <c r="D298" s="44"/>
      <c r="E298" s="93"/>
      <c r="F298" s="93"/>
      <c r="G298" s="93"/>
      <c r="H298" s="93"/>
      <c r="I298" s="93"/>
      <c r="J298" s="93"/>
      <c r="K298" s="93"/>
      <c r="L298" s="93"/>
      <c r="M298" s="93"/>
      <c r="N298" s="93"/>
      <c r="O298" s="93"/>
      <c r="P298" s="93"/>
      <c r="Q298" s="93"/>
      <c r="R298" s="93"/>
      <c r="S298" s="93"/>
      <c r="T298" s="93"/>
      <c r="U298" s="93"/>
      <c r="V298" s="93"/>
      <c r="W298" s="93"/>
      <c r="X298" s="93"/>
      <c r="Y298" s="93"/>
    </row>
    <row r="299">
      <c r="A299" s="1"/>
      <c r="B299" s="44"/>
      <c r="D299" s="44"/>
      <c r="E299" s="93"/>
      <c r="F299" s="93"/>
      <c r="G299" s="93"/>
      <c r="H299" s="93"/>
      <c r="I299" s="93"/>
      <c r="J299" s="93"/>
      <c r="K299" s="93"/>
      <c r="L299" s="93"/>
      <c r="M299" s="93"/>
      <c r="N299" s="93"/>
      <c r="O299" s="93"/>
      <c r="P299" s="93"/>
      <c r="Q299" s="93"/>
      <c r="R299" s="93"/>
      <c r="S299" s="93"/>
      <c r="T299" s="93"/>
      <c r="U299" s="93"/>
      <c r="V299" s="93"/>
      <c r="W299" s="93"/>
      <c r="X299" s="93"/>
      <c r="Y299" s="93"/>
    </row>
    <row r="300">
      <c r="A300" s="1"/>
      <c r="B300" s="44"/>
      <c r="D300" s="44"/>
      <c r="E300" s="93"/>
      <c r="F300" s="93"/>
      <c r="G300" s="93"/>
      <c r="H300" s="93"/>
      <c r="I300" s="93"/>
      <c r="J300" s="93"/>
      <c r="K300" s="93"/>
      <c r="L300" s="93"/>
      <c r="M300" s="93"/>
      <c r="N300" s="93"/>
      <c r="O300" s="93"/>
      <c r="P300" s="93"/>
      <c r="Q300" s="93"/>
      <c r="R300" s="93"/>
      <c r="S300" s="93"/>
      <c r="T300" s="93"/>
      <c r="U300" s="93"/>
      <c r="V300" s="93"/>
      <c r="W300" s="93"/>
      <c r="X300" s="93"/>
      <c r="Y300" s="93"/>
    </row>
    <row r="301">
      <c r="A301" s="1"/>
      <c r="B301" s="44"/>
      <c r="D301" s="44"/>
      <c r="E301" s="93"/>
      <c r="F301" s="93"/>
      <c r="G301" s="93"/>
      <c r="H301" s="93"/>
      <c r="I301" s="93"/>
      <c r="J301" s="93"/>
      <c r="K301" s="93"/>
      <c r="L301" s="93"/>
      <c r="M301" s="93"/>
      <c r="N301" s="93"/>
      <c r="O301" s="93"/>
      <c r="P301" s="93"/>
      <c r="Q301" s="93"/>
      <c r="R301" s="93"/>
      <c r="S301" s="93"/>
      <c r="T301" s="93"/>
      <c r="U301" s="93"/>
      <c r="V301" s="93"/>
      <c r="W301" s="93"/>
      <c r="X301" s="93"/>
      <c r="Y301" s="93"/>
    </row>
    <row r="302">
      <c r="A302" s="1"/>
      <c r="B302" s="44"/>
      <c r="D302" s="44"/>
      <c r="E302" s="93"/>
      <c r="F302" s="93"/>
      <c r="G302" s="93"/>
      <c r="H302" s="93"/>
      <c r="I302" s="93"/>
      <c r="J302" s="93"/>
      <c r="K302" s="93"/>
      <c r="L302" s="93"/>
      <c r="M302" s="93"/>
      <c r="N302" s="93"/>
      <c r="O302" s="93"/>
      <c r="P302" s="93"/>
      <c r="Q302" s="93"/>
      <c r="R302" s="93"/>
      <c r="S302" s="93"/>
      <c r="T302" s="93"/>
      <c r="U302" s="93"/>
      <c r="V302" s="93"/>
      <c r="W302" s="93"/>
      <c r="X302" s="93"/>
      <c r="Y302" s="93"/>
    </row>
    <row r="303">
      <c r="A303" s="1"/>
      <c r="B303" s="44"/>
      <c r="D303" s="44"/>
      <c r="E303" s="93"/>
      <c r="F303" s="93"/>
      <c r="G303" s="93"/>
      <c r="H303" s="93"/>
      <c r="I303" s="93"/>
      <c r="J303" s="93"/>
      <c r="K303" s="93"/>
      <c r="L303" s="93"/>
      <c r="M303" s="93"/>
      <c r="N303" s="93"/>
      <c r="O303" s="93"/>
      <c r="P303" s="93"/>
      <c r="Q303" s="93"/>
      <c r="R303" s="93"/>
      <c r="S303" s="93"/>
      <c r="T303" s="93"/>
      <c r="U303" s="93"/>
      <c r="V303" s="93"/>
      <c r="W303" s="93"/>
      <c r="X303" s="93"/>
      <c r="Y303" s="93"/>
    </row>
    <row r="304">
      <c r="A304" s="1"/>
      <c r="B304" s="44"/>
      <c r="D304" s="44"/>
      <c r="E304" s="93"/>
      <c r="F304" s="93"/>
      <c r="G304" s="93"/>
      <c r="H304" s="93"/>
      <c r="I304" s="93"/>
      <c r="J304" s="93"/>
      <c r="K304" s="93"/>
      <c r="L304" s="93"/>
      <c r="M304" s="93"/>
      <c r="N304" s="93"/>
      <c r="O304" s="93"/>
      <c r="P304" s="93"/>
      <c r="Q304" s="93"/>
      <c r="R304" s="93"/>
      <c r="S304" s="93"/>
      <c r="T304" s="93"/>
      <c r="U304" s="93"/>
      <c r="V304" s="93"/>
      <c r="W304" s="93"/>
      <c r="X304" s="93"/>
      <c r="Y304" s="93"/>
    </row>
    <row r="305">
      <c r="A305" s="1"/>
      <c r="B305" s="44"/>
      <c r="D305" s="44"/>
      <c r="E305" s="93"/>
      <c r="F305" s="93"/>
      <c r="G305" s="93"/>
      <c r="H305" s="93"/>
      <c r="I305" s="93"/>
      <c r="J305" s="93"/>
      <c r="K305" s="93"/>
      <c r="L305" s="93"/>
      <c r="M305" s="93"/>
      <c r="N305" s="93"/>
      <c r="O305" s="93"/>
      <c r="P305" s="93"/>
      <c r="Q305" s="93"/>
      <c r="R305" s="93"/>
      <c r="S305" s="93"/>
      <c r="T305" s="93"/>
      <c r="U305" s="93"/>
      <c r="V305" s="93"/>
      <c r="W305" s="93"/>
      <c r="X305" s="93"/>
      <c r="Y305" s="93"/>
    </row>
    <row r="306">
      <c r="A306" s="1"/>
      <c r="B306" s="44"/>
      <c r="D306" s="44"/>
      <c r="E306" s="93"/>
      <c r="F306" s="93"/>
      <c r="G306" s="93"/>
      <c r="H306" s="93"/>
      <c r="I306" s="93"/>
      <c r="J306" s="93"/>
      <c r="K306" s="93"/>
      <c r="L306" s="93"/>
      <c r="M306" s="93"/>
      <c r="N306" s="93"/>
      <c r="O306" s="93"/>
      <c r="P306" s="93"/>
      <c r="Q306" s="93"/>
      <c r="R306" s="93"/>
      <c r="S306" s="93"/>
      <c r="T306" s="93"/>
      <c r="U306" s="93"/>
      <c r="V306" s="93"/>
      <c r="W306" s="93"/>
      <c r="X306" s="93"/>
      <c r="Y306" s="93"/>
    </row>
    <row r="307">
      <c r="A307" s="1"/>
      <c r="B307" s="44"/>
      <c r="D307" s="44"/>
      <c r="E307" s="93"/>
      <c r="F307" s="93"/>
      <c r="G307" s="93"/>
      <c r="H307" s="93"/>
      <c r="I307" s="93"/>
      <c r="J307" s="93"/>
      <c r="K307" s="93"/>
      <c r="L307" s="93"/>
      <c r="M307" s="93"/>
      <c r="N307" s="93"/>
      <c r="O307" s="93"/>
      <c r="P307" s="93"/>
      <c r="Q307" s="93"/>
      <c r="R307" s="93"/>
      <c r="S307" s="93"/>
      <c r="T307" s="93"/>
      <c r="U307" s="93"/>
      <c r="V307" s="93"/>
      <c r="W307" s="93"/>
      <c r="X307" s="93"/>
      <c r="Y307" s="93"/>
    </row>
    <row r="308">
      <c r="A308" s="1"/>
      <c r="B308" s="44"/>
      <c r="D308" s="44"/>
      <c r="E308" s="93"/>
      <c r="F308" s="93"/>
      <c r="G308" s="93"/>
      <c r="H308" s="93"/>
      <c r="I308" s="93"/>
      <c r="J308" s="93"/>
      <c r="K308" s="93"/>
      <c r="L308" s="93"/>
      <c r="M308" s="93"/>
      <c r="N308" s="93"/>
      <c r="O308" s="93"/>
      <c r="P308" s="93"/>
      <c r="Q308" s="93"/>
      <c r="R308" s="93"/>
      <c r="S308" s="93"/>
      <c r="T308" s="93"/>
      <c r="U308" s="93"/>
      <c r="V308" s="93"/>
      <c r="W308" s="93"/>
      <c r="X308" s="93"/>
      <c r="Y308" s="93"/>
    </row>
    <row r="309">
      <c r="A309" s="1"/>
      <c r="B309" s="44"/>
      <c r="D309" s="44"/>
      <c r="E309" s="93"/>
      <c r="F309" s="93"/>
      <c r="G309" s="93"/>
      <c r="H309" s="93"/>
      <c r="I309" s="93"/>
      <c r="J309" s="93"/>
      <c r="K309" s="93"/>
      <c r="L309" s="93"/>
      <c r="M309" s="93"/>
      <c r="N309" s="93"/>
      <c r="O309" s="93"/>
      <c r="P309" s="93"/>
      <c r="Q309" s="93"/>
      <c r="R309" s="93"/>
      <c r="S309" s="93"/>
      <c r="T309" s="93"/>
      <c r="U309" s="93"/>
      <c r="V309" s="93"/>
      <c r="W309" s="93"/>
      <c r="X309" s="93"/>
      <c r="Y309" s="93"/>
    </row>
    <row r="310">
      <c r="A310" s="1"/>
      <c r="B310" s="44"/>
      <c r="D310" s="44"/>
      <c r="E310" s="93"/>
      <c r="F310" s="93"/>
      <c r="G310" s="93"/>
      <c r="H310" s="93"/>
      <c r="I310" s="93"/>
      <c r="J310" s="93"/>
      <c r="K310" s="93"/>
      <c r="L310" s="93"/>
      <c r="M310" s="93"/>
      <c r="N310" s="93"/>
      <c r="O310" s="93"/>
      <c r="P310" s="93"/>
      <c r="Q310" s="93"/>
      <c r="R310" s="93"/>
      <c r="S310" s="93"/>
      <c r="T310" s="93"/>
      <c r="U310" s="93"/>
      <c r="V310" s="93"/>
      <c r="W310" s="93"/>
      <c r="X310" s="93"/>
      <c r="Y310" s="93"/>
    </row>
    <row r="311">
      <c r="A311" s="1"/>
      <c r="B311" s="44"/>
      <c r="D311" s="44"/>
      <c r="E311" s="93"/>
      <c r="F311" s="93"/>
      <c r="G311" s="93"/>
      <c r="H311" s="93"/>
      <c r="I311" s="93"/>
      <c r="J311" s="93"/>
      <c r="K311" s="93"/>
      <c r="L311" s="93"/>
      <c r="M311" s="93"/>
      <c r="N311" s="93"/>
      <c r="O311" s="93"/>
      <c r="P311" s="93"/>
      <c r="Q311" s="93"/>
      <c r="R311" s="93"/>
      <c r="S311" s="93"/>
      <c r="T311" s="93"/>
      <c r="U311" s="93"/>
      <c r="V311" s="93"/>
      <c r="W311" s="93"/>
      <c r="X311" s="93"/>
      <c r="Y311" s="93"/>
    </row>
    <row r="312">
      <c r="A312" s="1"/>
      <c r="B312" s="44"/>
      <c r="D312" s="44"/>
      <c r="E312" s="93"/>
      <c r="F312" s="93"/>
      <c r="G312" s="93"/>
      <c r="H312" s="93"/>
      <c r="I312" s="93"/>
      <c r="J312" s="93"/>
      <c r="K312" s="93"/>
      <c r="L312" s="93"/>
      <c r="M312" s="93"/>
      <c r="N312" s="93"/>
      <c r="O312" s="93"/>
      <c r="P312" s="93"/>
      <c r="Q312" s="93"/>
      <c r="R312" s="93"/>
      <c r="S312" s="93"/>
      <c r="T312" s="93"/>
      <c r="U312" s="93"/>
      <c r="V312" s="93"/>
      <c r="W312" s="93"/>
      <c r="X312" s="93"/>
      <c r="Y312" s="93"/>
    </row>
    <row r="313">
      <c r="A313" s="1"/>
      <c r="B313" s="44"/>
      <c r="D313" s="44"/>
      <c r="E313" s="93"/>
      <c r="F313" s="93"/>
      <c r="G313" s="93"/>
      <c r="H313" s="93"/>
      <c r="I313" s="93"/>
      <c r="J313" s="93"/>
      <c r="K313" s="93"/>
      <c r="L313" s="93"/>
      <c r="M313" s="93"/>
      <c r="N313" s="93"/>
      <c r="O313" s="93"/>
      <c r="P313" s="93"/>
      <c r="Q313" s="93"/>
      <c r="R313" s="93"/>
      <c r="S313" s="93"/>
      <c r="T313" s="93"/>
      <c r="U313" s="93"/>
      <c r="V313" s="93"/>
      <c r="W313" s="93"/>
      <c r="X313" s="93"/>
      <c r="Y313" s="93"/>
    </row>
    <row r="314">
      <c r="A314" s="1"/>
      <c r="B314" s="44"/>
      <c r="D314" s="44"/>
      <c r="E314" s="93"/>
      <c r="F314" s="93"/>
      <c r="G314" s="93"/>
      <c r="H314" s="93"/>
      <c r="I314" s="93"/>
      <c r="J314" s="93"/>
      <c r="K314" s="93"/>
      <c r="L314" s="93"/>
      <c r="M314" s="93"/>
      <c r="N314" s="93"/>
      <c r="O314" s="93"/>
      <c r="P314" s="93"/>
      <c r="Q314" s="93"/>
      <c r="R314" s="93"/>
      <c r="S314" s="93"/>
      <c r="T314" s="93"/>
      <c r="U314" s="93"/>
      <c r="V314" s="93"/>
      <c r="W314" s="93"/>
      <c r="X314" s="93"/>
      <c r="Y314" s="93"/>
    </row>
    <row r="315">
      <c r="A315" s="1"/>
      <c r="B315" s="44"/>
      <c r="D315" s="44"/>
      <c r="E315" s="93"/>
      <c r="F315" s="93"/>
      <c r="G315" s="93"/>
      <c r="H315" s="93"/>
      <c r="I315" s="93"/>
      <c r="J315" s="93"/>
      <c r="K315" s="93"/>
      <c r="L315" s="93"/>
      <c r="M315" s="93"/>
      <c r="N315" s="93"/>
      <c r="O315" s="93"/>
      <c r="P315" s="93"/>
      <c r="Q315" s="93"/>
      <c r="R315" s="93"/>
      <c r="S315" s="93"/>
      <c r="T315" s="93"/>
      <c r="U315" s="93"/>
      <c r="V315" s="93"/>
      <c r="W315" s="93"/>
      <c r="X315" s="93"/>
      <c r="Y315" s="93"/>
    </row>
    <row r="316">
      <c r="A316" s="1"/>
      <c r="B316" s="44"/>
      <c r="D316" s="44"/>
      <c r="E316" s="93"/>
      <c r="F316" s="93"/>
      <c r="G316" s="93"/>
      <c r="H316" s="93"/>
      <c r="I316" s="93"/>
      <c r="J316" s="93"/>
      <c r="K316" s="93"/>
      <c r="L316" s="93"/>
      <c r="M316" s="93"/>
      <c r="N316" s="93"/>
      <c r="O316" s="93"/>
      <c r="P316" s="93"/>
      <c r="Q316" s="93"/>
      <c r="R316" s="93"/>
      <c r="S316" s="93"/>
      <c r="T316" s="93"/>
      <c r="U316" s="93"/>
      <c r="V316" s="93"/>
      <c r="W316" s="93"/>
      <c r="X316" s="93"/>
      <c r="Y316" s="93"/>
    </row>
    <row r="317">
      <c r="A317" s="1"/>
      <c r="B317" s="44"/>
      <c r="D317" s="44"/>
      <c r="E317" s="93"/>
      <c r="F317" s="93"/>
      <c r="G317" s="93"/>
      <c r="H317" s="93"/>
      <c r="I317" s="93"/>
      <c r="J317" s="93"/>
      <c r="K317" s="93"/>
      <c r="L317" s="93"/>
      <c r="M317" s="93"/>
      <c r="N317" s="93"/>
      <c r="O317" s="93"/>
      <c r="P317" s="93"/>
      <c r="Q317" s="93"/>
      <c r="R317" s="93"/>
      <c r="S317" s="93"/>
      <c r="T317" s="93"/>
      <c r="U317" s="93"/>
      <c r="V317" s="93"/>
      <c r="W317" s="93"/>
      <c r="X317" s="93"/>
      <c r="Y317" s="93"/>
    </row>
    <row r="318">
      <c r="A318" s="1"/>
      <c r="B318" s="44"/>
      <c r="D318" s="44"/>
      <c r="E318" s="93"/>
      <c r="F318" s="93"/>
      <c r="G318" s="93"/>
      <c r="H318" s="93"/>
      <c r="I318" s="93"/>
      <c r="J318" s="93"/>
      <c r="K318" s="93"/>
      <c r="L318" s="93"/>
      <c r="M318" s="93"/>
      <c r="N318" s="93"/>
      <c r="O318" s="93"/>
      <c r="P318" s="93"/>
      <c r="Q318" s="93"/>
      <c r="R318" s="93"/>
      <c r="S318" s="93"/>
      <c r="T318" s="93"/>
      <c r="U318" s="93"/>
      <c r="V318" s="93"/>
      <c r="W318" s="93"/>
      <c r="X318" s="93"/>
      <c r="Y318" s="93"/>
    </row>
    <row r="319">
      <c r="A319" s="1"/>
      <c r="B319" s="44"/>
      <c r="D319" s="44"/>
      <c r="E319" s="93"/>
      <c r="F319" s="93"/>
      <c r="G319" s="93"/>
      <c r="H319" s="93"/>
      <c r="I319" s="93"/>
      <c r="J319" s="93"/>
      <c r="K319" s="93"/>
      <c r="L319" s="93"/>
      <c r="M319" s="93"/>
      <c r="N319" s="93"/>
      <c r="O319" s="93"/>
      <c r="P319" s="93"/>
      <c r="Q319" s="93"/>
      <c r="R319" s="93"/>
      <c r="S319" s="93"/>
      <c r="T319" s="93"/>
      <c r="U319" s="93"/>
      <c r="V319" s="93"/>
      <c r="W319" s="93"/>
      <c r="X319" s="93"/>
      <c r="Y319" s="93"/>
    </row>
    <row r="320">
      <c r="A320" s="1"/>
      <c r="B320" s="44"/>
      <c r="D320" s="44"/>
      <c r="E320" s="93"/>
      <c r="F320" s="93"/>
      <c r="G320" s="93"/>
      <c r="H320" s="93"/>
      <c r="I320" s="93"/>
      <c r="J320" s="93"/>
      <c r="K320" s="93"/>
      <c r="L320" s="93"/>
      <c r="M320" s="93"/>
      <c r="N320" s="93"/>
      <c r="O320" s="93"/>
      <c r="P320" s="93"/>
      <c r="Q320" s="93"/>
      <c r="R320" s="93"/>
      <c r="S320" s="93"/>
      <c r="T320" s="93"/>
      <c r="U320" s="93"/>
      <c r="V320" s="93"/>
      <c r="W320" s="93"/>
      <c r="X320" s="93"/>
      <c r="Y320" s="93"/>
    </row>
    <row r="321">
      <c r="A321" s="1"/>
      <c r="B321" s="44"/>
      <c r="D321" s="44"/>
      <c r="E321" s="93"/>
      <c r="F321" s="93"/>
      <c r="G321" s="93"/>
      <c r="H321" s="93"/>
      <c r="I321" s="93"/>
      <c r="J321" s="93"/>
      <c r="K321" s="93"/>
      <c r="L321" s="93"/>
      <c r="M321" s="93"/>
      <c r="N321" s="93"/>
      <c r="O321" s="93"/>
      <c r="P321" s="93"/>
      <c r="Q321" s="93"/>
      <c r="R321" s="93"/>
      <c r="S321" s="93"/>
      <c r="T321" s="93"/>
      <c r="U321" s="93"/>
      <c r="V321" s="93"/>
      <c r="W321" s="93"/>
      <c r="X321" s="93"/>
      <c r="Y321" s="93"/>
    </row>
    <row r="322">
      <c r="A322" s="1"/>
      <c r="B322" s="44"/>
      <c r="D322" s="44"/>
      <c r="E322" s="93"/>
      <c r="F322" s="93"/>
      <c r="G322" s="93"/>
      <c r="H322" s="93"/>
      <c r="I322" s="93"/>
      <c r="J322" s="93"/>
      <c r="K322" s="93"/>
      <c r="L322" s="93"/>
      <c r="M322" s="93"/>
      <c r="N322" s="93"/>
      <c r="O322" s="93"/>
      <c r="P322" s="93"/>
      <c r="Q322" s="93"/>
      <c r="R322" s="93"/>
      <c r="S322" s="93"/>
      <c r="T322" s="93"/>
      <c r="U322" s="93"/>
      <c r="V322" s="93"/>
      <c r="W322" s="93"/>
      <c r="X322" s="93"/>
      <c r="Y322" s="93"/>
    </row>
    <row r="323">
      <c r="A323" s="1"/>
      <c r="B323" s="44"/>
      <c r="D323" s="44"/>
      <c r="E323" s="93"/>
      <c r="F323" s="93"/>
      <c r="G323" s="93"/>
      <c r="H323" s="93"/>
      <c r="I323" s="93"/>
      <c r="J323" s="93"/>
      <c r="K323" s="93"/>
      <c r="L323" s="93"/>
      <c r="M323" s="93"/>
      <c r="N323" s="93"/>
      <c r="O323" s="93"/>
      <c r="P323" s="93"/>
      <c r="Q323" s="93"/>
      <c r="R323" s="93"/>
      <c r="S323" s="93"/>
      <c r="T323" s="93"/>
      <c r="U323" s="93"/>
      <c r="V323" s="93"/>
      <c r="W323" s="93"/>
      <c r="X323" s="93"/>
      <c r="Y323" s="93"/>
    </row>
    <row r="324">
      <c r="A324" s="1"/>
      <c r="B324" s="44"/>
      <c r="D324" s="44"/>
      <c r="E324" s="93"/>
      <c r="F324" s="93"/>
      <c r="G324" s="93"/>
      <c r="H324" s="93"/>
      <c r="I324" s="93"/>
      <c r="J324" s="93"/>
      <c r="K324" s="93"/>
      <c r="L324" s="93"/>
      <c r="M324" s="93"/>
      <c r="N324" s="93"/>
      <c r="O324" s="93"/>
      <c r="P324" s="93"/>
      <c r="Q324" s="93"/>
      <c r="R324" s="93"/>
      <c r="S324" s="93"/>
      <c r="T324" s="93"/>
      <c r="U324" s="93"/>
      <c r="V324" s="93"/>
      <c r="W324" s="93"/>
      <c r="X324" s="93"/>
      <c r="Y324" s="93"/>
    </row>
    <row r="325">
      <c r="A325" s="1"/>
      <c r="B325" s="44"/>
      <c r="D325" s="44"/>
      <c r="E325" s="93"/>
      <c r="F325" s="93"/>
      <c r="G325" s="93"/>
      <c r="H325" s="93"/>
      <c r="I325" s="93"/>
      <c r="J325" s="93"/>
      <c r="K325" s="93"/>
      <c r="L325" s="93"/>
      <c r="M325" s="93"/>
      <c r="N325" s="93"/>
      <c r="O325" s="93"/>
      <c r="P325" s="93"/>
      <c r="Q325" s="93"/>
      <c r="R325" s="93"/>
      <c r="S325" s="93"/>
      <c r="T325" s="93"/>
      <c r="U325" s="93"/>
      <c r="V325" s="93"/>
      <c r="W325" s="93"/>
      <c r="X325" s="93"/>
      <c r="Y325" s="93"/>
    </row>
    <row r="326">
      <c r="A326" s="1"/>
      <c r="B326" s="44"/>
      <c r="D326" s="44"/>
      <c r="E326" s="93"/>
      <c r="F326" s="93"/>
      <c r="G326" s="93"/>
      <c r="H326" s="93"/>
      <c r="I326" s="93"/>
      <c r="J326" s="93"/>
      <c r="K326" s="93"/>
      <c r="L326" s="93"/>
      <c r="M326" s="93"/>
      <c r="N326" s="93"/>
      <c r="O326" s="93"/>
      <c r="P326" s="93"/>
      <c r="Q326" s="93"/>
      <c r="R326" s="93"/>
      <c r="S326" s="93"/>
      <c r="T326" s="93"/>
      <c r="U326" s="93"/>
      <c r="V326" s="93"/>
      <c r="W326" s="93"/>
      <c r="X326" s="93"/>
      <c r="Y326" s="93"/>
    </row>
    <row r="327">
      <c r="A327" s="1"/>
      <c r="B327" s="44"/>
      <c r="D327" s="44"/>
      <c r="E327" s="93"/>
      <c r="F327" s="93"/>
      <c r="G327" s="93"/>
      <c r="H327" s="93"/>
      <c r="I327" s="93"/>
      <c r="J327" s="93"/>
      <c r="K327" s="93"/>
      <c r="L327" s="93"/>
      <c r="M327" s="93"/>
      <c r="N327" s="93"/>
      <c r="O327" s="93"/>
      <c r="P327" s="93"/>
      <c r="Q327" s="93"/>
      <c r="R327" s="93"/>
      <c r="S327" s="93"/>
      <c r="T327" s="93"/>
      <c r="U327" s="93"/>
      <c r="V327" s="93"/>
      <c r="W327" s="93"/>
      <c r="X327" s="93"/>
      <c r="Y327" s="93"/>
    </row>
    <row r="328">
      <c r="A328" s="1"/>
      <c r="B328" s="44"/>
      <c r="D328" s="44"/>
      <c r="E328" s="93"/>
      <c r="F328" s="93"/>
      <c r="G328" s="93"/>
      <c r="H328" s="93"/>
      <c r="I328" s="93"/>
      <c r="J328" s="93"/>
      <c r="K328" s="93"/>
      <c r="L328" s="93"/>
      <c r="M328" s="93"/>
      <c r="N328" s="93"/>
      <c r="O328" s="93"/>
      <c r="P328" s="93"/>
      <c r="Q328" s="93"/>
      <c r="R328" s="93"/>
      <c r="S328" s="93"/>
      <c r="T328" s="93"/>
      <c r="U328" s="93"/>
      <c r="V328" s="93"/>
      <c r="W328" s="93"/>
      <c r="X328" s="93"/>
      <c r="Y328" s="93"/>
    </row>
    <row r="329">
      <c r="A329" s="1"/>
      <c r="B329" s="44"/>
      <c r="D329" s="44"/>
      <c r="E329" s="93"/>
      <c r="F329" s="93"/>
      <c r="G329" s="93"/>
      <c r="H329" s="93"/>
      <c r="I329" s="93"/>
      <c r="J329" s="93"/>
      <c r="K329" s="93"/>
      <c r="L329" s="93"/>
      <c r="M329" s="93"/>
      <c r="N329" s="93"/>
      <c r="O329" s="93"/>
      <c r="P329" s="93"/>
      <c r="Q329" s="93"/>
      <c r="R329" s="93"/>
      <c r="S329" s="93"/>
      <c r="T329" s="93"/>
      <c r="U329" s="93"/>
      <c r="V329" s="93"/>
      <c r="W329" s="93"/>
      <c r="X329" s="93"/>
      <c r="Y329" s="93"/>
    </row>
    <row r="330">
      <c r="A330" s="1"/>
      <c r="B330" s="44"/>
      <c r="D330" s="44"/>
      <c r="E330" s="93"/>
      <c r="F330" s="93"/>
      <c r="G330" s="93"/>
      <c r="H330" s="93"/>
      <c r="I330" s="93"/>
      <c r="J330" s="93"/>
      <c r="K330" s="93"/>
      <c r="L330" s="93"/>
      <c r="M330" s="93"/>
      <c r="N330" s="93"/>
      <c r="O330" s="93"/>
      <c r="P330" s="93"/>
      <c r="Q330" s="93"/>
      <c r="R330" s="93"/>
      <c r="S330" s="93"/>
      <c r="T330" s="93"/>
      <c r="U330" s="93"/>
      <c r="V330" s="93"/>
      <c r="W330" s="93"/>
      <c r="X330" s="93"/>
      <c r="Y330" s="93"/>
    </row>
    <row r="331">
      <c r="A331" s="1"/>
      <c r="B331" s="44"/>
      <c r="D331" s="44"/>
      <c r="E331" s="93"/>
      <c r="F331" s="93"/>
      <c r="G331" s="93"/>
      <c r="H331" s="93"/>
      <c r="I331" s="93"/>
      <c r="J331" s="93"/>
      <c r="K331" s="93"/>
      <c r="L331" s="93"/>
      <c r="M331" s="93"/>
      <c r="N331" s="93"/>
      <c r="O331" s="93"/>
      <c r="P331" s="93"/>
      <c r="Q331" s="93"/>
      <c r="R331" s="93"/>
      <c r="S331" s="93"/>
      <c r="T331" s="93"/>
      <c r="U331" s="93"/>
      <c r="V331" s="93"/>
      <c r="W331" s="93"/>
      <c r="X331" s="93"/>
      <c r="Y331" s="93"/>
    </row>
    <row r="332">
      <c r="A332" s="1"/>
      <c r="B332" s="44"/>
      <c r="D332" s="44"/>
      <c r="E332" s="93"/>
      <c r="F332" s="93"/>
      <c r="G332" s="93"/>
      <c r="H332" s="93"/>
      <c r="I332" s="93"/>
      <c r="J332" s="93"/>
      <c r="K332" s="93"/>
      <c r="L332" s="93"/>
      <c r="M332" s="93"/>
      <c r="N332" s="93"/>
      <c r="O332" s="93"/>
      <c r="P332" s="93"/>
      <c r="Q332" s="93"/>
      <c r="R332" s="93"/>
      <c r="S332" s="93"/>
      <c r="T332" s="93"/>
      <c r="U332" s="93"/>
      <c r="V332" s="93"/>
      <c r="W332" s="93"/>
      <c r="X332" s="93"/>
      <c r="Y332" s="93"/>
    </row>
    <row r="333">
      <c r="A333" s="1"/>
      <c r="B333" s="44"/>
      <c r="D333" s="44"/>
      <c r="E333" s="93"/>
      <c r="F333" s="93"/>
      <c r="G333" s="93"/>
      <c r="H333" s="93"/>
      <c r="I333" s="93"/>
      <c r="J333" s="93"/>
      <c r="K333" s="93"/>
      <c r="L333" s="93"/>
      <c r="M333" s="93"/>
      <c r="N333" s="93"/>
      <c r="O333" s="93"/>
      <c r="P333" s="93"/>
      <c r="Q333" s="93"/>
      <c r="R333" s="93"/>
      <c r="S333" s="93"/>
      <c r="T333" s="93"/>
      <c r="U333" s="93"/>
      <c r="V333" s="93"/>
      <c r="W333" s="93"/>
      <c r="X333" s="93"/>
      <c r="Y333" s="93"/>
    </row>
    <row r="334">
      <c r="A334" s="1"/>
      <c r="B334" s="44"/>
      <c r="D334" s="44"/>
      <c r="E334" s="93"/>
      <c r="F334" s="93"/>
      <c r="G334" s="93"/>
      <c r="H334" s="93"/>
      <c r="I334" s="93"/>
      <c r="J334" s="93"/>
      <c r="K334" s="93"/>
      <c r="L334" s="93"/>
      <c r="M334" s="93"/>
      <c r="N334" s="93"/>
      <c r="O334" s="93"/>
      <c r="P334" s="93"/>
      <c r="Q334" s="93"/>
      <c r="R334" s="93"/>
      <c r="S334" s="93"/>
      <c r="T334" s="93"/>
      <c r="U334" s="93"/>
      <c r="V334" s="93"/>
      <c r="W334" s="93"/>
      <c r="X334" s="93"/>
      <c r="Y334" s="93"/>
    </row>
    <row r="335">
      <c r="A335" s="1"/>
      <c r="B335" s="44"/>
      <c r="D335" s="44"/>
      <c r="E335" s="93"/>
      <c r="F335" s="93"/>
      <c r="G335" s="93"/>
      <c r="H335" s="93"/>
      <c r="I335" s="93"/>
      <c r="J335" s="93"/>
      <c r="K335" s="93"/>
      <c r="L335" s="93"/>
      <c r="M335" s="93"/>
      <c r="N335" s="93"/>
      <c r="O335" s="93"/>
      <c r="P335" s="93"/>
      <c r="Q335" s="93"/>
      <c r="R335" s="93"/>
      <c r="S335" s="93"/>
      <c r="T335" s="93"/>
      <c r="U335" s="93"/>
      <c r="V335" s="93"/>
      <c r="W335" s="93"/>
      <c r="X335" s="93"/>
      <c r="Y335" s="93"/>
    </row>
    <row r="336">
      <c r="A336" s="1"/>
      <c r="B336" s="44"/>
      <c r="D336" s="44"/>
      <c r="E336" s="93"/>
      <c r="F336" s="93"/>
      <c r="G336" s="93"/>
      <c r="H336" s="93"/>
      <c r="I336" s="93"/>
      <c r="J336" s="93"/>
      <c r="K336" s="93"/>
      <c r="L336" s="93"/>
      <c r="M336" s="93"/>
      <c r="N336" s="93"/>
      <c r="O336" s="93"/>
      <c r="P336" s="93"/>
      <c r="Q336" s="93"/>
      <c r="R336" s="93"/>
      <c r="S336" s="93"/>
      <c r="T336" s="93"/>
      <c r="U336" s="93"/>
      <c r="V336" s="93"/>
      <c r="W336" s="93"/>
      <c r="X336" s="93"/>
      <c r="Y336" s="93"/>
    </row>
    <row r="337">
      <c r="A337" s="1"/>
      <c r="B337" s="44"/>
      <c r="D337" s="44"/>
      <c r="E337" s="93"/>
      <c r="F337" s="93"/>
      <c r="G337" s="93"/>
      <c r="H337" s="93"/>
      <c r="I337" s="93"/>
      <c r="J337" s="93"/>
      <c r="K337" s="93"/>
      <c r="L337" s="93"/>
      <c r="M337" s="93"/>
      <c r="N337" s="93"/>
      <c r="O337" s="93"/>
      <c r="P337" s="93"/>
      <c r="Q337" s="93"/>
      <c r="R337" s="93"/>
      <c r="S337" s="93"/>
      <c r="T337" s="93"/>
      <c r="U337" s="93"/>
      <c r="V337" s="93"/>
      <c r="W337" s="93"/>
      <c r="X337" s="93"/>
      <c r="Y337" s="93"/>
    </row>
    <row r="338">
      <c r="A338" s="1"/>
      <c r="B338" s="44"/>
      <c r="D338" s="44"/>
      <c r="E338" s="93"/>
      <c r="F338" s="93"/>
      <c r="G338" s="93"/>
      <c r="H338" s="93"/>
      <c r="I338" s="93"/>
      <c r="J338" s="93"/>
      <c r="K338" s="93"/>
      <c r="L338" s="93"/>
      <c r="M338" s="93"/>
      <c r="N338" s="93"/>
      <c r="O338" s="93"/>
      <c r="P338" s="93"/>
      <c r="Q338" s="93"/>
      <c r="R338" s="93"/>
      <c r="S338" s="93"/>
      <c r="T338" s="93"/>
      <c r="U338" s="93"/>
      <c r="V338" s="93"/>
      <c r="W338" s="93"/>
      <c r="X338" s="93"/>
      <c r="Y338" s="93"/>
    </row>
    <row r="339">
      <c r="A339" s="1"/>
      <c r="B339" s="44"/>
      <c r="D339" s="44"/>
      <c r="E339" s="93"/>
      <c r="F339" s="93"/>
      <c r="G339" s="93"/>
      <c r="H339" s="93"/>
      <c r="I339" s="93"/>
      <c r="J339" s="93"/>
      <c r="K339" s="93"/>
      <c r="L339" s="93"/>
      <c r="M339" s="93"/>
      <c r="N339" s="93"/>
      <c r="O339" s="93"/>
      <c r="P339" s="93"/>
      <c r="Q339" s="93"/>
      <c r="R339" s="93"/>
      <c r="S339" s="93"/>
      <c r="T339" s="93"/>
      <c r="U339" s="93"/>
      <c r="V339" s="93"/>
      <c r="W339" s="93"/>
      <c r="X339" s="93"/>
      <c r="Y339" s="93"/>
    </row>
    <row r="340">
      <c r="A340" s="1"/>
      <c r="B340" s="44"/>
      <c r="D340" s="44"/>
      <c r="E340" s="93"/>
      <c r="F340" s="93"/>
      <c r="G340" s="93"/>
      <c r="H340" s="93"/>
      <c r="I340" s="93"/>
      <c r="J340" s="93"/>
      <c r="K340" s="93"/>
      <c r="L340" s="93"/>
      <c r="M340" s="93"/>
      <c r="N340" s="93"/>
      <c r="O340" s="93"/>
      <c r="P340" s="93"/>
      <c r="Q340" s="93"/>
      <c r="R340" s="93"/>
      <c r="S340" s="93"/>
      <c r="T340" s="93"/>
      <c r="U340" s="93"/>
      <c r="V340" s="93"/>
      <c r="W340" s="93"/>
      <c r="X340" s="93"/>
      <c r="Y340" s="93"/>
    </row>
    <row r="341">
      <c r="A341" s="1"/>
      <c r="B341" s="44"/>
      <c r="D341" s="44"/>
      <c r="E341" s="93"/>
      <c r="F341" s="93"/>
      <c r="G341" s="93"/>
      <c r="H341" s="93"/>
      <c r="I341" s="93"/>
      <c r="J341" s="93"/>
      <c r="K341" s="93"/>
      <c r="L341" s="93"/>
      <c r="M341" s="93"/>
      <c r="N341" s="93"/>
      <c r="O341" s="93"/>
      <c r="P341" s="93"/>
      <c r="Q341" s="93"/>
      <c r="R341" s="93"/>
      <c r="S341" s="93"/>
      <c r="T341" s="93"/>
      <c r="U341" s="93"/>
      <c r="V341" s="93"/>
      <c r="W341" s="93"/>
      <c r="X341" s="93"/>
      <c r="Y341" s="93"/>
    </row>
    <row r="342">
      <c r="A342" s="1"/>
      <c r="B342" s="44"/>
      <c r="D342" s="44"/>
      <c r="E342" s="93"/>
      <c r="F342" s="93"/>
      <c r="G342" s="93"/>
      <c r="H342" s="93"/>
      <c r="I342" s="93"/>
      <c r="J342" s="93"/>
      <c r="K342" s="93"/>
      <c r="L342" s="93"/>
      <c r="M342" s="93"/>
      <c r="N342" s="93"/>
      <c r="O342" s="93"/>
      <c r="P342" s="93"/>
      <c r="Q342" s="93"/>
      <c r="R342" s="93"/>
      <c r="S342" s="93"/>
      <c r="T342" s="93"/>
      <c r="U342" s="93"/>
      <c r="V342" s="93"/>
      <c r="W342" s="93"/>
      <c r="X342" s="93"/>
      <c r="Y342" s="93"/>
    </row>
    <row r="343">
      <c r="A343" s="1"/>
      <c r="B343" s="44"/>
      <c r="D343" s="44"/>
      <c r="E343" s="93"/>
      <c r="F343" s="93"/>
      <c r="G343" s="93"/>
      <c r="H343" s="93"/>
      <c r="I343" s="93"/>
      <c r="J343" s="93"/>
      <c r="K343" s="93"/>
      <c r="L343" s="93"/>
      <c r="M343" s="93"/>
      <c r="N343" s="93"/>
      <c r="O343" s="93"/>
      <c r="P343" s="93"/>
      <c r="Q343" s="93"/>
      <c r="R343" s="93"/>
      <c r="S343" s="93"/>
      <c r="T343" s="93"/>
      <c r="U343" s="93"/>
      <c r="V343" s="93"/>
      <c r="W343" s="93"/>
      <c r="X343" s="93"/>
      <c r="Y343" s="93"/>
    </row>
    <row r="344">
      <c r="A344" s="1"/>
      <c r="B344" s="44"/>
      <c r="D344" s="44"/>
      <c r="E344" s="93"/>
      <c r="F344" s="93"/>
      <c r="G344" s="93"/>
      <c r="H344" s="93"/>
      <c r="I344" s="93"/>
      <c r="J344" s="93"/>
      <c r="K344" s="93"/>
      <c r="L344" s="93"/>
      <c r="M344" s="93"/>
      <c r="N344" s="93"/>
      <c r="O344" s="93"/>
      <c r="P344" s="93"/>
      <c r="Q344" s="93"/>
      <c r="R344" s="93"/>
      <c r="S344" s="93"/>
      <c r="T344" s="93"/>
      <c r="U344" s="93"/>
      <c r="V344" s="93"/>
      <c r="W344" s="93"/>
      <c r="X344" s="93"/>
      <c r="Y344" s="93"/>
    </row>
    <row r="345">
      <c r="A345" s="1"/>
      <c r="B345" s="44"/>
      <c r="D345" s="44"/>
      <c r="E345" s="93"/>
      <c r="F345" s="93"/>
      <c r="G345" s="93"/>
      <c r="H345" s="93"/>
      <c r="I345" s="93"/>
      <c r="J345" s="93"/>
      <c r="K345" s="93"/>
      <c r="L345" s="93"/>
      <c r="M345" s="93"/>
      <c r="N345" s="93"/>
      <c r="O345" s="93"/>
      <c r="P345" s="93"/>
      <c r="Q345" s="93"/>
      <c r="R345" s="93"/>
      <c r="S345" s="93"/>
      <c r="T345" s="93"/>
      <c r="U345" s="93"/>
      <c r="V345" s="93"/>
      <c r="W345" s="93"/>
      <c r="X345" s="93"/>
      <c r="Y345" s="93"/>
    </row>
    <row r="346">
      <c r="A346" s="1"/>
      <c r="B346" s="44"/>
      <c r="D346" s="44"/>
      <c r="E346" s="93"/>
      <c r="F346" s="93"/>
      <c r="G346" s="93"/>
      <c r="H346" s="93"/>
      <c r="I346" s="93"/>
      <c r="J346" s="93"/>
      <c r="K346" s="93"/>
      <c r="L346" s="93"/>
      <c r="M346" s="93"/>
      <c r="N346" s="93"/>
      <c r="O346" s="93"/>
      <c r="P346" s="93"/>
      <c r="Q346" s="93"/>
      <c r="R346" s="93"/>
      <c r="S346" s="93"/>
      <c r="T346" s="93"/>
      <c r="U346" s="93"/>
      <c r="V346" s="93"/>
      <c r="W346" s="93"/>
      <c r="X346" s="93"/>
      <c r="Y346" s="93"/>
    </row>
    <row r="347">
      <c r="A347" s="1"/>
      <c r="B347" s="44"/>
      <c r="D347" s="44"/>
      <c r="E347" s="93"/>
      <c r="F347" s="93"/>
      <c r="G347" s="93"/>
      <c r="H347" s="93"/>
      <c r="I347" s="93"/>
      <c r="J347" s="93"/>
      <c r="K347" s="93"/>
      <c r="L347" s="93"/>
      <c r="M347" s="93"/>
      <c r="N347" s="93"/>
      <c r="O347" s="93"/>
      <c r="P347" s="93"/>
      <c r="Q347" s="93"/>
      <c r="R347" s="93"/>
      <c r="S347" s="93"/>
      <c r="T347" s="93"/>
      <c r="U347" s="93"/>
      <c r="V347" s="93"/>
      <c r="W347" s="93"/>
      <c r="X347" s="93"/>
      <c r="Y347" s="93"/>
    </row>
    <row r="348">
      <c r="A348" s="1"/>
      <c r="B348" s="44"/>
      <c r="D348" s="44"/>
      <c r="E348" s="93"/>
      <c r="F348" s="93"/>
      <c r="G348" s="93"/>
      <c r="H348" s="93"/>
      <c r="I348" s="93"/>
      <c r="J348" s="93"/>
      <c r="K348" s="93"/>
      <c r="L348" s="93"/>
      <c r="M348" s="93"/>
      <c r="N348" s="93"/>
      <c r="O348" s="93"/>
      <c r="P348" s="93"/>
      <c r="Q348" s="93"/>
      <c r="R348" s="93"/>
      <c r="S348" s="93"/>
      <c r="T348" s="93"/>
      <c r="U348" s="93"/>
      <c r="V348" s="93"/>
      <c r="W348" s="93"/>
      <c r="X348" s="93"/>
      <c r="Y348" s="93"/>
    </row>
    <row r="349">
      <c r="A349" s="1"/>
      <c r="B349" s="44"/>
      <c r="D349" s="44"/>
      <c r="E349" s="93"/>
      <c r="F349" s="93"/>
      <c r="G349" s="93"/>
      <c r="H349" s="93"/>
      <c r="I349" s="93"/>
      <c r="J349" s="93"/>
      <c r="K349" s="93"/>
      <c r="L349" s="93"/>
      <c r="M349" s="93"/>
      <c r="N349" s="93"/>
      <c r="O349" s="93"/>
      <c r="P349" s="93"/>
      <c r="Q349" s="93"/>
      <c r="R349" s="93"/>
      <c r="S349" s="93"/>
      <c r="T349" s="93"/>
      <c r="U349" s="93"/>
      <c r="V349" s="93"/>
      <c r="W349" s="93"/>
      <c r="X349" s="93"/>
      <c r="Y349" s="93"/>
    </row>
    <row r="350">
      <c r="A350" s="1"/>
      <c r="B350" s="44"/>
      <c r="D350" s="44"/>
      <c r="E350" s="93"/>
      <c r="F350" s="93"/>
      <c r="G350" s="93"/>
      <c r="H350" s="93"/>
      <c r="I350" s="93"/>
      <c r="J350" s="93"/>
      <c r="K350" s="93"/>
      <c r="L350" s="93"/>
      <c r="M350" s="93"/>
      <c r="N350" s="93"/>
      <c r="O350" s="93"/>
      <c r="P350" s="93"/>
      <c r="Q350" s="93"/>
      <c r="R350" s="93"/>
      <c r="S350" s="93"/>
      <c r="T350" s="93"/>
      <c r="U350" s="93"/>
      <c r="V350" s="93"/>
      <c r="W350" s="93"/>
      <c r="X350" s="93"/>
      <c r="Y350" s="93"/>
    </row>
    <row r="351">
      <c r="A351" s="1"/>
      <c r="B351" s="44"/>
      <c r="D351" s="44"/>
      <c r="E351" s="93"/>
      <c r="F351" s="93"/>
      <c r="G351" s="93"/>
      <c r="H351" s="93"/>
      <c r="I351" s="93"/>
      <c r="J351" s="93"/>
      <c r="K351" s="93"/>
      <c r="L351" s="93"/>
      <c r="M351" s="93"/>
      <c r="N351" s="93"/>
      <c r="O351" s="93"/>
      <c r="P351" s="93"/>
      <c r="Q351" s="93"/>
      <c r="R351" s="93"/>
      <c r="S351" s="93"/>
      <c r="T351" s="93"/>
      <c r="U351" s="93"/>
      <c r="V351" s="93"/>
      <c r="W351" s="93"/>
      <c r="X351" s="93"/>
      <c r="Y351" s="93"/>
    </row>
    <row r="352">
      <c r="A352" s="1"/>
      <c r="B352" s="44"/>
      <c r="D352" s="44"/>
      <c r="E352" s="93"/>
      <c r="F352" s="93"/>
      <c r="G352" s="93"/>
      <c r="H352" s="93"/>
      <c r="I352" s="93"/>
      <c r="J352" s="93"/>
      <c r="K352" s="93"/>
      <c r="L352" s="93"/>
      <c r="M352" s="93"/>
      <c r="N352" s="93"/>
      <c r="O352" s="93"/>
      <c r="P352" s="93"/>
      <c r="Q352" s="93"/>
      <c r="R352" s="93"/>
      <c r="S352" s="93"/>
      <c r="T352" s="93"/>
      <c r="U352" s="93"/>
      <c r="V352" s="93"/>
      <c r="W352" s="93"/>
      <c r="X352" s="93"/>
      <c r="Y352" s="93"/>
    </row>
    <row r="353">
      <c r="A353" s="1"/>
      <c r="B353" s="44"/>
      <c r="D353" s="44"/>
      <c r="E353" s="93"/>
      <c r="F353" s="93"/>
      <c r="G353" s="93"/>
      <c r="H353" s="93"/>
      <c r="I353" s="93"/>
      <c r="J353" s="93"/>
      <c r="K353" s="93"/>
      <c r="L353" s="93"/>
      <c r="M353" s="93"/>
      <c r="N353" s="93"/>
      <c r="O353" s="93"/>
      <c r="P353" s="93"/>
      <c r="Q353" s="93"/>
      <c r="R353" s="93"/>
      <c r="S353" s="93"/>
      <c r="T353" s="93"/>
      <c r="U353" s="93"/>
      <c r="V353" s="93"/>
      <c r="W353" s="93"/>
      <c r="X353" s="93"/>
      <c r="Y353" s="93"/>
    </row>
    <row r="354">
      <c r="A354" s="1"/>
      <c r="B354" s="44"/>
      <c r="D354" s="44"/>
      <c r="E354" s="93"/>
      <c r="F354" s="93"/>
      <c r="G354" s="93"/>
      <c r="H354" s="93"/>
      <c r="I354" s="93"/>
      <c r="J354" s="93"/>
      <c r="K354" s="93"/>
      <c r="L354" s="93"/>
      <c r="M354" s="93"/>
      <c r="N354" s="93"/>
      <c r="O354" s="93"/>
      <c r="P354" s="93"/>
      <c r="Q354" s="93"/>
      <c r="R354" s="93"/>
      <c r="S354" s="93"/>
      <c r="T354" s="93"/>
      <c r="U354" s="93"/>
      <c r="V354" s="93"/>
      <c r="W354" s="93"/>
      <c r="X354" s="93"/>
      <c r="Y354" s="93"/>
    </row>
    <row r="355">
      <c r="A355" s="1"/>
      <c r="B355" s="44"/>
      <c r="D355" s="44"/>
      <c r="E355" s="93"/>
      <c r="F355" s="93"/>
      <c r="G355" s="93"/>
      <c r="H355" s="93"/>
      <c r="I355" s="93"/>
      <c r="J355" s="93"/>
      <c r="K355" s="93"/>
      <c r="L355" s="93"/>
      <c r="M355" s="93"/>
      <c r="N355" s="93"/>
      <c r="O355" s="93"/>
      <c r="P355" s="93"/>
      <c r="Q355" s="93"/>
      <c r="R355" s="93"/>
      <c r="S355" s="93"/>
      <c r="T355" s="93"/>
      <c r="U355" s="93"/>
      <c r="V355" s="93"/>
      <c r="W355" s="93"/>
      <c r="X355" s="93"/>
      <c r="Y355" s="93"/>
    </row>
    <row r="356">
      <c r="A356" s="1"/>
      <c r="B356" s="44"/>
      <c r="D356" s="44"/>
      <c r="E356" s="93"/>
      <c r="F356" s="93"/>
      <c r="G356" s="93"/>
      <c r="H356" s="93"/>
      <c r="I356" s="93"/>
      <c r="J356" s="93"/>
      <c r="K356" s="93"/>
      <c r="L356" s="93"/>
      <c r="M356" s="93"/>
      <c r="N356" s="93"/>
      <c r="O356" s="93"/>
      <c r="P356" s="93"/>
      <c r="Q356" s="93"/>
      <c r="R356" s="93"/>
      <c r="S356" s="93"/>
      <c r="T356" s="93"/>
      <c r="U356" s="93"/>
      <c r="V356" s="93"/>
      <c r="W356" s="93"/>
      <c r="X356" s="93"/>
      <c r="Y356" s="93"/>
    </row>
    <row r="357">
      <c r="A357" s="1"/>
      <c r="B357" s="44"/>
      <c r="D357" s="44"/>
      <c r="E357" s="93"/>
      <c r="F357" s="93"/>
      <c r="G357" s="93"/>
      <c r="H357" s="93"/>
      <c r="I357" s="93"/>
      <c r="J357" s="93"/>
      <c r="K357" s="93"/>
      <c r="L357" s="93"/>
      <c r="M357" s="93"/>
      <c r="N357" s="93"/>
      <c r="O357" s="93"/>
      <c r="P357" s="93"/>
      <c r="Q357" s="93"/>
      <c r="R357" s="93"/>
      <c r="S357" s="93"/>
      <c r="T357" s="93"/>
      <c r="U357" s="93"/>
      <c r="V357" s="93"/>
      <c r="W357" s="93"/>
      <c r="X357" s="93"/>
      <c r="Y357" s="93"/>
    </row>
    <row r="358">
      <c r="A358" s="1"/>
      <c r="B358" s="44"/>
      <c r="D358" s="44"/>
      <c r="E358" s="93"/>
      <c r="F358" s="93"/>
      <c r="G358" s="93"/>
      <c r="H358" s="93"/>
      <c r="I358" s="93"/>
      <c r="J358" s="93"/>
      <c r="K358" s="93"/>
      <c r="L358" s="93"/>
      <c r="M358" s="93"/>
      <c r="N358" s="93"/>
      <c r="O358" s="93"/>
      <c r="P358" s="93"/>
      <c r="Q358" s="93"/>
      <c r="R358" s="93"/>
      <c r="S358" s="93"/>
      <c r="T358" s="93"/>
      <c r="U358" s="93"/>
      <c r="V358" s="93"/>
      <c r="W358" s="93"/>
      <c r="X358" s="93"/>
      <c r="Y358" s="93"/>
    </row>
    <row r="359">
      <c r="A359" s="1"/>
      <c r="B359" s="44"/>
      <c r="D359" s="44"/>
      <c r="E359" s="93"/>
      <c r="F359" s="93"/>
      <c r="G359" s="93"/>
      <c r="H359" s="93"/>
      <c r="I359" s="93"/>
      <c r="J359" s="93"/>
      <c r="K359" s="93"/>
      <c r="L359" s="93"/>
      <c r="M359" s="93"/>
      <c r="N359" s="93"/>
      <c r="O359" s="93"/>
      <c r="P359" s="93"/>
      <c r="Q359" s="93"/>
      <c r="R359" s="93"/>
      <c r="S359" s="93"/>
      <c r="T359" s="93"/>
      <c r="U359" s="93"/>
      <c r="V359" s="93"/>
      <c r="W359" s="93"/>
      <c r="X359" s="93"/>
      <c r="Y359" s="93"/>
    </row>
    <row r="360">
      <c r="A360" s="1"/>
      <c r="B360" s="44"/>
      <c r="D360" s="44"/>
      <c r="E360" s="93"/>
      <c r="F360" s="93"/>
      <c r="G360" s="93"/>
      <c r="H360" s="93"/>
      <c r="I360" s="93"/>
      <c r="J360" s="93"/>
      <c r="K360" s="93"/>
      <c r="L360" s="93"/>
      <c r="M360" s="93"/>
      <c r="N360" s="93"/>
      <c r="O360" s="93"/>
      <c r="P360" s="93"/>
      <c r="Q360" s="93"/>
      <c r="R360" s="93"/>
      <c r="S360" s="93"/>
      <c r="T360" s="93"/>
      <c r="U360" s="93"/>
      <c r="V360" s="93"/>
      <c r="W360" s="93"/>
      <c r="X360" s="93"/>
      <c r="Y360" s="93"/>
    </row>
    <row r="361">
      <c r="A361" s="1"/>
      <c r="B361" s="44"/>
      <c r="D361" s="44"/>
      <c r="E361" s="93"/>
      <c r="F361" s="93"/>
      <c r="G361" s="93"/>
      <c r="H361" s="93"/>
      <c r="I361" s="93"/>
      <c r="J361" s="93"/>
      <c r="K361" s="93"/>
      <c r="L361" s="93"/>
      <c r="M361" s="93"/>
      <c r="N361" s="93"/>
      <c r="O361" s="93"/>
      <c r="P361" s="93"/>
      <c r="Q361" s="93"/>
      <c r="R361" s="93"/>
      <c r="S361" s="93"/>
      <c r="T361" s="93"/>
      <c r="U361" s="93"/>
      <c r="V361" s="93"/>
      <c r="W361" s="93"/>
      <c r="X361" s="93"/>
      <c r="Y361" s="93"/>
    </row>
    <row r="362">
      <c r="A362" s="1"/>
      <c r="B362" s="44"/>
      <c r="D362" s="44"/>
      <c r="E362" s="93"/>
      <c r="F362" s="93"/>
      <c r="G362" s="93"/>
      <c r="H362" s="93"/>
      <c r="I362" s="93"/>
      <c r="J362" s="93"/>
      <c r="K362" s="93"/>
      <c r="L362" s="93"/>
      <c r="M362" s="93"/>
      <c r="N362" s="93"/>
      <c r="O362" s="93"/>
      <c r="P362" s="93"/>
      <c r="Q362" s="93"/>
      <c r="R362" s="93"/>
      <c r="S362" s="93"/>
      <c r="T362" s="93"/>
      <c r="U362" s="93"/>
      <c r="V362" s="93"/>
      <c r="W362" s="93"/>
      <c r="X362" s="93"/>
      <c r="Y362" s="93"/>
    </row>
    <row r="363">
      <c r="A363" s="1"/>
      <c r="B363" s="44"/>
      <c r="D363" s="44"/>
      <c r="E363" s="93"/>
      <c r="F363" s="93"/>
      <c r="G363" s="93"/>
      <c r="H363" s="93"/>
      <c r="I363" s="93"/>
      <c r="J363" s="93"/>
      <c r="K363" s="93"/>
      <c r="L363" s="93"/>
      <c r="M363" s="93"/>
      <c r="N363" s="93"/>
      <c r="O363" s="93"/>
      <c r="P363" s="93"/>
      <c r="Q363" s="93"/>
      <c r="R363" s="93"/>
      <c r="S363" s="93"/>
      <c r="T363" s="93"/>
      <c r="U363" s="93"/>
      <c r="V363" s="93"/>
      <c r="W363" s="93"/>
      <c r="X363" s="93"/>
      <c r="Y363" s="93"/>
    </row>
    <row r="364">
      <c r="A364" s="1"/>
      <c r="B364" s="44"/>
      <c r="D364" s="44"/>
      <c r="E364" s="93"/>
      <c r="F364" s="93"/>
      <c r="G364" s="93"/>
      <c r="H364" s="93"/>
      <c r="I364" s="93"/>
      <c r="J364" s="93"/>
      <c r="K364" s="93"/>
      <c r="L364" s="93"/>
      <c r="M364" s="93"/>
      <c r="N364" s="93"/>
      <c r="O364" s="93"/>
      <c r="P364" s="93"/>
      <c r="Q364" s="93"/>
      <c r="R364" s="93"/>
      <c r="S364" s="93"/>
      <c r="T364" s="93"/>
      <c r="U364" s="93"/>
      <c r="V364" s="93"/>
      <c r="W364" s="93"/>
      <c r="X364" s="93"/>
      <c r="Y364" s="93"/>
    </row>
    <row r="365">
      <c r="A365" s="1"/>
      <c r="B365" s="44"/>
      <c r="D365" s="44"/>
      <c r="E365" s="93"/>
      <c r="F365" s="93"/>
      <c r="G365" s="93"/>
      <c r="H365" s="93"/>
      <c r="I365" s="93"/>
      <c r="J365" s="93"/>
      <c r="K365" s="93"/>
      <c r="L365" s="93"/>
      <c r="M365" s="93"/>
      <c r="N365" s="93"/>
      <c r="O365" s="93"/>
      <c r="P365" s="93"/>
      <c r="Q365" s="93"/>
      <c r="R365" s="93"/>
      <c r="S365" s="93"/>
      <c r="T365" s="93"/>
      <c r="U365" s="93"/>
      <c r="V365" s="93"/>
      <c r="W365" s="93"/>
      <c r="X365" s="93"/>
      <c r="Y365" s="93"/>
    </row>
    <row r="366">
      <c r="A366" s="1"/>
      <c r="B366" s="44"/>
      <c r="D366" s="44"/>
      <c r="E366" s="93"/>
      <c r="F366" s="93"/>
      <c r="G366" s="93"/>
      <c r="H366" s="93"/>
      <c r="I366" s="93"/>
      <c r="J366" s="93"/>
      <c r="K366" s="93"/>
      <c r="L366" s="93"/>
      <c r="M366" s="93"/>
      <c r="N366" s="93"/>
      <c r="O366" s="93"/>
      <c r="P366" s="93"/>
      <c r="Q366" s="93"/>
      <c r="R366" s="93"/>
      <c r="S366" s="93"/>
      <c r="T366" s="93"/>
      <c r="U366" s="93"/>
      <c r="V366" s="93"/>
      <c r="W366" s="93"/>
      <c r="X366" s="93"/>
      <c r="Y366" s="93"/>
    </row>
    <row r="367">
      <c r="A367" s="1"/>
      <c r="B367" s="44"/>
      <c r="D367" s="44"/>
      <c r="E367" s="93"/>
      <c r="F367" s="93"/>
      <c r="G367" s="93"/>
      <c r="H367" s="93"/>
      <c r="I367" s="93"/>
      <c r="J367" s="93"/>
      <c r="K367" s="93"/>
      <c r="L367" s="93"/>
      <c r="M367" s="93"/>
      <c r="N367" s="93"/>
      <c r="O367" s="93"/>
      <c r="P367" s="93"/>
      <c r="Q367" s="93"/>
      <c r="R367" s="93"/>
      <c r="S367" s="93"/>
      <c r="T367" s="93"/>
      <c r="U367" s="93"/>
      <c r="V367" s="93"/>
      <c r="W367" s="93"/>
      <c r="X367" s="93"/>
      <c r="Y367" s="93"/>
    </row>
    <row r="368">
      <c r="A368" s="1"/>
      <c r="B368" s="44"/>
      <c r="D368" s="44"/>
      <c r="E368" s="93"/>
      <c r="F368" s="93"/>
      <c r="G368" s="93"/>
      <c r="H368" s="93"/>
      <c r="I368" s="93"/>
      <c r="J368" s="93"/>
      <c r="K368" s="93"/>
      <c r="L368" s="93"/>
      <c r="M368" s="93"/>
      <c r="N368" s="93"/>
      <c r="O368" s="93"/>
      <c r="P368" s="93"/>
      <c r="Q368" s="93"/>
      <c r="R368" s="93"/>
      <c r="S368" s="93"/>
      <c r="T368" s="93"/>
      <c r="U368" s="93"/>
      <c r="V368" s="93"/>
      <c r="W368" s="93"/>
      <c r="X368" s="93"/>
      <c r="Y368" s="93"/>
    </row>
    <row r="369">
      <c r="A369" s="1"/>
      <c r="B369" s="44"/>
      <c r="D369" s="44"/>
      <c r="E369" s="93"/>
      <c r="F369" s="93"/>
      <c r="G369" s="93"/>
      <c r="H369" s="93"/>
      <c r="I369" s="93"/>
      <c r="J369" s="93"/>
      <c r="K369" s="93"/>
      <c r="L369" s="93"/>
      <c r="M369" s="93"/>
      <c r="N369" s="93"/>
      <c r="O369" s="93"/>
      <c r="P369" s="93"/>
      <c r="Q369" s="93"/>
      <c r="R369" s="93"/>
      <c r="S369" s="93"/>
      <c r="T369" s="93"/>
      <c r="U369" s="93"/>
      <c r="V369" s="93"/>
      <c r="W369" s="93"/>
      <c r="X369" s="93"/>
      <c r="Y369" s="93"/>
    </row>
    <row r="370">
      <c r="A370" s="1"/>
      <c r="B370" s="44"/>
      <c r="D370" s="44"/>
      <c r="E370" s="93"/>
      <c r="F370" s="93"/>
      <c r="G370" s="93"/>
      <c r="H370" s="93"/>
      <c r="I370" s="93"/>
      <c r="J370" s="93"/>
      <c r="K370" s="93"/>
      <c r="L370" s="93"/>
      <c r="M370" s="93"/>
      <c r="N370" s="93"/>
      <c r="O370" s="93"/>
      <c r="P370" s="93"/>
      <c r="Q370" s="93"/>
      <c r="R370" s="93"/>
      <c r="S370" s="93"/>
      <c r="T370" s="93"/>
      <c r="U370" s="93"/>
      <c r="V370" s="93"/>
      <c r="W370" s="93"/>
      <c r="X370" s="93"/>
      <c r="Y370" s="93"/>
    </row>
    <row r="371">
      <c r="A371" s="1"/>
      <c r="B371" s="44"/>
      <c r="D371" s="44"/>
      <c r="E371" s="93"/>
      <c r="F371" s="93"/>
      <c r="G371" s="93"/>
      <c r="H371" s="93"/>
      <c r="I371" s="93"/>
      <c r="J371" s="93"/>
      <c r="K371" s="93"/>
      <c r="L371" s="93"/>
      <c r="M371" s="93"/>
      <c r="N371" s="93"/>
      <c r="O371" s="93"/>
      <c r="P371" s="93"/>
      <c r="Q371" s="93"/>
      <c r="R371" s="93"/>
      <c r="S371" s="93"/>
      <c r="T371" s="93"/>
      <c r="U371" s="93"/>
      <c r="V371" s="93"/>
      <c r="W371" s="93"/>
      <c r="X371" s="93"/>
      <c r="Y371" s="93"/>
    </row>
    <row r="372">
      <c r="A372" s="1"/>
      <c r="B372" s="44"/>
      <c r="D372" s="44"/>
      <c r="E372" s="93"/>
      <c r="F372" s="93"/>
      <c r="G372" s="93"/>
      <c r="H372" s="93"/>
      <c r="I372" s="93"/>
      <c r="J372" s="93"/>
      <c r="K372" s="93"/>
      <c r="L372" s="93"/>
      <c r="M372" s="93"/>
      <c r="N372" s="93"/>
      <c r="O372" s="93"/>
      <c r="P372" s="93"/>
      <c r="Q372" s="93"/>
      <c r="R372" s="93"/>
      <c r="S372" s="93"/>
      <c r="T372" s="93"/>
      <c r="U372" s="93"/>
      <c r="V372" s="93"/>
      <c r="W372" s="93"/>
      <c r="X372" s="93"/>
      <c r="Y372" s="93"/>
    </row>
    <row r="373">
      <c r="A373" s="1"/>
      <c r="B373" s="44"/>
      <c r="D373" s="44"/>
      <c r="E373" s="93"/>
      <c r="F373" s="93"/>
      <c r="G373" s="93"/>
      <c r="H373" s="93"/>
      <c r="I373" s="93"/>
      <c r="J373" s="93"/>
      <c r="K373" s="93"/>
      <c r="L373" s="93"/>
      <c r="M373" s="93"/>
      <c r="N373" s="93"/>
      <c r="O373" s="93"/>
      <c r="P373" s="93"/>
      <c r="Q373" s="93"/>
      <c r="R373" s="93"/>
      <c r="S373" s="93"/>
      <c r="T373" s="93"/>
      <c r="U373" s="93"/>
      <c r="V373" s="93"/>
      <c r="W373" s="93"/>
      <c r="X373" s="93"/>
      <c r="Y373" s="93"/>
    </row>
    <row r="374">
      <c r="A374" s="1"/>
      <c r="B374" s="44"/>
      <c r="D374" s="44"/>
      <c r="E374" s="93"/>
      <c r="F374" s="93"/>
      <c r="G374" s="93"/>
      <c r="H374" s="93"/>
      <c r="I374" s="93"/>
      <c r="J374" s="93"/>
      <c r="K374" s="93"/>
      <c r="L374" s="93"/>
      <c r="M374" s="93"/>
      <c r="N374" s="93"/>
      <c r="O374" s="93"/>
      <c r="P374" s="93"/>
      <c r="Q374" s="93"/>
      <c r="R374" s="93"/>
      <c r="S374" s="93"/>
      <c r="T374" s="93"/>
      <c r="U374" s="93"/>
      <c r="V374" s="93"/>
      <c r="W374" s="93"/>
      <c r="X374" s="93"/>
      <c r="Y374" s="93"/>
    </row>
    <row r="375">
      <c r="A375" s="1"/>
      <c r="B375" s="44"/>
      <c r="D375" s="44"/>
      <c r="E375" s="93"/>
      <c r="F375" s="93"/>
      <c r="G375" s="93"/>
      <c r="H375" s="93"/>
      <c r="I375" s="93"/>
      <c r="J375" s="93"/>
      <c r="K375" s="93"/>
      <c r="L375" s="93"/>
      <c r="M375" s="93"/>
      <c r="N375" s="93"/>
      <c r="O375" s="93"/>
      <c r="P375" s="93"/>
      <c r="Q375" s="93"/>
      <c r="R375" s="93"/>
      <c r="S375" s="93"/>
      <c r="T375" s="93"/>
      <c r="U375" s="93"/>
      <c r="V375" s="93"/>
      <c r="W375" s="93"/>
      <c r="X375" s="93"/>
      <c r="Y375" s="93"/>
    </row>
    <row r="376">
      <c r="A376" s="1"/>
      <c r="B376" s="44"/>
      <c r="D376" s="44"/>
      <c r="E376" s="93"/>
      <c r="F376" s="93"/>
      <c r="G376" s="93"/>
      <c r="H376" s="93"/>
      <c r="I376" s="93"/>
      <c r="J376" s="93"/>
      <c r="K376" s="93"/>
      <c r="L376" s="93"/>
      <c r="M376" s="93"/>
      <c r="N376" s="93"/>
      <c r="O376" s="93"/>
      <c r="P376" s="93"/>
      <c r="Q376" s="93"/>
      <c r="R376" s="93"/>
      <c r="S376" s="93"/>
      <c r="T376" s="93"/>
      <c r="U376" s="93"/>
      <c r="V376" s="93"/>
      <c r="W376" s="93"/>
      <c r="X376" s="93"/>
      <c r="Y376" s="93"/>
    </row>
    <row r="377">
      <c r="A377" s="1"/>
      <c r="B377" s="44"/>
      <c r="D377" s="44"/>
      <c r="E377" s="93"/>
      <c r="F377" s="93"/>
      <c r="G377" s="93"/>
      <c r="H377" s="93"/>
      <c r="I377" s="93"/>
      <c r="J377" s="93"/>
      <c r="K377" s="93"/>
      <c r="L377" s="93"/>
      <c r="M377" s="93"/>
      <c r="N377" s="93"/>
      <c r="O377" s="93"/>
      <c r="P377" s="93"/>
      <c r="Q377" s="93"/>
      <c r="R377" s="93"/>
      <c r="S377" s="93"/>
      <c r="T377" s="93"/>
      <c r="U377" s="93"/>
      <c r="V377" s="93"/>
      <c r="W377" s="93"/>
      <c r="X377" s="93"/>
      <c r="Y377" s="93"/>
    </row>
    <row r="378">
      <c r="A378" s="1"/>
      <c r="B378" s="44"/>
      <c r="D378" s="44"/>
      <c r="E378" s="93"/>
      <c r="F378" s="93"/>
      <c r="G378" s="93"/>
      <c r="H378" s="93"/>
      <c r="I378" s="93"/>
      <c r="J378" s="93"/>
      <c r="K378" s="93"/>
      <c r="L378" s="93"/>
      <c r="M378" s="93"/>
      <c r="N378" s="93"/>
      <c r="O378" s="93"/>
      <c r="P378" s="93"/>
      <c r="Q378" s="93"/>
      <c r="R378" s="93"/>
      <c r="S378" s="93"/>
      <c r="T378" s="93"/>
      <c r="U378" s="93"/>
      <c r="V378" s="93"/>
      <c r="W378" s="93"/>
      <c r="X378" s="93"/>
      <c r="Y378" s="93"/>
    </row>
    <row r="379">
      <c r="A379" s="1"/>
      <c r="B379" s="44"/>
      <c r="D379" s="44"/>
      <c r="E379" s="93"/>
      <c r="F379" s="93"/>
      <c r="G379" s="93"/>
      <c r="H379" s="93"/>
      <c r="I379" s="93"/>
      <c r="J379" s="93"/>
      <c r="K379" s="93"/>
      <c r="L379" s="93"/>
      <c r="M379" s="93"/>
      <c r="N379" s="93"/>
      <c r="O379" s="93"/>
      <c r="P379" s="93"/>
      <c r="Q379" s="93"/>
      <c r="R379" s="93"/>
      <c r="S379" s="93"/>
      <c r="T379" s="93"/>
      <c r="U379" s="93"/>
      <c r="V379" s="93"/>
      <c r="W379" s="93"/>
      <c r="X379" s="93"/>
      <c r="Y379" s="93"/>
    </row>
    <row r="380">
      <c r="A380" s="1"/>
      <c r="B380" s="44"/>
      <c r="D380" s="44"/>
      <c r="E380" s="93"/>
      <c r="F380" s="93"/>
      <c r="G380" s="93"/>
      <c r="H380" s="93"/>
      <c r="I380" s="93"/>
      <c r="J380" s="93"/>
      <c r="K380" s="93"/>
      <c r="L380" s="93"/>
      <c r="M380" s="93"/>
      <c r="N380" s="93"/>
      <c r="O380" s="93"/>
      <c r="P380" s="93"/>
      <c r="Q380" s="93"/>
      <c r="R380" s="93"/>
      <c r="S380" s="93"/>
      <c r="T380" s="93"/>
      <c r="U380" s="93"/>
      <c r="V380" s="93"/>
      <c r="W380" s="93"/>
      <c r="X380" s="93"/>
      <c r="Y380" s="93"/>
    </row>
    <row r="381">
      <c r="A381" s="1"/>
      <c r="B381" s="44"/>
      <c r="D381" s="44"/>
      <c r="E381" s="93"/>
      <c r="F381" s="93"/>
      <c r="G381" s="93"/>
      <c r="H381" s="93"/>
      <c r="I381" s="93"/>
      <c r="J381" s="93"/>
      <c r="K381" s="93"/>
      <c r="L381" s="93"/>
      <c r="M381" s="93"/>
      <c r="N381" s="93"/>
      <c r="O381" s="93"/>
      <c r="P381" s="93"/>
      <c r="Q381" s="93"/>
      <c r="R381" s="93"/>
      <c r="S381" s="93"/>
      <c r="T381" s="93"/>
      <c r="U381" s="93"/>
      <c r="V381" s="93"/>
      <c r="W381" s="93"/>
      <c r="X381" s="93"/>
      <c r="Y381" s="93"/>
    </row>
    <row r="382">
      <c r="A382" s="1"/>
      <c r="B382" s="44"/>
      <c r="D382" s="44"/>
      <c r="E382" s="93"/>
      <c r="F382" s="93"/>
      <c r="G382" s="93"/>
      <c r="H382" s="93"/>
      <c r="I382" s="93"/>
      <c r="J382" s="93"/>
      <c r="K382" s="93"/>
      <c r="L382" s="93"/>
      <c r="M382" s="93"/>
      <c r="N382" s="93"/>
      <c r="O382" s="93"/>
      <c r="P382" s="93"/>
      <c r="Q382" s="93"/>
      <c r="R382" s="93"/>
      <c r="S382" s="93"/>
      <c r="T382" s="93"/>
      <c r="U382" s="93"/>
      <c r="V382" s="93"/>
      <c r="W382" s="93"/>
      <c r="X382" s="93"/>
      <c r="Y382" s="93"/>
    </row>
    <row r="383">
      <c r="A383" s="1"/>
      <c r="B383" s="44"/>
      <c r="D383" s="44"/>
      <c r="E383" s="93"/>
      <c r="F383" s="93"/>
      <c r="G383" s="93"/>
      <c r="H383" s="93"/>
      <c r="I383" s="93"/>
      <c r="J383" s="93"/>
      <c r="K383" s="93"/>
      <c r="L383" s="93"/>
      <c r="M383" s="93"/>
      <c r="N383" s="93"/>
      <c r="O383" s="93"/>
      <c r="P383" s="93"/>
      <c r="Q383" s="93"/>
      <c r="R383" s="93"/>
      <c r="S383" s="93"/>
      <c r="T383" s="93"/>
      <c r="U383" s="93"/>
      <c r="V383" s="93"/>
      <c r="W383" s="93"/>
      <c r="X383" s="93"/>
      <c r="Y383" s="93"/>
    </row>
    <row r="384">
      <c r="A384" s="1"/>
      <c r="B384" s="44"/>
      <c r="D384" s="44"/>
      <c r="E384" s="93"/>
      <c r="F384" s="93"/>
      <c r="G384" s="93"/>
      <c r="H384" s="93"/>
      <c r="I384" s="93"/>
      <c r="J384" s="93"/>
      <c r="K384" s="93"/>
      <c r="L384" s="93"/>
      <c r="M384" s="93"/>
      <c r="N384" s="93"/>
      <c r="O384" s="93"/>
      <c r="P384" s="93"/>
      <c r="Q384" s="93"/>
      <c r="R384" s="93"/>
      <c r="S384" s="93"/>
      <c r="T384" s="93"/>
      <c r="U384" s="93"/>
      <c r="V384" s="93"/>
      <c r="W384" s="93"/>
      <c r="X384" s="93"/>
      <c r="Y384" s="93"/>
    </row>
    <row r="385">
      <c r="A385" s="1"/>
      <c r="B385" s="44"/>
      <c r="D385" s="44"/>
      <c r="E385" s="93"/>
      <c r="F385" s="93"/>
      <c r="G385" s="93"/>
      <c r="H385" s="93"/>
      <c r="I385" s="93"/>
      <c r="J385" s="93"/>
      <c r="K385" s="93"/>
      <c r="L385" s="93"/>
      <c r="M385" s="93"/>
      <c r="N385" s="93"/>
      <c r="O385" s="93"/>
      <c r="P385" s="93"/>
      <c r="Q385" s="93"/>
      <c r="R385" s="93"/>
      <c r="S385" s="93"/>
      <c r="T385" s="93"/>
      <c r="U385" s="93"/>
      <c r="V385" s="93"/>
      <c r="W385" s="93"/>
      <c r="X385" s="93"/>
      <c r="Y385" s="93"/>
    </row>
    <row r="386">
      <c r="A386" s="1"/>
      <c r="B386" s="44"/>
      <c r="D386" s="44"/>
      <c r="E386" s="93"/>
      <c r="F386" s="93"/>
      <c r="G386" s="93"/>
      <c r="H386" s="93"/>
      <c r="I386" s="93"/>
      <c r="J386" s="93"/>
      <c r="K386" s="93"/>
      <c r="L386" s="93"/>
      <c r="M386" s="93"/>
      <c r="N386" s="93"/>
      <c r="O386" s="93"/>
      <c r="P386" s="93"/>
      <c r="Q386" s="93"/>
      <c r="R386" s="93"/>
      <c r="S386" s="93"/>
      <c r="T386" s="93"/>
      <c r="U386" s="93"/>
      <c r="V386" s="93"/>
      <c r="W386" s="93"/>
      <c r="X386" s="93"/>
      <c r="Y386" s="93"/>
    </row>
    <row r="387">
      <c r="A387" s="1"/>
      <c r="B387" s="44"/>
      <c r="D387" s="44"/>
      <c r="E387" s="93"/>
      <c r="F387" s="93"/>
      <c r="G387" s="93"/>
      <c r="H387" s="93"/>
      <c r="I387" s="93"/>
      <c r="J387" s="93"/>
      <c r="K387" s="93"/>
      <c r="L387" s="93"/>
      <c r="M387" s="93"/>
      <c r="N387" s="93"/>
      <c r="O387" s="93"/>
      <c r="P387" s="93"/>
      <c r="Q387" s="93"/>
      <c r="R387" s="93"/>
      <c r="S387" s="93"/>
      <c r="T387" s="93"/>
      <c r="U387" s="93"/>
      <c r="V387" s="93"/>
      <c r="W387" s="93"/>
      <c r="X387" s="93"/>
      <c r="Y387" s="93"/>
    </row>
    <row r="388">
      <c r="A388" s="1"/>
      <c r="B388" s="44"/>
      <c r="D388" s="44"/>
      <c r="E388" s="93"/>
      <c r="F388" s="93"/>
      <c r="G388" s="93"/>
      <c r="H388" s="93"/>
      <c r="I388" s="93"/>
      <c r="J388" s="93"/>
      <c r="K388" s="93"/>
      <c r="L388" s="93"/>
      <c r="M388" s="93"/>
      <c r="N388" s="93"/>
      <c r="O388" s="93"/>
      <c r="P388" s="93"/>
      <c r="Q388" s="93"/>
      <c r="R388" s="93"/>
      <c r="S388" s="93"/>
      <c r="T388" s="93"/>
      <c r="U388" s="93"/>
      <c r="V388" s="93"/>
      <c r="W388" s="93"/>
      <c r="X388" s="93"/>
      <c r="Y388" s="93"/>
    </row>
    <row r="389">
      <c r="A389" s="1"/>
      <c r="B389" s="44"/>
      <c r="D389" s="44"/>
      <c r="E389" s="93"/>
      <c r="F389" s="93"/>
      <c r="G389" s="93"/>
      <c r="H389" s="93"/>
      <c r="I389" s="93"/>
      <c r="J389" s="93"/>
      <c r="K389" s="93"/>
      <c r="L389" s="93"/>
      <c r="M389" s="93"/>
      <c r="N389" s="93"/>
      <c r="O389" s="93"/>
      <c r="P389" s="93"/>
      <c r="Q389" s="93"/>
      <c r="R389" s="93"/>
      <c r="S389" s="93"/>
      <c r="T389" s="93"/>
      <c r="U389" s="93"/>
      <c r="V389" s="93"/>
      <c r="W389" s="93"/>
      <c r="X389" s="93"/>
      <c r="Y389" s="93"/>
    </row>
    <row r="390">
      <c r="A390" s="1"/>
      <c r="B390" s="44"/>
      <c r="D390" s="44"/>
      <c r="E390" s="93"/>
      <c r="F390" s="93"/>
      <c r="G390" s="93"/>
      <c r="H390" s="93"/>
      <c r="I390" s="93"/>
      <c r="J390" s="93"/>
      <c r="K390" s="93"/>
      <c r="L390" s="93"/>
      <c r="M390" s="93"/>
      <c r="N390" s="93"/>
      <c r="O390" s="93"/>
      <c r="P390" s="93"/>
      <c r="Q390" s="93"/>
      <c r="R390" s="93"/>
      <c r="S390" s="93"/>
      <c r="T390" s="93"/>
      <c r="U390" s="93"/>
      <c r="V390" s="93"/>
      <c r="W390" s="93"/>
      <c r="X390" s="93"/>
      <c r="Y390" s="93"/>
    </row>
    <row r="391">
      <c r="A391" s="1"/>
      <c r="B391" s="44"/>
      <c r="D391" s="44"/>
      <c r="E391" s="93"/>
      <c r="F391" s="93"/>
      <c r="G391" s="93"/>
      <c r="H391" s="93"/>
      <c r="I391" s="93"/>
      <c r="J391" s="93"/>
      <c r="K391" s="93"/>
      <c r="L391" s="93"/>
      <c r="M391" s="93"/>
      <c r="N391" s="93"/>
      <c r="O391" s="93"/>
      <c r="P391" s="93"/>
      <c r="Q391" s="93"/>
      <c r="R391" s="93"/>
      <c r="S391" s="93"/>
      <c r="T391" s="93"/>
      <c r="U391" s="93"/>
      <c r="V391" s="93"/>
      <c r="W391" s="93"/>
      <c r="X391" s="93"/>
      <c r="Y391" s="93"/>
    </row>
    <row r="392">
      <c r="A392" s="1"/>
      <c r="B392" s="44"/>
      <c r="D392" s="44"/>
      <c r="E392" s="93"/>
      <c r="F392" s="93"/>
      <c r="G392" s="93"/>
      <c r="H392" s="93"/>
      <c r="I392" s="93"/>
      <c r="J392" s="93"/>
      <c r="K392" s="93"/>
      <c r="L392" s="93"/>
      <c r="M392" s="93"/>
      <c r="N392" s="93"/>
      <c r="O392" s="93"/>
      <c r="P392" s="93"/>
      <c r="Q392" s="93"/>
      <c r="R392" s="93"/>
      <c r="S392" s="93"/>
      <c r="T392" s="93"/>
      <c r="U392" s="93"/>
      <c r="V392" s="93"/>
      <c r="W392" s="93"/>
      <c r="X392" s="93"/>
      <c r="Y392" s="93"/>
    </row>
    <row r="393">
      <c r="A393" s="1"/>
      <c r="B393" s="44"/>
      <c r="D393" s="44"/>
      <c r="E393" s="93"/>
      <c r="F393" s="93"/>
      <c r="G393" s="93"/>
      <c r="H393" s="93"/>
      <c r="I393" s="93"/>
      <c r="J393" s="93"/>
      <c r="K393" s="93"/>
      <c r="L393" s="93"/>
      <c r="M393" s="93"/>
      <c r="N393" s="93"/>
      <c r="O393" s="93"/>
      <c r="P393" s="93"/>
      <c r="Q393" s="93"/>
      <c r="R393" s="93"/>
      <c r="S393" s="93"/>
      <c r="T393" s="93"/>
      <c r="U393" s="93"/>
      <c r="V393" s="93"/>
      <c r="W393" s="93"/>
      <c r="X393" s="93"/>
      <c r="Y393" s="93"/>
    </row>
    <row r="394">
      <c r="A394" s="1"/>
      <c r="B394" s="44"/>
      <c r="D394" s="44"/>
      <c r="E394" s="93"/>
      <c r="F394" s="93"/>
      <c r="G394" s="93"/>
      <c r="H394" s="93"/>
      <c r="I394" s="93"/>
      <c r="J394" s="93"/>
      <c r="K394" s="93"/>
      <c r="L394" s="93"/>
      <c r="M394" s="93"/>
      <c r="N394" s="93"/>
      <c r="O394" s="93"/>
      <c r="P394" s="93"/>
      <c r="Q394" s="93"/>
      <c r="R394" s="93"/>
      <c r="S394" s="93"/>
      <c r="T394" s="93"/>
      <c r="U394" s="93"/>
      <c r="V394" s="93"/>
      <c r="W394" s="93"/>
      <c r="X394" s="93"/>
      <c r="Y394" s="93"/>
    </row>
    <row r="395">
      <c r="A395" s="1"/>
      <c r="B395" s="44"/>
      <c r="D395" s="44"/>
      <c r="E395" s="93"/>
      <c r="F395" s="93"/>
      <c r="G395" s="93"/>
      <c r="H395" s="93"/>
      <c r="I395" s="93"/>
      <c r="J395" s="93"/>
      <c r="K395" s="93"/>
      <c r="L395" s="93"/>
      <c r="M395" s="93"/>
      <c r="N395" s="93"/>
      <c r="O395" s="93"/>
      <c r="P395" s="93"/>
      <c r="Q395" s="93"/>
      <c r="R395" s="93"/>
      <c r="S395" s="93"/>
      <c r="T395" s="93"/>
      <c r="U395" s="93"/>
      <c r="V395" s="93"/>
      <c r="W395" s="93"/>
      <c r="X395" s="93"/>
      <c r="Y395" s="93"/>
    </row>
    <row r="396">
      <c r="A396" s="1"/>
      <c r="B396" s="44"/>
      <c r="D396" s="44"/>
      <c r="E396" s="93"/>
      <c r="F396" s="93"/>
      <c r="G396" s="93"/>
      <c r="H396" s="93"/>
      <c r="I396" s="93"/>
      <c r="J396" s="93"/>
      <c r="K396" s="93"/>
      <c r="L396" s="93"/>
      <c r="M396" s="93"/>
      <c r="N396" s="93"/>
      <c r="O396" s="93"/>
      <c r="P396" s="93"/>
      <c r="Q396" s="93"/>
      <c r="R396" s="93"/>
      <c r="S396" s="93"/>
      <c r="T396" s="93"/>
      <c r="U396" s="93"/>
      <c r="V396" s="93"/>
      <c r="W396" s="93"/>
      <c r="X396" s="93"/>
      <c r="Y396" s="93"/>
    </row>
    <row r="397">
      <c r="A397" s="1"/>
      <c r="B397" s="44"/>
      <c r="D397" s="44"/>
      <c r="E397" s="93"/>
      <c r="F397" s="93"/>
      <c r="G397" s="93"/>
      <c r="H397" s="93"/>
      <c r="I397" s="93"/>
      <c r="J397" s="93"/>
      <c r="K397" s="93"/>
      <c r="L397" s="93"/>
      <c r="M397" s="93"/>
      <c r="N397" s="93"/>
      <c r="O397" s="93"/>
      <c r="P397" s="93"/>
      <c r="Q397" s="93"/>
      <c r="R397" s="93"/>
      <c r="S397" s="93"/>
      <c r="T397" s="93"/>
      <c r="U397" s="93"/>
      <c r="V397" s="93"/>
      <c r="W397" s="93"/>
      <c r="X397" s="93"/>
      <c r="Y397" s="93"/>
    </row>
    <row r="398">
      <c r="A398" s="1"/>
      <c r="B398" s="44"/>
      <c r="D398" s="44"/>
      <c r="E398" s="93"/>
      <c r="F398" s="93"/>
      <c r="G398" s="93"/>
      <c r="H398" s="93"/>
      <c r="I398" s="93"/>
      <c r="J398" s="93"/>
      <c r="K398" s="93"/>
      <c r="L398" s="93"/>
      <c r="M398" s="93"/>
      <c r="N398" s="93"/>
      <c r="O398" s="93"/>
      <c r="P398" s="93"/>
      <c r="Q398" s="93"/>
      <c r="R398" s="93"/>
      <c r="S398" s="93"/>
      <c r="T398" s="93"/>
      <c r="U398" s="93"/>
      <c r="V398" s="93"/>
      <c r="W398" s="93"/>
      <c r="X398" s="93"/>
      <c r="Y398" s="93"/>
    </row>
    <row r="399">
      <c r="A399" s="1"/>
      <c r="B399" s="44"/>
      <c r="D399" s="44"/>
      <c r="E399" s="93"/>
      <c r="F399" s="93"/>
      <c r="G399" s="93"/>
      <c r="H399" s="93"/>
      <c r="I399" s="93"/>
      <c r="J399" s="93"/>
      <c r="K399" s="93"/>
      <c r="L399" s="93"/>
      <c r="M399" s="93"/>
      <c r="N399" s="93"/>
      <c r="O399" s="93"/>
      <c r="P399" s="93"/>
      <c r="Q399" s="93"/>
      <c r="R399" s="93"/>
      <c r="S399" s="93"/>
      <c r="T399" s="93"/>
      <c r="U399" s="93"/>
      <c r="V399" s="93"/>
      <c r="W399" s="93"/>
      <c r="X399" s="93"/>
      <c r="Y399" s="93"/>
    </row>
    <row r="400">
      <c r="A400" s="1"/>
      <c r="B400" s="44"/>
      <c r="D400" s="44"/>
      <c r="E400" s="93"/>
      <c r="F400" s="93"/>
      <c r="G400" s="93"/>
      <c r="H400" s="93"/>
      <c r="I400" s="93"/>
      <c r="J400" s="93"/>
      <c r="K400" s="93"/>
      <c r="L400" s="93"/>
      <c r="M400" s="93"/>
      <c r="N400" s="93"/>
      <c r="O400" s="93"/>
      <c r="P400" s="93"/>
      <c r="Q400" s="93"/>
      <c r="R400" s="93"/>
      <c r="S400" s="93"/>
      <c r="T400" s="93"/>
      <c r="U400" s="93"/>
      <c r="V400" s="93"/>
      <c r="W400" s="93"/>
      <c r="X400" s="93"/>
      <c r="Y400" s="93"/>
    </row>
    <row r="401">
      <c r="A401" s="1"/>
      <c r="B401" s="44"/>
      <c r="D401" s="44"/>
      <c r="E401" s="93"/>
      <c r="F401" s="93"/>
      <c r="G401" s="93"/>
      <c r="H401" s="93"/>
      <c r="I401" s="93"/>
      <c r="J401" s="93"/>
      <c r="K401" s="93"/>
      <c r="L401" s="93"/>
      <c r="M401" s="93"/>
      <c r="N401" s="93"/>
      <c r="O401" s="93"/>
      <c r="P401" s="93"/>
      <c r="Q401" s="93"/>
      <c r="R401" s="93"/>
      <c r="S401" s="93"/>
      <c r="T401" s="93"/>
      <c r="U401" s="93"/>
      <c r="V401" s="93"/>
      <c r="W401" s="93"/>
      <c r="X401" s="93"/>
      <c r="Y401" s="93"/>
    </row>
    <row r="402">
      <c r="A402" s="1"/>
      <c r="B402" s="44"/>
      <c r="D402" s="44"/>
      <c r="E402" s="93"/>
      <c r="F402" s="93"/>
      <c r="G402" s="93"/>
      <c r="H402" s="93"/>
      <c r="I402" s="93"/>
      <c r="J402" s="93"/>
      <c r="K402" s="93"/>
      <c r="L402" s="93"/>
      <c r="M402" s="93"/>
      <c r="N402" s="93"/>
      <c r="O402" s="93"/>
      <c r="P402" s="93"/>
      <c r="Q402" s="93"/>
      <c r="R402" s="93"/>
      <c r="S402" s="93"/>
      <c r="T402" s="93"/>
      <c r="U402" s="93"/>
      <c r="V402" s="93"/>
      <c r="W402" s="93"/>
      <c r="X402" s="93"/>
      <c r="Y402" s="93"/>
    </row>
    <row r="403">
      <c r="A403" s="1"/>
      <c r="B403" s="44"/>
      <c r="D403" s="44"/>
      <c r="E403" s="93"/>
      <c r="F403" s="93"/>
      <c r="G403" s="93"/>
      <c r="H403" s="93"/>
      <c r="I403" s="93"/>
      <c r="J403" s="93"/>
      <c r="K403" s="93"/>
      <c r="L403" s="93"/>
      <c r="M403" s="93"/>
      <c r="N403" s="93"/>
      <c r="O403" s="93"/>
      <c r="P403" s="93"/>
      <c r="Q403" s="93"/>
      <c r="R403" s="93"/>
      <c r="S403" s="93"/>
      <c r="T403" s="93"/>
      <c r="U403" s="93"/>
      <c r="V403" s="93"/>
      <c r="W403" s="93"/>
      <c r="X403" s="93"/>
      <c r="Y403" s="93"/>
    </row>
    <row r="404">
      <c r="A404" s="1"/>
      <c r="B404" s="44"/>
      <c r="D404" s="44"/>
      <c r="E404" s="93"/>
      <c r="F404" s="93"/>
      <c r="G404" s="93"/>
      <c r="H404" s="93"/>
      <c r="I404" s="93"/>
      <c r="J404" s="93"/>
      <c r="K404" s="93"/>
      <c r="L404" s="93"/>
      <c r="M404" s="93"/>
      <c r="N404" s="93"/>
      <c r="O404" s="93"/>
      <c r="P404" s="93"/>
      <c r="Q404" s="93"/>
      <c r="R404" s="93"/>
      <c r="S404" s="93"/>
      <c r="T404" s="93"/>
      <c r="U404" s="93"/>
      <c r="V404" s="93"/>
      <c r="W404" s="93"/>
      <c r="X404" s="93"/>
      <c r="Y404" s="93"/>
    </row>
    <row r="405">
      <c r="A405" s="1"/>
      <c r="B405" s="44"/>
      <c r="D405" s="44"/>
      <c r="E405" s="93"/>
      <c r="F405" s="93"/>
      <c r="G405" s="93"/>
      <c r="H405" s="93"/>
      <c r="I405" s="93"/>
      <c r="J405" s="93"/>
      <c r="K405" s="93"/>
      <c r="L405" s="93"/>
      <c r="M405" s="93"/>
      <c r="N405" s="93"/>
      <c r="O405" s="93"/>
      <c r="P405" s="93"/>
      <c r="Q405" s="93"/>
      <c r="R405" s="93"/>
      <c r="S405" s="93"/>
      <c r="T405" s="93"/>
      <c r="U405" s="93"/>
      <c r="V405" s="93"/>
      <c r="W405" s="93"/>
      <c r="X405" s="93"/>
      <c r="Y405" s="93"/>
    </row>
    <row r="406">
      <c r="A406" s="1"/>
      <c r="B406" s="44"/>
      <c r="D406" s="44"/>
      <c r="E406" s="93"/>
      <c r="F406" s="93"/>
      <c r="G406" s="93"/>
      <c r="H406" s="93"/>
      <c r="I406" s="93"/>
      <c r="J406" s="93"/>
      <c r="K406" s="93"/>
      <c r="L406" s="93"/>
      <c r="M406" s="93"/>
      <c r="N406" s="93"/>
      <c r="O406" s="93"/>
      <c r="P406" s="93"/>
      <c r="Q406" s="93"/>
      <c r="R406" s="93"/>
      <c r="S406" s="93"/>
      <c r="T406" s="93"/>
      <c r="U406" s="93"/>
      <c r="V406" s="93"/>
      <c r="W406" s="93"/>
      <c r="X406" s="93"/>
      <c r="Y406" s="93"/>
    </row>
    <row r="407">
      <c r="A407" s="1"/>
      <c r="B407" s="44"/>
      <c r="D407" s="44"/>
      <c r="E407" s="93"/>
      <c r="F407" s="93"/>
      <c r="G407" s="93"/>
      <c r="H407" s="93"/>
      <c r="I407" s="93"/>
      <c r="J407" s="93"/>
      <c r="K407" s="93"/>
      <c r="L407" s="93"/>
      <c r="M407" s="93"/>
      <c r="N407" s="93"/>
      <c r="O407" s="93"/>
      <c r="P407" s="93"/>
      <c r="Q407" s="93"/>
      <c r="R407" s="93"/>
      <c r="S407" s="93"/>
      <c r="T407" s="93"/>
      <c r="U407" s="93"/>
      <c r="V407" s="93"/>
      <c r="W407" s="93"/>
      <c r="X407" s="93"/>
      <c r="Y407" s="93"/>
    </row>
    <row r="408">
      <c r="A408" s="1"/>
      <c r="B408" s="44"/>
      <c r="D408" s="44"/>
      <c r="E408" s="93"/>
      <c r="F408" s="93"/>
      <c r="G408" s="93"/>
      <c r="H408" s="93"/>
      <c r="I408" s="93"/>
      <c r="J408" s="93"/>
      <c r="K408" s="93"/>
      <c r="L408" s="93"/>
      <c r="M408" s="93"/>
      <c r="N408" s="93"/>
      <c r="O408" s="93"/>
      <c r="P408" s="93"/>
      <c r="Q408" s="93"/>
      <c r="R408" s="93"/>
      <c r="S408" s="93"/>
      <c r="T408" s="93"/>
      <c r="U408" s="93"/>
      <c r="V408" s="93"/>
      <c r="W408" s="93"/>
      <c r="X408" s="93"/>
      <c r="Y408" s="93"/>
    </row>
    <row r="409">
      <c r="A409" s="1"/>
      <c r="B409" s="44"/>
      <c r="D409" s="44"/>
      <c r="E409" s="93"/>
      <c r="F409" s="93"/>
      <c r="G409" s="93"/>
      <c r="H409" s="93"/>
      <c r="I409" s="93"/>
      <c r="J409" s="93"/>
      <c r="K409" s="93"/>
      <c r="L409" s="93"/>
      <c r="M409" s="93"/>
      <c r="N409" s="93"/>
      <c r="O409" s="93"/>
      <c r="P409" s="93"/>
      <c r="Q409" s="93"/>
      <c r="R409" s="93"/>
      <c r="S409" s="93"/>
      <c r="T409" s="93"/>
      <c r="U409" s="93"/>
      <c r="V409" s="93"/>
      <c r="W409" s="93"/>
      <c r="X409" s="93"/>
      <c r="Y409" s="93"/>
    </row>
    <row r="410">
      <c r="A410" s="1"/>
      <c r="B410" s="44"/>
      <c r="D410" s="44"/>
      <c r="E410" s="93"/>
      <c r="F410" s="93"/>
      <c r="G410" s="93"/>
      <c r="H410" s="93"/>
      <c r="I410" s="93"/>
      <c r="J410" s="93"/>
      <c r="K410" s="93"/>
      <c r="L410" s="93"/>
      <c r="M410" s="93"/>
      <c r="N410" s="93"/>
      <c r="O410" s="93"/>
      <c r="P410" s="93"/>
      <c r="Q410" s="93"/>
      <c r="R410" s="93"/>
      <c r="S410" s="93"/>
      <c r="T410" s="93"/>
      <c r="U410" s="93"/>
      <c r="V410" s="93"/>
      <c r="W410" s="93"/>
      <c r="X410" s="93"/>
      <c r="Y410" s="93"/>
    </row>
    <row r="411">
      <c r="A411" s="1"/>
      <c r="B411" s="44"/>
      <c r="D411" s="44"/>
      <c r="E411" s="93"/>
      <c r="F411" s="93"/>
      <c r="G411" s="93"/>
      <c r="H411" s="93"/>
      <c r="I411" s="93"/>
      <c r="J411" s="93"/>
      <c r="K411" s="93"/>
      <c r="L411" s="93"/>
      <c r="M411" s="93"/>
      <c r="N411" s="93"/>
      <c r="O411" s="93"/>
      <c r="P411" s="93"/>
      <c r="Q411" s="93"/>
      <c r="R411" s="93"/>
      <c r="S411" s="93"/>
      <c r="T411" s="93"/>
      <c r="U411" s="93"/>
      <c r="V411" s="93"/>
      <c r="W411" s="93"/>
      <c r="X411" s="93"/>
      <c r="Y411" s="93"/>
    </row>
    <row r="412">
      <c r="A412" s="1"/>
      <c r="B412" s="44"/>
      <c r="D412" s="44"/>
      <c r="E412" s="93"/>
      <c r="F412" s="93"/>
      <c r="G412" s="93"/>
      <c r="H412" s="93"/>
      <c r="I412" s="93"/>
      <c r="J412" s="93"/>
      <c r="K412" s="93"/>
      <c r="L412" s="93"/>
      <c r="M412" s="93"/>
      <c r="N412" s="93"/>
      <c r="O412" s="93"/>
      <c r="P412" s="93"/>
      <c r="Q412" s="93"/>
      <c r="R412" s="93"/>
      <c r="S412" s="93"/>
      <c r="T412" s="93"/>
      <c r="U412" s="93"/>
      <c r="V412" s="93"/>
      <c r="W412" s="93"/>
      <c r="X412" s="93"/>
      <c r="Y412" s="93"/>
    </row>
    <row r="413">
      <c r="A413" s="1"/>
      <c r="B413" s="44"/>
      <c r="D413" s="44"/>
      <c r="E413" s="93"/>
      <c r="F413" s="93"/>
      <c r="G413" s="93"/>
      <c r="H413" s="93"/>
      <c r="I413" s="93"/>
      <c r="J413" s="93"/>
      <c r="K413" s="93"/>
      <c r="L413" s="93"/>
      <c r="M413" s="93"/>
      <c r="N413" s="93"/>
      <c r="O413" s="93"/>
      <c r="P413" s="93"/>
      <c r="Q413" s="93"/>
      <c r="R413" s="93"/>
      <c r="S413" s="93"/>
      <c r="T413" s="93"/>
      <c r="U413" s="93"/>
      <c r="V413" s="93"/>
      <c r="W413" s="93"/>
      <c r="X413" s="93"/>
      <c r="Y413" s="93"/>
    </row>
    <row r="414">
      <c r="A414" s="1"/>
      <c r="B414" s="44"/>
      <c r="D414" s="44"/>
      <c r="E414" s="93"/>
      <c r="F414" s="93"/>
      <c r="G414" s="93"/>
      <c r="H414" s="93"/>
      <c r="I414" s="93"/>
      <c r="J414" s="93"/>
      <c r="K414" s="93"/>
      <c r="L414" s="93"/>
      <c r="M414" s="93"/>
      <c r="N414" s="93"/>
      <c r="O414" s="93"/>
      <c r="P414" s="93"/>
      <c r="Q414" s="93"/>
      <c r="R414" s="93"/>
      <c r="S414" s="93"/>
      <c r="T414" s="93"/>
      <c r="U414" s="93"/>
      <c r="V414" s="93"/>
      <c r="W414" s="93"/>
      <c r="X414" s="93"/>
      <c r="Y414" s="93"/>
    </row>
    <row r="415">
      <c r="A415" s="1"/>
      <c r="B415" s="44"/>
      <c r="D415" s="44"/>
      <c r="E415" s="93"/>
      <c r="F415" s="93"/>
      <c r="G415" s="93"/>
      <c r="H415" s="93"/>
      <c r="I415" s="93"/>
      <c r="J415" s="93"/>
      <c r="K415" s="93"/>
      <c r="L415" s="93"/>
      <c r="M415" s="93"/>
      <c r="N415" s="93"/>
      <c r="O415" s="93"/>
      <c r="P415" s="93"/>
      <c r="Q415" s="93"/>
      <c r="R415" s="93"/>
      <c r="S415" s="93"/>
      <c r="T415" s="93"/>
      <c r="U415" s="93"/>
      <c r="V415" s="93"/>
      <c r="W415" s="93"/>
      <c r="X415" s="93"/>
      <c r="Y415" s="93"/>
    </row>
    <row r="416">
      <c r="A416" s="1"/>
      <c r="B416" s="44"/>
      <c r="D416" s="44"/>
      <c r="E416" s="93"/>
      <c r="F416" s="93"/>
      <c r="G416" s="93"/>
      <c r="H416" s="93"/>
      <c r="I416" s="93"/>
      <c r="J416" s="93"/>
      <c r="K416" s="93"/>
      <c r="L416" s="93"/>
      <c r="M416" s="93"/>
      <c r="N416" s="93"/>
      <c r="O416" s="93"/>
      <c r="P416" s="93"/>
      <c r="Q416" s="93"/>
      <c r="R416" s="93"/>
      <c r="S416" s="93"/>
      <c r="T416" s="93"/>
      <c r="U416" s="93"/>
      <c r="V416" s="93"/>
      <c r="W416" s="93"/>
      <c r="X416" s="93"/>
      <c r="Y416" s="93"/>
    </row>
    <row r="417">
      <c r="A417" s="1"/>
      <c r="B417" s="44"/>
      <c r="D417" s="44"/>
      <c r="E417" s="93"/>
      <c r="F417" s="93"/>
      <c r="G417" s="93"/>
      <c r="H417" s="93"/>
      <c r="I417" s="93"/>
      <c r="J417" s="93"/>
      <c r="K417" s="93"/>
      <c r="L417" s="93"/>
      <c r="M417" s="93"/>
      <c r="N417" s="93"/>
      <c r="O417" s="93"/>
      <c r="P417" s="93"/>
      <c r="Q417" s="93"/>
      <c r="R417" s="93"/>
      <c r="S417" s="93"/>
      <c r="T417" s="93"/>
      <c r="U417" s="93"/>
      <c r="V417" s="93"/>
      <c r="W417" s="93"/>
      <c r="X417" s="93"/>
      <c r="Y417" s="93"/>
    </row>
    <row r="418">
      <c r="A418" s="1"/>
      <c r="B418" s="44"/>
      <c r="D418" s="44"/>
      <c r="E418" s="93"/>
      <c r="F418" s="93"/>
      <c r="G418" s="93"/>
      <c r="H418" s="93"/>
      <c r="I418" s="93"/>
      <c r="J418" s="93"/>
      <c r="K418" s="93"/>
      <c r="L418" s="93"/>
      <c r="M418" s="93"/>
      <c r="N418" s="93"/>
      <c r="O418" s="93"/>
      <c r="P418" s="93"/>
      <c r="Q418" s="93"/>
      <c r="R418" s="93"/>
      <c r="S418" s="93"/>
      <c r="T418" s="93"/>
      <c r="U418" s="93"/>
      <c r="V418" s="93"/>
      <c r="W418" s="93"/>
      <c r="X418" s="93"/>
      <c r="Y418" s="93"/>
    </row>
    <row r="419">
      <c r="A419" s="1"/>
      <c r="B419" s="44"/>
      <c r="D419" s="44"/>
      <c r="E419" s="93"/>
      <c r="F419" s="93"/>
      <c r="G419" s="93"/>
      <c r="H419" s="93"/>
      <c r="I419" s="93"/>
      <c r="J419" s="93"/>
      <c r="K419" s="93"/>
      <c r="L419" s="93"/>
      <c r="M419" s="93"/>
      <c r="N419" s="93"/>
      <c r="O419" s="93"/>
      <c r="P419" s="93"/>
      <c r="Q419" s="93"/>
      <c r="R419" s="93"/>
      <c r="S419" s="93"/>
      <c r="T419" s="93"/>
      <c r="U419" s="93"/>
      <c r="V419" s="93"/>
      <c r="W419" s="93"/>
      <c r="X419" s="93"/>
      <c r="Y419" s="93"/>
    </row>
    <row r="420">
      <c r="A420" s="1"/>
      <c r="B420" s="44"/>
      <c r="D420" s="44"/>
      <c r="E420" s="93"/>
      <c r="F420" s="93"/>
      <c r="G420" s="93"/>
      <c r="H420" s="93"/>
      <c r="I420" s="93"/>
      <c r="J420" s="93"/>
      <c r="K420" s="93"/>
      <c r="L420" s="93"/>
      <c r="M420" s="93"/>
      <c r="N420" s="93"/>
      <c r="O420" s="93"/>
      <c r="P420" s="93"/>
      <c r="Q420" s="93"/>
      <c r="R420" s="93"/>
      <c r="S420" s="93"/>
      <c r="T420" s="93"/>
      <c r="U420" s="93"/>
      <c r="V420" s="93"/>
      <c r="W420" s="93"/>
      <c r="X420" s="93"/>
      <c r="Y420" s="93"/>
    </row>
    <row r="421">
      <c r="A421" s="1"/>
      <c r="B421" s="44"/>
      <c r="D421" s="44"/>
      <c r="E421" s="93"/>
      <c r="F421" s="93"/>
      <c r="G421" s="93"/>
      <c r="H421" s="93"/>
      <c r="I421" s="93"/>
      <c r="J421" s="93"/>
      <c r="K421" s="93"/>
      <c r="L421" s="93"/>
      <c r="M421" s="93"/>
      <c r="N421" s="93"/>
      <c r="O421" s="93"/>
      <c r="P421" s="93"/>
      <c r="Q421" s="93"/>
      <c r="R421" s="93"/>
      <c r="S421" s="93"/>
      <c r="T421" s="93"/>
      <c r="U421" s="93"/>
      <c r="V421" s="93"/>
      <c r="W421" s="93"/>
      <c r="X421" s="93"/>
      <c r="Y421" s="93"/>
    </row>
    <row r="422">
      <c r="A422" s="1"/>
      <c r="B422" s="44"/>
      <c r="D422" s="44"/>
      <c r="E422" s="93"/>
      <c r="F422" s="93"/>
      <c r="G422" s="93"/>
      <c r="H422" s="93"/>
      <c r="I422" s="93"/>
      <c r="J422" s="93"/>
      <c r="K422" s="93"/>
      <c r="L422" s="93"/>
      <c r="M422" s="93"/>
      <c r="N422" s="93"/>
      <c r="O422" s="93"/>
      <c r="P422" s="93"/>
      <c r="Q422" s="93"/>
      <c r="R422" s="93"/>
      <c r="S422" s="93"/>
      <c r="T422" s="93"/>
      <c r="U422" s="93"/>
      <c r="V422" s="93"/>
      <c r="W422" s="93"/>
      <c r="X422" s="93"/>
      <c r="Y422" s="93"/>
    </row>
    <row r="423">
      <c r="A423" s="1"/>
      <c r="B423" s="44"/>
      <c r="D423" s="44"/>
      <c r="E423" s="93"/>
      <c r="F423" s="93"/>
      <c r="G423" s="93"/>
      <c r="H423" s="93"/>
      <c r="I423" s="93"/>
      <c r="J423" s="93"/>
      <c r="K423" s="93"/>
      <c r="L423" s="93"/>
      <c r="M423" s="93"/>
      <c r="N423" s="93"/>
      <c r="O423" s="93"/>
      <c r="P423" s="93"/>
      <c r="Q423" s="93"/>
      <c r="R423" s="93"/>
      <c r="S423" s="93"/>
      <c r="T423" s="93"/>
      <c r="U423" s="93"/>
      <c r="V423" s="93"/>
      <c r="W423" s="93"/>
      <c r="X423" s="93"/>
      <c r="Y423" s="93"/>
    </row>
    <row r="424">
      <c r="A424" s="1"/>
      <c r="B424" s="44"/>
      <c r="D424" s="44"/>
      <c r="E424" s="93"/>
      <c r="F424" s="93"/>
      <c r="G424" s="93"/>
      <c r="H424" s="93"/>
      <c r="I424" s="93"/>
      <c r="J424" s="93"/>
      <c r="K424" s="93"/>
      <c r="L424" s="93"/>
      <c r="M424" s="93"/>
      <c r="N424" s="93"/>
      <c r="O424" s="93"/>
      <c r="P424" s="93"/>
      <c r="Q424" s="93"/>
      <c r="R424" s="93"/>
      <c r="S424" s="93"/>
      <c r="T424" s="93"/>
      <c r="U424" s="93"/>
      <c r="V424" s="93"/>
      <c r="W424" s="93"/>
      <c r="X424" s="93"/>
      <c r="Y424" s="93"/>
    </row>
    <row r="425">
      <c r="A425" s="1"/>
      <c r="B425" s="44"/>
      <c r="D425" s="44"/>
      <c r="E425" s="93"/>
      <c r="F425" s="93"/>
      <c r="G425" s="93"/>
      <c r="H425" s="93"/>
      <c r="I425" s="93"/>
      <c r="J425" s="93"/>
      <c r="K425" s="93"/>
      <c r="L425" s="93"/>
      <c r="M425" s="93"/>
      <c r="N425" s="93"/>
      <c r="O425" s="93"/>
      <c r="P425" s="93"/>
      <c r="Q425" s="93"/>
      <c r="R425" s="93"/>
      <c r="S425" s="93"/>
      <c r="T425" s="93"/>
      <c r="U425" s="93"/>
      <c r="V425" s="93"/>
      <c r="W425" s="93"/>
      <c r="X425" s="93"/>
      <c r="Y425" s="93"/>
    </row>
    <row r="426">
      <c r="A426" s="1"/>
      <c r="B426" s="44"/>
      <c r="D426" s="44"/>
      <c r="E426" s="93"/>
      <c r="F426" s="93"/>
      <c r="G426" s="93"/>
      <c r="H426" s="93"/>
      <c r="I426" s="93"/>
      <c r="J426" s="93"/>
      <c r="K426" s="93"/>
      <c r="L426" s="93"/>
      <c r="M426" s="93"/>
      <c r="N426" s="93"/>
      <c r="O426" s="93"/>
      <c r="P426" s="93"/>
      <c r="Q426" s="93"/>
      <c r="R426" s="93"/>
      <c r="S426" s="93"/>
      <c r="T426" s="93"/>
      <c r="U426" s="93"/>
      <c r="V426" s="93"/>
      <c r="W426" s="93"/>
      <c r="X426" s="93"/>
      <c r="Y426" s="93"/>
    </row>
    <row r="427">
      <c r="A427" s="1"/>
      <c r="B427" s="44"/>
      <c r="D427" s="44"/>
      <c r="E427" s="93"/>
      <c r="F427" s="93"/>
      <c r="G427" s="93"/>
      <c r="H427" s="93"/>
      <c r="I427" s="93"/>
      <c r="J427" s="93"/>
      <c r="K427" s="93"/>
      <c r="L427" s="93"/>
      <c r="M427" s="93"/>
      <c r="N427" s="93"/>
      <c r="O427" s="93"/>
      <c r="P427" s="93"/>
      <c r="Q427" s="93"/>
      <c r="R427" s="93"/>
      <c r="S427" s="93"/>
      <c r="T427" s="93"/>
      <c r="U427" s="93"/>
      <c r="V427" s="93"/>
      <c r="W427" s="93"/>
      <c r="X427" s="93"/>
      <c r="Y427" s="93"/>
    </row>
    <row r="428">
      <c r="A428" s="1"/>
      <c r="B428" s="44"/>
      <c r="D428" s="44"/>
      <c r="E428" s="93"/>
      <c r="F428" s="93"/>
      <c r="G428" s="93"/>
      <c r="H428" s="93"/>
      <c r="I428" s="93"/>
      <c r="J428" s="93"/>
      <c r="K428" s="93"/>
      <c r="L428" s="93"/>
      <c r="M428" s="93"/>
      <c r="N428" s="93"/>
      <c r="O428" s="93"/>
      <c r="P428" s="93"/>
      <c r="Q428" s="93"/>
      <c r="R428" s="93"/>
      <c r="S428" s="93"/>
      <c r="T428" s="93"/>
      <c r="U428" s="93"/>
      <c r="V428" s="93"/>
      <c r="W428" s="93"/>
      <c r="X428" s="93"/>
      <c r="Y428" s="93"/>
    </row>
    <row r="429">
      <c r="A429" s="1"/>
      <c r="B429" s="44"/>
      <c r="D429" s="44"/>
      <c r="E429" s="93"/>
      <c r="F429" s="93"/>
      <c r="G429" s="93"/>
      <c r="H429" s="93"/>
      <c r="I429" s="93"/>
      <c r="J429" s="93"/>
      <c r="K429" s="93"/>
      <c r="L429" s="93"/>
      <c r="M429" s="93"/>
      <c r="N429" s="93"/>
      <c r="O429" s="93"/>
      <c r="P429" s="93"/>
      <c r="Q429" s="93"/>
      <c r="R429" s="93"/>
      <c r="S429" s="93"/>
      <c r="T429" s="93"/>
      <c r="U429" s="93"/>
      <c r="V429" s="93"/>
      <c r="W429" s="93"/>
      <c r="X429" s="93"/>
      <c r="Y429" s="93"/>
    </row>
    <row r="430">
      <c r="A430" s="1"/>
      <c r="B430" s="44"/>
      <c r="D430" s="44"/>
      <c r="E430" s="93"/>
      <c r="F430" s="93"/>
      <c r="G430" s="93"/>
      <c r="H430" s="93"/>
      <c r="I430" s="93"/>
      <c r="J430" s="93"/>
      <c r="K430" s="93"/>
      <c r="L430" s="93"/>
      <c r="M430" s="93"/>
      <c r="N430" s="93"/>
      <c r="O430" s="93"/>
      <c r="P430" s="93"/>
      <c r="Q430" s="93"/>
      <c r="R430" s="93"/>
      <c r="S430" s="93"/>
      <c r="T430" s="93"/>
      <c r="U430" s="93"/>
      <c r="V430" s="93"/>
      <c r="W430" s="93"/>
      <c r="X430" s="93"/>
      <c r="Y430" s="93"/>
    </row>
    <row r="431">
      <c r="A431" s="1"/>
      <c r="B431" s="44"/>
      <c r="D431" s="44"/>
      <c r="E431" s="93"/>
      <c r="F431" s="93"/>
      <c r="G431" s="93"/>
      <c r="H431" s="93"/>
      <c r="I431" s="93"/>
      <c r="J431" s="93"/>
      <c r="K431" s="93"/>
      <c r="L431" s="93"/>
      <c r="M431" s="93"/>
      <c r="N431" s="93"/>
      <c r="O431" s="93"/>
      <c r="P431" s="93"/>
      <c r="Q431" s="93"/>
      <c r="R431" s="93"/>
      <c r="S431" s="93"/>
      <c r="T431" s="93"/>
      <c r="U431" s="93"/>
      <c r="V431" s="93"/>
      <c r="W431" s="93"/>
      <c r="X431" s="93"/>
      <c r="Y431" s="93"/>
    </row>
    <row r="432">
      <c r="A432" s="1"/>
      <c r="B432" s="44"/>
      <c r="D432" s="44"/>
      <c r="E432" s="93"/>
      <c r="F432" s="93"/>
      <c r="G432" s="93"/>
      <c r="H432" s="93"/>
      <c r="I432" s="93"/>
      <c r="J432" s="93"/>
      <c r="K432" s="93"/>
      <c r="L432" s="93"/>
      <c r="M432" s="93"/>
      <c r="N432" s="93"/>
      <c r="O432" s="93"/>
      <c r="P432" s="93"/>
      <c r="Q432" s="93"/>
      <c r="R432" s="93"/>
      <c r="S432" s="93"/>
      <c r="T432" s="93"/>
      <c r="U432" s="93"/>
      <c r="V432" s="93"/>
      <c r="W432" s="93"/>
      <c r="X432" s="93"/>
      <c r="Y432" s="93"/>
    </row>
    <row r="433">
      <c r="A433" s="1"/>
      <c r="B433" s="44"/>
      <c r="D433" s="44"/>
      <c r="E433" s="93"/>
      <c r="F433" s="93"/>
      <c r="G433" s="93"/>
      <c r="H433" s="93"/>
      <c r="I433" s="93"/>
      <c r="J433" s="93"/>
      <c r="K433" s="93"/>
      <c r="L433" s="93"/>
      <c r="M433" s="93"/>
      <c r="N433" s="93"/>
      <c r="O433" s="93"/>
      <c r="P433" s="93"/>
      <c r="Q433" s="93"/>
      <c r="R433" s="93"/>
      <c r="S433" s="93"/>
      <c r="T433" s="93"/>
      <c r="U433" s="93"/>
      <c r="V433" s="93"/>
      <c r="W433" s="93"/>
      <c r="X433" s="93"/>
      <c r="Y433" s="93"/>
    </row>
    <row r="434">
      <c r="A434" s="1"/>
      <c r="B434" s="44"/>
      <c r="D434" s="44"/>
      <c r="E434" s="93"/>
      <c r="F434" s="93"/>
      <c r="G434" s="93"/>
      <c r="H434" s="93"/>
      <c r="I434" s="93"/>
      <c r="J434" s="93"/>
      <c r="K434" s="93"/>
      <c r="L434" s="93"/>
      <c r="M434" s="93"/>
      <c r="N434" s="93"/>
      <c r="O434" s="93"/>
      <c r="P434" s="93"/>
      <c r="Q434" s="93"/>
      <c r="R434" s="93"/>
      <c r="S434" s="93"/>
      <c r="T434" s="93"/>
      <c r="U434" s="93"/>
      <c r="V434" s="93"/>
      <c r="W434" s="93"/>
      <c r="X434" s="93"/>
      <c r="Y434" s="93"/>
    </row>
    <row r="435">
      <c r="A435" s="1"/>
      <c r="B435" s="44"/>
      <c r="D435" s="44"/>
      <c r="E435" s="93"/>
      <c r="F435" s="93"/>
      <c r="G435" s="93"/>
      <c r="H435" s="93"/>
      <c r="I435" s="93"/>
      <c r="J435" s="93"/>
      <c r="K435" s="93"/>
      <c r="L435" s="93"/>
      <c r="M435" s="93"/>
      <c r="N435" s="93"/>
      <c r="O435" s="93"/>
      <c r="P435" s="93"/>
      <c r="Q435" s="93"/>
      <c r="R435" s="93"/>
      <c r="S435" s="93"/>
      <c r="T435" s="93"/>
      <c r="U435" s="93"/>
      <c r="V435" s="93"/>
      <c r="W435" s="93"/>
      <c r="X435" s="93"/>
      <c r="Y435" s="93"/>
    </row>
    <row r="436">
      <c r="A436" s="1"/>
      <c r="B436" s="44"/>
      <c r="D436" s="44"/>
      <c r="E436" s="93"/>
      <c r="F436" s="93"/>
      <c r="G436" s="93"/>
      <c r="H436" s="93"/>
      <c r="I436" s="93"/>
      <c r="J436" s="93"/>
      <c r="K436" s="93"/>
      <c r="L436" s="93"/>
      <c r="M436" s="93"/>
      <c r="N436" s="93"/>
      <c r="O436" s="93"/>
      <c r="P436" s="93"/>
      <c r="Q436" s="93"/>
      <c r="R436" s="93"/>
      <c r="S436" s="93"/>
      <c r="T436" s="93"/>
      <c r="U436" s="93"/>
      <c r="V436" s="93"/>
      <c r="W436" s="93"/>
      <c r="X436" s="93"/>
      <c r="Y436" s="93"/>
    </row>
    <row r="437">
      <c r="A437" s="1"/>
      <c r="B437" s="44"/>
      <c r="D437" s="44"/>
      <c r="E437" s="93"/>
      <c r="F437" s="93"/>
      <c r="G437" s="93"/>
      <c r="H437" s="93"/>
      <c r="I437" s="93"/>
      <c r="J437" s="93"/>
      <c r="K437" s="93"/>
      <c r="L437" s="93"/>
      <c r="M437" s="93"/>
      <c r="N437" s="93"/>
      <c r="O437" s="93"/>
      <c r="P437" s="93"/>
      <c r="Q437" s="93"/>
      <c r="R437" s="93"/>
      <c r="S437" s="93"/>
      <c r="T437" s="93"/>
      <c r="U437" s="93"/>
      <c r="V437" s="93"/>
      <c r="W437" s="93"/>
      <c r="X437" s="93"/>
      <c r="Y437" s="93"/>
    </row>
    <row r="438">
      <c r="A438" s="1"/>
      <c r="B438" s="44"/>
      <c r="D438" s="44"/>
      <c r="E438" s="93"/>
      <c r="F438" s="93"/>
      <c r="G438" s="93"/>
      <c r="H438" s="93"/>
      <c r="I438" s="93"/>
      <c r="J438" s="93"/>
      <c r="K438" s="93"/>
      <c r="L438" s="93"/>
      <c r="M438" s="93"/>
      <c r="N438" s="93"/>
      <c r="O438" s="93"/>
      <c r="P438" s="93"/>
      <c r="Q438" s="93"/>
      <c r="R438" s="93"/>
      <c r="S438" s="93"/>
      <c r="T438" s="93"/>
      <c r="U438" s="93"/>
      <c r="V438" s="93"/>
      <c r="W438" s="93"/>
      <c r="X438" s="93"/>
      <c r="Y438" s="93"/>
    </row>
    <row r="439">
      <c r="A439" s="1"/>
      <c r="B439" s="44"/>
      <c r="D439" s="44"/>
      <c r="E439" s="93"/>
      <c r="F439" s="93"/>
      <c r="G439" s="93"/>
      <c r="H439" s="93"/>
      <c r="I439" s="93"/>
      <c r="J439" s="93"/>
      <c r="K439" s="93"/>
      <c r="L439" s="93"/>
      <c r="M439" s="93"/>
      <c r="N439" s="93"/>
      <c r="O439" s="93"/>
      <c r="P439" s="93"/>
      <c r="Q439" s="93"/>
      <c r="R439" s="93"/>
      <c r="S439" s="93"/>
      <c r="T439" s="93"/>
      <c r="U439" s="93"/>
      <c r="V439" s="93"/>
      <c r="W439" s="93"/>
      <c r="X439" s="93"/>
      <c r="Y439" s="93"/>
    </row>
    <row r="440">
      <c r="A440" s="1"/>
      <c r="B440" s="44"/>
      <c r="D440" s="44"/>
      <c r="E440" s="93"/>
      <c r="F440" s="93"/>
      <c r="G440" s="93"/>
      <c r="H440" s="93"/>
      <c r="I440" s="93"/>
      <c r="J440" s="93"/>
      <c r="K440" s="93"/>
      <c r="L440" s="93"/>
      <c r="M440" s="93"/>
      <c r="N440" s="93"/>
      <c r="O440" s="93"/>
      <c r="P440" s="93"/>
      <c r="Q440" s="93"/>
      <c r="R440" s="93"/>
      <c r="S440" s="93"/>
      <c r="T440" s="93"/>
      <c r="U440" s="93"/>
      <c r="V440" s="93"/>
      <c r="W440" s="93"/>
      <c r="X440" s="93"/>
      <c r="Y440" s="93"/>
    </row>
    <row r="441">
      <c r="A441" s="1"/>
      <c r="B441" s="44"/>
      <c r="D441" s="44"/>
      <c r="E441" s="93"/>
      <c r="F441" s="93"/>
      <c r="G441" s="93"/>
      <c r="H441" s="93"/>
      <c r="I441" s="93"/>
      <c r="J441" s="93"/>
      <c r="K441" s="93"/>
      <c r="L441" s="93"/>
      <c r="M441" s="93"/>
      <c r="N441" s="93"/>
      <c r="O441" s="93"/>
      <c r="P441" s="93"/>
      <c r="Q441" s="93"/>
      <c r="R441" s="93"/>
      <c r="S441" s="93"/>
      <c r="T441" s="93"/>
      <c r="U441" s="93"/>
      <c r="V441" s="93"/>
      <c r="W441" s="93"/>
      <c r="X441" s="93"/>
      <c r="Y441" s="93"/>
    </row>
    <row r="442">
      <c r="A442" s="1"/>
      <c r="B442" s="44"/>
      <c r="D442" s="44"/>
      <c r="E442" s="93"/>
      <c r="F442" s="93"/>
      <c r="G442" s="93"/>
      <c r="H442" s="93"/>
      <c r="I442" s="93"/>
      <c r="J442" s="93"/>
      <c r="K442" s="93"/>
      <c r="L442" s="93"/>
      <c r="M442" s="93"/>
      <c r="N442" s="93"/>
      <c r="O442" s="93"/>
      <c r="P442" s="93"/>
      <c r="Q442" s="93"/>
      <c r="R442" s="93"/>
      <c r="S442" s="93"/>
      <c r="T442" s="93"/>
      <c r="U442" s="93"/>
      <c r="V442" s="93"/>
      <c r="W442" s="93"/>
      <c r="X442" s="93"/>
      <c r="Y442" s="93"/>
    </row>
    <row r="443">
      <c r="A443" s="1"/>
      <c r="B443" s="44"/>
      <c r="D443" s="44"/>
      <c r="E443" s="93"/>
      <c r="F443" s="93"/>
      <c r="G443" s="93"/>
      <c r="H443" s="93"/>
      <c r="I443" s="93"/>
      <c r="J443" s="93"/>
      <c r="K443" s="93"/>
      <c r="L443" s="93"/>
      <c r="M443" s="93"/>
      <c r="N443" s="93"/>
      <c r="O443" s="93"/>
      <c r="P443" s="93"/>
      <c r="Q443" s="93"/>
      <c r="R443" s="93"/>
      <c r="S443" s="93"/>
      <c r="T443" s="93"/>
      <c r="U443" s="93"/>
      <c r="V443" s="93"/>
      <c r="W443" s="93"/>
      <c r="X443" s="93"/>
      <c r="Y443" s="93"/>
    </row>
    <row r="444">
      <c r="A444" s="1"/>
      <c r="B444" s="44"/>
      <c r="D444" s="44"/>
      <c r="E444" s="93"/>
      <c r="F444" s="93"/>
      <c r="G444" s="93"/>
      <c r="H444" s="93"/>
      <c r="I444" s="93"/>
      <c r="J444" s="93"/>
      <c r="K444" s="93"/>
      <c r="L444" s="93"/>
      <c r="M444" s="93"/>
      <c r="N444" s="93"/>
      <c r="O444" s="93"/>
      <c r="P444" s="93"/>
      <c r="Q444" s="93"/>
      <c r="R444" s="93"/>
      <c r="S444" s="93"/>
      <c r="T444" s="93"/>
      <c r="U444" s="93"/>
      <c r="V444" s="93"/>
      <c r="W444" s="93"/>
      <c r="X444" s="93"/>
      <c r="Y444" s="93"/>
    </row>
    <row r="445">
      <c r="A445" s="1"/>
      <c r="B445" s="44"/>
      <c r="D445" s="44"/>
      <c r="E445" s="93"/>
      <c r="F445" s="93"/>
      <c r="G445" s="93"/>
      <c r="H445" s="93"/>
      <c r="I445" s="93"/>
      <c r="J445" s="93"/>
      <c r="K445" s="93"/>
      <c r="L445" s="93"/>
      <c r="M445" s="93"/>
      <c r="N445" s="93"/>
      <c r="O445" s="93"/>
      <c r="P445" s="93"/>
      <c r="Q445" s="93"/>
      <c r="R445" s="93"/>
      <c r="S445" s="93"/>
      <c r="T445" s="93"/>
      <c r="U445" s="93"/>
      <c r="V445" s="93"/>
      <c r="W445" s="93"/>
      <c r="X445" s="93"/>
      <c r="Y445" s="93"/>
    </row>
    <row r="446">
      <c r="A446" s="1"/>
      <c r="B446" s="44"/>
      <c r="D446" s="44"/>
      <c r="E446" s="93"/>
      <c r="F446" s="93"/>
      <c r="G446" s="93"/>
      <c r="H446" s="93"/>
      <c r="I446" s="93"/>
      <c r="J446" s="93"/>
      <c r="K446" s="93"/>
      <c r="L446" s="93"/>
      <c r="M446" s="93"/>
      <c r="N446" s="93"/>
      <c r="O446" s="93"/>
      <c r="P446" s="93"/>
      <c r="Q446" s="93"/>
      <c r="R446" s="93"/>
      <c r="S446" s="93"/>
      <c r="T446" s="93"/>
      <c r="U446" s="93"/>
      <c r="V446" s="93"/>
      <c r="W446" s="93"/>
      <c r="X446" s="93"/>
      <c r="Y446" s="93"/>
    </row>
    <row r="447">
      <c r="A447" s="1"/>
      <c r="B447" s="44"/>
      <c r="D447" s="44"/>
      <c r="E447" s="93"/>
      <c r="F447" s="93"/>
      <c r="G447" s="93"/>
      <c r="H447" s="93"/>
      <c r="I447" s="93"/>
      <c r="J447" s="93"/>
      <c r="K447" s="93"/>
      <c r="L447" s="93"/>
      <c r="M447" s="93"/>
      <c r="N447" s="93"/>
      <c r="O447" s="93"/>
      <c r="P447" s="93"/>
      <c r="Q447" s="93"/>
      <c r="R447" s="93"/>
      <c r="S447" s="93"/>
      <c r="T447" s="93"/>
      <c r="U447" s="93"/>
      <c r="V447" s="93"/>
      <c r="W447" s="93"/>
      <c r="X447" s="93"/>
      <c r="Y447" s="93"/>
    </row>
    <row r="448">
      <c r="A448" s="1"/>
      <c r="B448" s="44"/>
      <c r="D448" s="44"/>
      <c r="E448" s="93"/>
      <c r="F448" s="93"/>
      <c r="G448" s="93"/>
      <c r="H448" s="93"/>
      <c r="I448" s="93"/>
      <c r="J448" s="93"/>
      <c r="K448" s="93"/>
      <c r="L448" s="93"/>
      <c r="M448" s="93"/>
      <c r="N448" s="93"/>
      <c r="O448" s="93"/>
      <c r="P448" s="93"/>
      <c r="Q448" s="93"/>
      <c r="R448" s="93"/>
      <c r="S448" s="93"/>
      <c r="T448" s="93"/>
      <c r="U448" s="93"/>
      <c r="V448" s="93"/>
      <c r="W448" s="93"/>
      <c r="X448" s="93"/>
      <c r="Y448" s="93"/>
    </row>
    <row r="449">
      <c r="A449" s="1"/>
      <c r="B449" s="44"/>
      <c r="D449" s="44"/>
      <c r="E449" s="93"/>
      <c r="F449" s="93"/>
      <c r="G449" s="93"/>
      <c r="H449" s="93"/>
      <c r="I449" s="93"/>
      <c r="J449" s="93"/>
      <c r="K449" s="93"/>
      <c r="L449" s="93"/>
      <c r="M449" s="93"/>
      <c r="N449" s="93"/>
      <c r="O449" s="93"/>
      <c r="P449" s="93"/>
      <c r="Q449" s="93"/>
      <c r="R449" s="93"/>
      <c r="S449" s="93"/>
      <c r="T449" s="93"/>
      <c r="U449" s="93"/>
      <c r="V449" s="93"/>
      <c r="W449" s="93"/>
      <c r="X449" s="93"/>
      <c r="Y449" s="93"/>
    </row>
    <row r="450">
      <c r="A450" s="1"/>
      <c r="B450" s="44"/>
      <c r="D450" s="44"/>
      <c r="E450" s="93"/>
      <c r="F450" s="93"/>
      <c r="G450" s="93"/>
      <c r="H450" s="93"/>
      <c r="I450" s="93"/>
      <c r="J450" s="93"/>
      <c r="K450" s="93"/>
      <c r="L450" s="93"/>
      <c r="M450" s="93"/>
      <c r="N450" s="93"/>
      <c r="O450" s="93"/>
      <c r="P450" s="93"/>
      <c r="Q450" s="93"/>
      <c r="R450" s="93"/>
      <c r="S450" s="93"/>
      <c r="T450" s="93"/>
      <c r="U450" s="93"/>
      <c r="V450" s="93"/>
      <c r="W450" s="93"/>
      <c r="X450" s="93"/>
      <c r="Y450" s="93"/>
    </row>
    <row r="451">
      <c r="A451" s="1"/>
      <c r="B451" s="44"/>
      <c r="D451" s="44"/>
      <c r="E451" s="93"/>
      <c r="F451" s="93"/>
      <c r="G451" s="93"/>
      <c r="H451" s="93"/>
      <c r="I451" s="93"/>
      <c r="J451" s="93"/>
      <c r="K451" s="93"/>
      <c r="L451" s="93"/>
      <c r="M451" s="93"/>
      <c r="N451" s="93"/>
      <c r="O451" s="93"/>
      <c r="P451" s="93"/>
      <c r="Q451" s="93"/>
      <c r="R451" s="93"/>
      <c r="S451" s="93"/>
      <c r="T451" s="93"/>
      <c r="U451" s="93"/>
      <c r="V451" s="93"/>
      <c r="W451" s="93"/>
      <c r="X451" s="93"/>
      <c r="Y451" s="93"/>
    </row>
    <row r="452">
      <c r="A452" s="1"/>
      <c r="B452" s="44"/>
      <c r="D452" s="44"/>
      <c r="E452" s="93"/>
      <c r="F452" s="93"/>
      <c r="G452" s="93"/>
      <c r="H452" s="93"/>
      <c r="I452" s="93"/>
      <c r="J452" s="93"/>
      <c r="K452" s="93"/>
      <c r="L452" s="93"/>
      <c r="M452" s="93"/>
      <c r="N452" s="93"/>
      <c r="O452" s="93"/>
      <c r="P452" s="93"/>
      <c r="Q452" s="93"/>
      <c r="R452" s="93"/>
      <c r="S452" s="93"/>
      <c r="T452" s="93"/>
      <c r="U452" s="93"/>
      <c r="V452" s="93"/>
      <c r="W452" s="93"/>
      <c r="X452" s="93"/>
      <c r="Y452" s="93"/>
    </row>
    <row r="453">
      <c r="A453" s="1"/>
      <c r="B453" s="44"/>
      <c r="D453" s="44"/>
      <c r="E453" s="93"/>
      <c r="F453" s="93"/>
      <c r="G453" s="93"/>
      <c r="H453" s="93"/>
      <c r="I453" s="93"/>
      <c r="J453" s="93"/>
      <c r="K453" s="93"/>
      <c r="L453" s="93"/>
      <c r="M453" s="93"/>
      <c r="N453" s="93"/>
      <c r="O453" s="93"/>
      <c r="P453" s="93"/>
      <c r="Q453" s="93"/>
      <c r="R453" s="93"/>
      <c r="S453" s="93"/>
      <c r="T453" s="93"/>
      <c r="U453" s="93"/>
      <c r="V453" s="93"/>
      <c r="W453" s="93"/>
      <c r="X453" s="93"/>
      <c r="Y453" s="93"/>
    </row>
    <row r="454">
      <c r="A454" s="1"/>
      <c r="B454" s="44"/>
      <c r="D454" s="44"/>
      <c r="E454" s="93"/>
      <c r="F454" s="93"/>
      <c r="G454" s="93"/>
      <c r="H454" s="93"/>
      <c r="I454" s="93"/>
      <c r="J454" s="93"/>
      <c r="K454" s="93"/>
      <c r="L454" s="93"/>
      <c r="M454" s="93"/>
      <c r="N454" s="93"/>
      <c r="O454" s="93"/>
      <c r="P454" s="93"/>
      <c r="Q454" s="93"/>
      <c r="R454" s="93"/>
      <c r="S454" s="93"/>
      <c r="T454" s="93"/>
      <c r="U454" s="93"/>
      <c r="V454" s="93"/>
      <c r="W454" s="93"/>
      <c r="X454" s="93"/>
      <c r="Y454" s="93"/>
    </row>
    <row r="455">
      <c r="A455" s="1"/>
      <c r="B455" s="44"/>
      <c r="D455" s="44"/>
      <c r="E455" s="93"/>
      <c r="F455" s="93"/>
      <c r="G455" s="93"/>
      <c r="H455" s="93"/>
      <c r="I455" s="93"/>
      <c r="J455" s="93"/>
      <c r="K455" s="93"/>
      <c r="L455" s="93"/>
      <c r="M455" s="93"/>
      <c r="N455" s="93"/>
      <c r="O455" s="93"/>
      <c r="P455" s="93"/>
      <c r="Q455" s="93"/>
      <c r="R455" s="93"/>
      <c r="S455" s="93"/>
      <c r="T455" s="93"/>
      <c r="U455" s="93"/>
      <c r="V455" s="93"/>
      <c r="W455" s="93"/>
      <c r="X455" s="93"/>
      <c r="Y455" s="93"/>
    </row>
    <row r="456">
      <c r="A456" s="1"/>
      <c r="B456" s="44"/>
      <c r="D456" s="44"/>
      <c r="E456" s="93"/>
      <c r="F456" s="93"/>
      <c r="G456" s="93"/>
      <c r="H456" s="93"/>
      <c r="I456" s="93"/>
      <c r="J456" s="93"/>
      <c r="K456" s="93"/>
      <c r="L456" s="93"/>
      <c r="M456" s="93"/>
      <c r="N456" s="93"/>
      <c r="O456" s="93"/>
      <c r="P456" s="93"/>
      <c r="Q456" s="93"/>
      <c r="R456" s="93"/>
      <c r="S456" s="93"/>
      <c r="T456" s="93"/>
      <c r="U456" s="93"/>
      <c r="V456" s="93"/>
      <c r="W456" s="93"/>
      <c r="X456" s="93"/>
      <c r="Y456" s="93"/>
    </row>
    <row r="457">
      <c r="A457" s="1"/>
      <c r="B457" s="44"/>
      <c r="D457" s="44"/>
      <c r="E457" s="93"/>
      <c r="F457" s="93"/>
      <c r="G457" s="93"/>
      <c r="H457" s="93"/>
      <c r="I457" s="93"/>
      <c r="J457" s="93"/>
      <c r="K457" s="93"/>
      <c r="L457" s="93"/>
      <c r="M457" s="93"/>
      <c r="N457" s="93"/>
      <c r="O457" s="93"/>
      <c r="P457" s="93"/>
      <c r="Q457" s="93"/>
      <c r="R457" s="93"/>
      <c r="S457" s="93"/>
      <c r="T457" s="93"/>
      <c r="U457" s="93"/>
      <c r="V457" s="93"/>
      <c r="W457" s="93"/>
      <c r="X457" s="93"/>
      <c r="Y457" s="93"/>
    </row>
    <row r="458">
      <c r="A458" s="1"/>
      <c r="B458" s="44"/>
      <c r="D458" s="44"/>
      <c r="E458" s="93"/>
      <c r="F458" s="93"/>
      <c r="G458" s="93"/>
      <c r="H458" s="93"/>
      <c r="I458" s="93"/>
      <c r="J458" s="93"/>
      <c r="K458" s="93"/>
      <c r="L458" s="93"/>
      <c r="M458" s="93"/>
      <c r="N458" s="93"/>
      <c r="O458" s="93"/>
      <c r="P458" s="93"/>
      <c r="Q458" s="93"/>
      <c r="R458" s="93"/>
      <c r="S458" s="93"/>
      <c r="T458" s="93"/>
      <c r="U458" s="93"/>
      <c r="V458" s="93"/>
      <c r="W458" s="93"/>
      <c r="X458" s="93"/>
      <c r="Y458" s="93"/>
    </row>
    <row r="459">
      <c r="A459" s="1"/>
      <c r="B459" s="44"/>
      <c r="D459" s="44"/>
      <c r="E459" s="93"/>
      <c r="F459" s="93"/>
      <c r="G459" s="93"/>
      <c r="H459" s="93"/>
      <c r="I459" s="93"/>
      <c r="J459" s="93"/>
      <c r="K459" s="93"/>
      <c r="L459" s="93"/>
      <c r="M459" s="93"/>
      <c r="N459" s="93"/>
      <c r="O459" s="93"/>
      <c r="P459" s="93"/>
      <c r="Q459" s="93"/>
      <c r="R459" s="93"/>
      <c r="S459" s="93"/>
      <c r="T459" s="93"/>
      <c r="U459" s="93"/>
      <c r="V459" s="93"/>
      <c r="W459" s="93"/>
      <c r="X459" s="93"/>
      <c r="Y459" s="93"/>
    </row>
    <row r="460">
      <c r="A460" s="1"/>
      <c r="B460" s="44"/>
      <c r="D460" s="44"/>
      <c r="E460" s="93"/>
      <c r="F460" s="93"/>
      <c r="G460" s="93"/>
      <c r="H460" s="93"/>
      <c r="I460" s="93"/>
      <c r="J460" s="93"/>
      <c r="K460" s="93"/>
      <c r="L460" s="93"/>
      <c r="M460" s="93"/>
      <c r="N460" s="93"/>
      <c r="O460" s="93"/>
      <c r="P460" s="93"/>
      <c r="Q460" s="93"/>
      <c r="R460" s="93"/>
      <c r="S460" s="93"/>
      <c r="T460" s="93"/>
      <c r="U460" s="93"/>
      <c r="V460" s="93"/>
      <c r="W460" s="93"/>
      <c r="X460" s="93"/>
      <c r="Y460" s="93"/>
    </row>
    <row r="461">
      <c r="A461" s="1"/>
      <c r="B461" s="44"/>
      <c r="D461" s="44"/>
      <c r="E461" s="93"/>
      <c r="F461" s="93"/>
      <c r="G461" s="93"/>
      <c r="H461" s="93"/>
      <c r="I461" s="93"/>
      <c r="J461" s="93"/>
      <c r="K461" s="93"/>
      <c r="L461" s="93"/>
      <c r="M461" s="93"/>
      <c r="N461" s="93"/>
      <c r="O461" s="93"/>
      <c r="P461" s="93"/>
      <c r="Q461" s="93"/>
      <c r="R461" s="93"/>
      <c r="S461" s="93"/>
      <c r="T461" s="93"/>
      <c r="U461" s="93"/>
      <c r="V461" s="93"/>
      <c r="W461" s="93"/>
      <c r="X461" s="93"/>
      <c r="Y461" s="93"/>
    </row>
    <row r="462">
      <c r="A462" s="1"/>
      <c r="B462" s="44"/>
      <c r="D462" s="44"/>
      <c r="E462" s="93"/>
      <c r="F462" s="93"/>
      <c r="G462" s="93"/>
      <c r="H462" s="93"/>
      <c r="I462" s="93"/>
      <c r="J462" s="93"/>
      <c r="K462" s="93"/>
      <c r="L462" s="93"/>
      <c r="M462" s="93"/>
      <c r="N462" s="93"/>
      <c r="O462" s="93"/>
      <c r="P462" s="93"/>
      <c r="Q462" s="93"/>
      <c r="R462" s="93"/>
      <c r="S462" s="93"/>
      <c r="T462" s="93"/>
      <c r="U462" s="93"/>
      <c r="V462" s="93"/>
      <c r="W462" s="93"/>
      <c r="X462" s="93"/>
      <c r="Y462" s="93"/>
    </row>
    <row r="463">
      <c r="A463" s="1"/>
      <c r="B463" s="44"/>
      <c r="D463" s="44"/>
      <c r="E463" s="93"/>
      <c r="F463" s="93"/>
      <c r="G463" s="93"/>
      <c r="H463" s="93"/>
      <c r="I463" s="93"/>
      <c r="J463" s="93"/>
      <c r="K463" s="93"/>
      <c r="L463" s="93"/>
      <c r="M463" s="93"/>
      <c r="N463" s="93"/>
      <c r="O463" s="93"/>
      <c r="P463" s="93"/>
      <c r="Q463" s="93"/>
      <c r="R463" s="93"/>
      <c r="S463" s="93"/>
      <c r="T463" s="93"/>
      <c r="U463" s="93"/>
      <c r="V463" s="93"/>
      <c r="W463" s="93"/>
      <c r="X463" s="93"/>
      <c r="Y463" s="93"/>
    </row>
    <row r="464">
      <c r="A464" s="1"/>
      <c r="B464" s="44"/>
      <c r="D464" s="44"/>
      <c r="E464" s="93"/>
      <c r="F464" s="93"/>
      <c r="G464" s="93"/>
      <c r="H464" s="93"/>
      <c r="I464" s="93"/>
      <c r="J464" s="93"/>
      <c r="K464" s="93"/>
      <c r="L464" s="93"/>
      <c r="M464" s="93"/>
      <c r="N464" s="93"/>
      <c r="O464" s="93"/>
      <c r="P464" s="93"/>
      <c r="Q464" s="93"/>
      <c r="R464" s="93"/>
      <c r="S464" s="93"/>
      <c r="T464" s="93"/>
      <c r="U464" s="93"/>
      <c r="V464" s="93"/>
      <c r="W464" s="93"/>
      <c r="X464" s="93"/>
      <c r="Y464" s="93"/>
    </row>
    <row r="465">
      <c r="A465" s="1"/>
      <c r="B465" s="44"/>
      <c r="D465" s="44"/>
      <c r="E465" s="93"/>
      <c r="F465" s="93"/>
      <c r="G465" s="93"/>
      <c r="H465" s="93"/>
      <c r="I465" s="93"/>
      <c r="J465" s="93"/>
      <c r="K465" s="93"/>
      <c r="L465" s="93"/>
      <c r="M465" s="93"/>
      <c r="N465" s="93"/>
      <c r="O465" s="93"/>
      <c r="P465" s="93"/>
      <c r="Q465" s="93"/>
      <c r="R465" s="93"/>
      <c r="S465" s="93"/>
      <c r="T465" s="93"/>
      <c r="U465" s="93"/>
      <c r="V465" s="93"/>
      <c r="W465" s="93"/>
      <c r="X465" s="93"/>
      <c r="Y465" s="93"/>
    </row>
    <row r="466">
      <c r="A466" s="1"/>
      <c r="B466" s="44"/>
      <c r="D466" s="44"/>
      <c r="E466" s="93"/>
      <c r="F466" s="93"/>
      <c r="G466" s="93"/>
      <c r="H466" s="93"/>
      <c r="I466" s="93"/>
      <c r="J466" s="93"/>
      <c r="K466" s="93"/>
      <c r="L466" s="93"/>
      <c r="M466" s="93"/>
      <c r="N466" s="93"/>
      <c r="O466" s="93"/>
      <c r="P466" s="93"/>
      <c r="Q466" s="93"/>
      <c r="R466" s="93"/>
      <c r="S466" s="93"/>
      <c r="T466" s="93"/>
      <c r="U466" s="93"/>
      <c r="V466" s="93"/>
      <c r="W466" s="93"/>
      <c r="X466" s="93"/>
      <c r="Y466" s="93"/>
    </row>
    <row r="467">
      <c r="A467" s="1"/>
      <c r="B467" s="44"/>
      <c r="D467" s="44"/>
      <c r="E467" s="93"/>
      <c r="F467" s="93"/>
      <c r="G467" s="93"/>
      <c r="H467" s="93"/>
      <c r="I467" s="93"/>
      <c r="J467" s="93"/>
      <c r="K467" s="93"/>
      <c r="L467" s="93"/>
      <c r="M467" s="93"/>
      <c r="N467" s="93"/>
      <c r="O467" s="93"/>
      <c r="P467" s="93"/>
      <c r="Q467" s="93"/>
      <c r="R467" s="93"/>
      <c r="S467" s="93"/>
      <c r="T467" s="93"/>
      <c r="U467" s="93"/>
      <c r="V467" s="93"/>
      <c r="W467" s="93"/>
      <c r="X467" s="93"/>
      <c r="Y467" s="93"/>
    </row>
    <row r="468">
      <c r="A468" s="1"/>
      <c r="B468" s="44"/>
      <c r="D468" s="44"/>
      <c r="E468" s="93"/>
      <c r="F468" s="93"/>
      <c r="G468" s="93"/>
      <c r="H468" s="93"/>
      <c r="I468" s="93"/>
      <c r="J468" s="93"/>
      <c r="K468" s="93"/>
      <c r="L468" s="93"/>
      <c r="M468" s="93"/>
      <c r="N468" s="93"/>
      <c r="O468" s="93"/>
      <c r="P468" s="93"/>
      <c r="Q468" s="93"/>
      <c r="R468" s="93"/>
      <c r="S468" s="93"/>
      <c r="T468" s="93"/>
      <c r="U468" s="93"/>
      <c r="V468" s="93"/>
      <c r="W468" s="93"/>
      <c r="X468" s="93"/>
      <c r="Y468" s="93"/>
    </row>
    <row r="469">
      <c r="A469" s="1"/>
      <c r="B469" s="44"/>
      <c r="D469" s="44"/>
      <c r="E469" s="93"/>
      <c r="F469" s="93"/>
      <c r="G469" s="93"/>
      <c r="H469" s="93"/>
      <c r="I469" s="93"/>
      <c r="J469" s="93"/>
      <c r="K469" s="93"/>
      <c r="L469" s="93"/>
      <c r="M469" s="93"/>
      <c r="N469" s="93"/>
      <c r="O469" s="93"/>
      <c r="P469" s="93"/>
      <c r="Q469" s="93"/>
      <c r="R469" s="93"/>
      <c r="S469" s="93"/>
      <c r="T469" s="93"/>
      <c r="U469" s="93"/>
      <c r="V469" s="93"/>
      <c r="W469" s="93"/>
      <c r="X469" s="93"/>
      <c r="Y469" s="93"/>
    </row>
    <row r="470">
      <c r="A470" s="1"/>
      <c r="B470" s="44"/>
      <c r="D470" s="44"/>
      <c r="E470" s="93"/>
      <c r="F470" s="93"/>
      <c r="G470" s="93"/>
      <c r="H470" s="93"/>
      <c r="I470" s="93"/>
      <c r="J470" s="93"/>
      <c r="K470" s="93"/>
      <c r="L470" s="93"/>
      <c r="M470" s="93"/>
      <c r="N470" s="93"/>
      <c r="O470" s="93"/>
      <c r="P470" s="93"/>
      <c r="Q470" s="93"/>
      <c r="R470" s="93"/>
      <c r="S470" s="93"/>
      <c r="T470" s="93"/>
      <c r="U470" s="93"/>
      <c r="V470" s="93"/>
      <c r="W470" s="93"/>
      <c r="X470" s="93"/>
      <c r="Y470" s="93"/>
    </row>
    <row r="471">
      <c r="A471" s="1"/>
      <c r="B471" s="44"/>
      <c r="D471" s="44"/>
      <c r="E471" s="93"/>
      <c r="F471" s="93"/>
      <c r="G471" s="93"/>
      <c r="H471" s="93"/>
      <c r="I471" s="93"/>
      <c r="J471" s="93"/>
      <c r="K471" s="93"/>
      <c r="L471" s="93"/>
      <c r="M471" s="93"/>
      <c r="N471" s="93"/>
      <c r="O471" s="93"/>
      <c r="P471" s="93"/>
      <c r="Q471" s="93"/>
      <c r="R471" s="93"/>
      <c r="S471" s="93"/>
      <c r="T471" s="93"/>
      <c r="U471" s="93"/>
      <c r="V471" s="93"/>
      <c r="W471" s="93"/>
      <c r="X471" s="93"/>
      <c r="Y471" s="93"/>
    </row>
    <row r="472">
      <c r="A472" s="1"/>
      <c r="B472" s="44"/>
      <c r="D472" s="44"/>
      <c r="E472" s="93"/>
      <c r="F472" s="93"/>
      <c r="G472" s="93"/>
      <c r="H472" s="93"/>
      <c r="I472" s="93"/>
      <c r="J472" s="93"/>
      <c r="K472" s="93"/>
      <c r="L472" s="93"/>
      <c r="M472" s="93"/>
      <c r="N472" s="93"/>
      <c r="O472" s="93"/>
      <c r="P472" s="93"/>
      <c r="Q472" s="93"/>
      <c r="R472" s="93"/>
      <c r="S472" s="93"/>
      <c r="T472" s="93"/>
      <c r="U472" s="93"/>
      <c r="V472" s="93"/>
      <c r="W472" s="93"/>
      <c r="X472" s="93"/>
      <c r="Y472" s="93"/>
    </row>
    <row r="473">
      <c r="A473" s="1"/>
      <c r="B473" s="44"/>
      <c r="D473" s="44"/>
      <c r="E473" s="93"/>
      <c r="F473" s="93"/>
      <c r="G473" s="93"/>
      <c r="H473" s="93"/>
      <c r="I473" s="93"/>
      <c r="J473" s="93"/>
      <c r="K473" s="93"/>
      <c r="L473" s="93"/>
      <c r="M473" s="93"/>
      <c r="N473" s="93"/>
      <c r="O473" s="93"/>
      <c r="P473" s="93"/>
      <c r="Q473" s="93"/>
      <c r="R473" s="93"/>
      <c r="S473" s="93"/>
      <c r="T473" s="93"/>
      <c r="U473" s="93"/>
      <c r="V473" s="93"/>
      <c r="W473" s="93"/>
      <c r="X473" s="93"/>
      <c r="Y473" s="93"/>
    </row>
    <row r="474">
      <c r="A474" s="1"/>
      <c r="B474" s="44"/>
      <c r="D474" s="44"/>
      <c r="E474" s="93"/>
      <c r="F474" s="93"/>
      <c r="G474" s="93"/>
      <c r="H474" s="93"/>
      <c r="I474" s="93"/>
      <c r="J474" s="93"/>
      <c r="K474" s="93"/>
      <c r="L474" s="93"/>
      <c r="M474" s="93"/>
      <c r="N474" s="93"/>
      <c r="O474" s="93"/>
      <c r="P474" s="93"/>
      <c r="Q474" s="93"/>
      <c r="R474" s="93"/>
      <c r="S474" s="93"/>
      <c r="T474" s="93"/>
      <c r="U474" s="93"/>
      <c r="V474" s="93"/>
      <c r="W474" s="93"/>
      <c r="X474" s="93"/>
      <c r="Y474" s="93"/>
    </row>
    <row r="475">
      <c r="A475" s="1"/>
      <c r="B475" s="44"/>
      <c r="D475" s="44"/>
      <c r="E475" s="93"/>
      <c r="F475" s="93"/>
      <c r="G475" s="93"/>
      <c r="H475" s="93"/>
      <c r="I475" s="93"/>
      <c r="J475" s="93"/>
      <c r="K475" s="93"/>
      <c r="L475" s="93"/>
      <c r="M475" s="93"/>
      <c r="N475" s="93"/>
      <c r="O475" s="93"/>
      <c r="P475" s="93"/>
      <c r="Q475" s="93"/>
      <c r="R475" s="93"/>
      <c r="S475" s="93"/>
      <c r="T475" s="93"/>
      <c r="U475" s="93"/>
      <c r="V475" s="93"/>
      <c r="W475" s="93"/>
      <c r="X475" s="93"/>
      <c r="Y475" s="93"/>
    </row>
    <row r="476">
      <c r="A476" s="1"/>
      <c r="B476" s="44"/>
      <c r="D476" s="44"/>
      <c r="E476" s="93"/>
      <c r="F476" s="93"/>
      <c r="G476" s="93"/>
      <c r="H476" s="93"/>
      <c r="I476" s="93"/>
      <c r="J476" s="93"/>
      <c r="K476" s="93"/>
      <c r="L476" s="93"/>
      <c r="M476" s="93"/>
      <c r="N476" s="93"/>
      <c r="O476" s="93"/>
      <c r="P476" s="93"/>
      <c r="Q476" s="93"/>
      <c r="R476" s="93"/>
      <c r="S476" s="93"/>
      <c r="T476" s="93"/>
      <c r="U476" s="93"/>
      <c r="V476" s="93"/>
      <c r="W476" s="93"/>
      <c r="X476" s="93"/>
      <c r="Y476" s="93"/>
    </row>
    <row r="477">
      <c r="A477" s="1"/>
      <c r="B477" s="44"/>
      <c r="D477" s="44"/>
      <c r="E477" s="93"/>
      <c r="F477" s="93"/>
      <c r="G477" s="93"/>
      <c r="H477" s="93"/>
      <c r="I477" s="93"/>
      <c r="J477" s="93"/>
      <c r="K477" s="93"/>
      <c r="L477" s="93"/>
      <c r="M477" s="93"/>
      <c r="N477" s="93"/>
      <c r="O477" s="93"/>
      <c r="P477" s="93"/>
      <c r="Q477" s="93"/>
      <c r="R477" s="93"/>
      <c r="S477" s="93"/>
      <c r="T477" s="93"/>
      <c r="U477" s="93"/>
      <c r="V477" s="93"/>
      <c r="W477" s="93"/>
      <c r="X477" s="93"/>
      <c r="Y477" s="93"/>
    </row>
    <row r="478">
      <c r="A478" s="1"/>
      <c r="B478" s="44"/>
      <c r="D478" s="44"/>
      <c r="E478" s="93"/>
      <c r="F478" s="93"/>
      <c r="G478" s="93"/>
      <c r="H478" s="93"/>
      <c r="I478" s="93"/>
      <c r="J478" s="93"/>
      <c r="K478" s="93"/>
      <c r="L478" s="93"/>
      <c r="M478" s="93"/>
      <c r="N478" s="93"/>
      <c r="O478" s="93"/>
      <c r="P478" s="93"/>
      <c r="Q478" s="93"/>
      <c r="R478" s="93"/>
      <c r="S478" s="93"/>
      <c r="T478" s="93"/>
      <c r="U478" s="93"/>
      <c r="V478" s="93"/>
      <c r="W478" s="93"/>
      <c r="X478" s="93"/>
      <c r="Y478" s="93"/>
    </row>
    <row r="479">
      <c r="A479" s="1"/>
      <c r="B479" s="44"/>
      <c r="D479" s="44"/>
      <c r="E479" s="93"/>
      <c r="F479" s="93"/>
      <c r="G479" s="93"/>
      <c r="H479" s="93"/>
      <c r="I479" s="93"/>
      <c r="J479" s="93"/>
      <c r="K479" s="93"/>
      <c r="L479" s="93"/>
      <c r="M479" s="93"/>
      <c r="N479" s="93"/>
      <c r="O479" s="93"/>
      <c r="P479" s="93"/>
      <c r="Q479" s="93"/>
      <c r="R479" s="93"/>
      <c r="S479" s="93"/>
      <c r="T479" s="93"/>
      <c r="U479" s="93"/>
      <c r="V479" s="93"/>
      <c r="W479" s="93"/>
      <c r="X479" s="93"/>
      <c r="Y479" s="93"/>
    </row>
    <row r="480">
      <c r="A480" s="1"/>
      <c r="B480" s="44"/>
      <c r="D480" s="44"/>
      <c r="E480" s="93"/>
      <c r="F480" s="93"/>
      <c r="G480" s="93"/>
      <c r="H480" s="93"/>
      <c r="I480" s="93"/>
      <c r="J480" s="93"/>
      <c r="K480" s="93"/>
      <c r="L480" s="93"/>
      <c r="M480" s="93"/>
      <c r="N480" s="93"/>
      <c r="O480" s="93"/>
      <c r="P480" s="93"/>
      <c r="Q480" s="93"/>
      <c r="R480" s="93"/>
      <c r="S480" s="93"/>
      <c r="T480" s="93"/>
      <c r="U480" s="93"/>
      <c r="V480" s="93"/>
      <c r="W480" s="93"/>
      <c r="X480" s="93"/>
      <c r="Y480" s="93"/>
    </row>
    <row r="481">
      <c r="A481" s="1"/>
      <c r="B481" s="44"/>
      <c r="D481" s="44"/>
      <c r="E481" s="93"/>
      <c r="F481" s="93"/>
      <c r="G481" s="93"/>
      <c r="H481" s="93"/>
      <c r="I481" s="93"/>
      <c r="J481" s="93"/>
      <c r="K481" s="93"/>
      <c r="L481" s="93"/>
      <c r="M481" s="93"/>
      <c r="N481" s="93"/>
      <c r="O481" s="93"/>
      <c r="P481" s="93"/>
      <c r="Q481" s="93"/>
      <c r="R481" s="93"/>
      <c r="S481" s="93"/>
      <c r="T481" s="93"/>
      <c r="U481" s="93"/>
      <c r="V481" s="93"/>
      <c r="W481" s="93"/>
      <c r="X481" s="93"/>
      <c r="Y481" s="93"/>
    </row>
    <row r="482">
      <c r="A482" s="1"/>
      <c r="B482" s="44"/>
      <c r="D482" s="44"/>
      <c r="E482" s="93"/>
      <c r="F482" s="93"/>
      <c r="G482" s="93"/>
      <c r="H482" s="93"/>
      <c r="I482" s="93"/>
      <c r="J482" s="93"/>
      <c r="K482" s="93"/>
      <c r="L482" s="93"/>
      <c r="M482" s="93"/>
      <c r="N482" s="93"/>
      <c r="O482" s="93"/>
      <c r="P482" s="93"/>
      <c r="Q482" s="93"/>
      <c r="R482" s="93"/>
      <c r="S482" s="93"/>
      <c r="T482" s="93"/>
      <c r="U482" s="93"/>
      <c r="V482" s="93"/>
      <c r="W482" s="93"/>
      <c r="X482" s="93"/>
      <c r="Y482" s="93"/>
    </row>
    <row r="483">
      <c r="A483" s="1"/>
      <c r="B483" s="44"/>
      <c r="D483" s="44"/>
      <c r="E483" s="93"/>
      <c r="F483" s="93"/>
      <c r="G483" s="93"/>
      <c r="H483" s="93"/>
      <c r="I483" s="93"/>
      <c r="J483" s="93"/>
      <c r="K483" s="93"/>
      <c r="L483" s="93"/>
      <c r="M483" s="93"/>
      <c r="N483" s="93"/>
      <c r="O483" s="93"/>
      <c r="P483" s="93"/>
      <c r="Q483" s="93"/>
      <c r="R483" s="93"/>
      <c r="S483" s="93"/>
      <c r="T483" s="93"/>
      <c r="U483" s="93"/>
      <c r="V483" s="93"/>
      <c r="W483" s="93"/>
      <c r="X483" s="93"/>
      <c r="Y483" s="93"/>
    </row>
    <row r="484">
      <c r="A484" s="1"/>
      <c r="B484" s="44"/>
      <c r="D484" s="44"/>
      <c r="E484" s="93"/>
      <c r="F484" s="93"/>
      <c r="G484" s="93"/>
      <c r="H484" s="93"/>
      <c r="I484" s="93"/>
      <c r="J484" s="93"/>
      <c r="K484" s="93"/>
      <c r="L484" s="93"/>
      <c r="M484" s="93"/>
      <c r="N484" s="93"/>
      <c r="O484" s="93"/>
      <c r="P484" s="93"/>
      <c r="Q484" s="93"/>
      <c r="R484" s="93"/>
      <c r="S484" s="93"/>
      <c r="T484" s="93"/>
      <c r="U484" s="93"/>
      <c r="V484" s="93"/>
      <c r="W484" s="93"/>
      <c r="X484" s="93"/>
      <c r="Y484" s="93"/>
    </row>
    <row r="485">
      <c r="A485" s="1"/>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row>
    <row r="486">
      <c r="A486" s="1"/>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row>
    <row r="487">
      <c r="A487" s="1"/>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row>
    <row r="488">
      <c r="A488" s="1"/>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row>
    <row r="489">
      <c r="A489" s="1"/>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row>
    <row r="490">
      <c r="A490" s="1"/>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row>
    <row r="491">
      <c r="A491" s="1"/>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row>
    <row r="492">
      <c r="A492" s="1"/>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row>
    <row r="493">
      <c r="A493" s="1"/>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row>
    <row r="494">
      <c r="A494" s="1"/>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row>
    <row r="495">
      <c r="A495" s="1"/>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row>
    <row r="496">
      <c r="A496" s="1"/>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row>
    <row r="497">
      <c r="A497" s="1"/>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row>
    <row r="498">
      <c r="A498" s="1"/>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row>
    <row r="499">
      <c r="A499" s="1"/>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row>
    <row r="500">
      <c r="A500" s="1"/>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row>
    <row r="501">
      <c r="A501" s="1"/>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row>
    <row r="502">
      <c r="A502" s="1"/>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row>
    <row r="503">
      <c r="A503" s="1"/>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row>
    <row r="504">
      <c r="A504" s="1"/>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row>
    <row r="505">
      <c r="A505" s="1"/>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row>
    <row r="506">
      <c r="A506" s="1"/>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row>
    <row r="507">
      <c r="A507" s="1"/>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row>
    <row r="508">
      <c r="A508" s="1"/>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row>
    <row r="509">
      <c r="A509" s="1"/>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row>
    <row r="510">
      <c r="A510" s="1"/>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row>
    <row r="511">
      <c r="A511" s="1"/>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row>
    <row r="512">
      <c r="A512" s="1"/>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row>
    <row r="513">
      <c r="A513" s="1"/>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row>
    <row r="514">
      <c r="A514" s="1"/>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row>
    <row r="515">
      <c r="A515" s="1"/>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row>
    <row r="516">
      <c r="A516" s="1"/>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row>
    <row r="517">
      <c r="A517" s="1"/>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row>
    <row r="518">
      <c r="A518" s="1"/>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row>
    <row r="519">
      <c r="A519" s="1"/>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row>
    <row r="520">
      <c r="A520" s="1"/>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row>
    <row r="521">
      <c r="A521" s="1"/>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row>
    <row r="522">
      <c r="A522" s="1"/>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row>
    <row r="523">
      <c r="A523" s="1"/>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row>
    <row r="524">
      <c r="A524" s="1"/>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row>
    <row r="525">
      <c r="A525" s="1"/>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row>
    <row r="526">
      <c r="A526" s="1"/>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row>
    <row r="527">
      <c r="A527" s="1"/>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row>
    <row r="528">
      <c r="A528" s="1"/>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row>
    <row r="529">
      <c r="A529" s="1"/>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row>
    <row r="530">
      <c r="A530" s="1"/>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row>
    <row r="531">
      <c r="A531" s="1"/>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row>
    <row r="532">
      <c r="A532" s="1"/>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row>
    <row r="533">
      <c r="A533" s="1"/>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row>
    <row r="534">
      <c r="A534" s="1"/>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row>
    <row r="535">
      <c r="A535" s="1"/>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row>
    <row r="536">
      <c r="A536" s="1"/>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row>
    <row r="537">
      <c r="A537" s="1"/>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row>
    <row r="538">
      <c r="A538" s="1"/>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row>
    <row r="539">
      <c r="A539" s="1"/>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row>
    <row r="540">
      <c r="A540" s="1"/>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row>
    <row r="541">
      <c r="A541" s="1"/>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row>
    <row r="542">
      <c r="A542" s="1"/>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row>
    <row r="543">
      <c r="A543" s="1"/>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row>
    <row r="544">
      <c r="A544" s="1"/>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row>
    <row r="545">
      <c r="A545" s="1"/>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row>
    <row r="546">
      <c r="A546" s="1"/>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row>
    <row r="547">
      <c r="A547" s="1"/>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row>
    <row r="548">
      <c r="A548" s="1"/>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row>
    <row r="549">
      <c r="A549" s="1"/>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row>
    <row r="550">
      <c r="A550" s="1"/>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row>
    <row r="551">
      <c r="A551" s="1"/>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row>
    <row r="552">
      <c r="A552" s="1"/>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row>
    <row r="553">
      <c r="A553" s="1"/>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row>
    <row r="554">
      <c r="A554" s="1"/>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row>
    <row r="555">
      <c r="A555" s="1"/>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row>
    <row r="556">
      <c r="A556" s="1"/>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row>
    <row r="557">
      <c r="A557" s="1"/>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row>
    <row r="558">
      <c r="A558" s="1"/>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row>
    <row r="559">
      <c r="A559" s="1"/>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row>
    <row r="560">
      <c r="A560" s="1"/>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row>
    <row r="561">
      <c r="A561" s="1"/>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row>
    <row r="562">
      <c r="A562" s="1"/>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row>
    <row r="563">
      <c r="A563" s="1"/>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row>
    <row r="564">
      <c r="A564" s="1"/>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row>
    <row r="565">
      <c r="A565" s="1"/>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row>
    <row r="566">
      <c r="A566" s="1"/>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row>
    <row r="567">
      <c r="A567" s="1"/>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row>
    <row r="568">
      <c r="A568" s="1"/>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row>
    <row r="569">
      <c r="A569" s="1"/>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row>
    <row r="570">
      <c r="A570" s="1"/>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row>
    <row r="571">
      <c r="A571" s="1"/>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row>
    <row r="572">
      <c r="A572" s="1"/>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row>
    <row r="573">
      <c r="A573" s="1"/>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row>
    <row r="574">
      <c r="A574" s="1"/>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row>
    <row r="575">
      <c r="A575" s="1"/>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row>
    <row r="576">
      <c r="A576" s="1"/>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row>
    <row r="577">
      <c r="A577" s="1"/>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row>
    <row r="578">
      <c r="A578" s="1"/>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row>
    <row r="579">
      <c r="A579" s="1"/>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row>
    <row r="580">
      <c r="A580" s="1"/>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row>
    <row r="581">
      <c r="A581" s="1"/>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row>
    <row r="582">
      <c r="A582" s="1"/>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row>
    <row r="583">
      <c r="A583" s="1"/>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row>
    <row r="584">
      <c r="A584" s="1"/>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row>
    <row r="585">
      <c r="A585" s="1"/>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row>
    <row r="586">
      <c r="A586" s="1"/>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row>
    <row r="587">
      <c r="A587" s="1"/>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row>
    <row r="588">
      <c r="A588" s="1"/>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row>
    <row r="589">
      <c r="A589" s="1"/>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row>
    <row r="590">
      <c r="A590" s="1"/>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row>
    <row r="591">
      <c r="A591" s="1"/>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row>
    <row r="592">
      <c r="A592" s="1"/>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row>
    <row r="593">
      <c r="A593" s="1"/>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row>
    <row r="594">
      <c r="A594" s="1"/>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row>
    <row r="595">
      <c r="A595" s="1"/>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row>
    <row r="596">
      <c r="A596" s="1"/>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row>
    <row r="597">
      <c r="A597" s="1"/>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row>
    <row r="598">
      <c r="A598" s="1"/>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row>
    <row r="599">
      <c r="A599" s="1"/>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row>
    <row r="600">
      <c r="A600" s="1"/>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row>
    <row r="601">
      <c r="A601" s="1"/>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row>
    <row r="602">
      <c r="A602" s="1"/>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row>
    <row r="603">
      <c r="A603" s="1"/>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row>
    <row r="604">
      <c r="A604" s="1"/>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row>
    <row r="605">
      <c r="A605" s="1"/>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row>
    <row r="606">
      <c r="A606" s="1"/>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row>
    <row r="607">
      <c r="A607" s="1"/>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row>
    <row r="608">
      <c r="A608" s="1"/>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row>
    <row r="609">
      <c r="A609" s="1"/>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row>
    <row r="610">
      <c r="A610" s="1"/>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row>
    <row r="611">
      <c r="A611" s="1"/>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row>
    <row r="612">
      <c r="A612" s="1"/>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row>
    <row r="613">
      <c r="A613" s="1"/>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row>
    <row r="614">
      <c r="A614" s="1"/>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row>
    <row r="615">
      <c r="A615" s="1"/>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row>
    <row r="616">
      <c r="A616" s="1"/>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row>
    <row r="617">
      <c r="A617" s="1"/>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row>
    <row r="618">
      <c r="A618" s="1"/>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row>
    <row r="619">
      <c r="A619" s="1"/>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row>
    <row r="620">
      <c r="A620" s="1"/>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row>
    <row r="621">
      <c r="A621" s="1"/>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row>
    <row r="622">
      <c r="A622" s="1"/>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row>
    <row r="623">
      <c r="A623" s="1"/>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row>
    <row r="624">
      <c r="A624" s="1"/>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row>
    <row r="625">
      <c r="A625" s="1"/>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row>
    <row r="626">
      <c r="A626" s="1"/>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row>
    <row r="627">
      <c r="A627" s="1"/>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row>
    <row r="628">
      <c r="A628" s="1"/>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row>
    <row r="629">
      <c r="A629" s="1"/>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row>
    <row r="630">
      <c r="A630" s="1"/>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row>
    <row r="631">
      <c r="A631" s="1"/>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row>
    <row r="632">
      <c r="A632" s="1"/>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row>
    <row r="633">
      <c r="A633" s="1"/>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row>
    <row r="634">
      <c r="A634" s="1"/>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row>
    <row r="635">
      <c r="A635" s="1"/>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row>
    <row r="636">
      <c r="A636" s="1"/>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row>
    <row r="637">
      <c r="A637" s="1"/>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row>
    <row r="638">
      <c r="A638" s="1"/>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row>
    <row r="639">
      <c r="A639" s="1"/>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row>
    <row r="640">
      <c r="A640" s="1"/>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row>
    <row r="641">
      <c r="A641" s="1"/>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row>
    <row r="642">
      <c r="A642" s="1"/>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row>
    <row r="643">
      <c r="A643" s="1"/>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row>
    <row r="644">
      <c r="A644" s="1"/>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row>
    <row r="645">
      <c r="A645" s="1"/>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row>
    <row r="646">
      <c r="A646" s="1"/>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row>
    <row r="647">
      <c r="A647" s="1"/>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row>
    <row r="648">
      <c r="A648" s="1"/>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row>
    <row r="649">
      <c r="A649" s="1"/>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row>
    <row r="650">
      <c r="A650" s="1"/>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row>
    <row r="651">
      <c r="A651" s="1"/>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row>
    <row r="652">
      <c r="A652" s="1"/>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row>
    <row r="653">
      <c r="A653" s="1"/>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row>
    <row r="654">
      <c r="A654" s="1"/>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row>
    <row r="655">
      <c r="A655" s="1"/>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row>
    <row r="656">
      <c r="A656" s="1"/>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row>
    <row r="657">
      <c r="A657" s="1"/>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row>
    <row r="658">
      <c r="A658" s="1"/>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row>
    <row r="659">
      <c r="A659" s="1"/>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row>
    <row r="660">
      <c r="A660" s="1"/>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row>
    <row r="661">
      <c r="A661" s="1"/>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row>
    <row r="662">
      <c r="A662" s="1"/>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row>
    <row r="663">
      <c r="A663" s="1"/>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row>
    <row r="664">
      <c r="A664" s="1"/>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row>
    <row r="665">
      <c r="A665" s="1"/>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row>
    <row r="666">
      <c r="A666" s="1"/>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row>
    <row r="667">
      <c r="A667" s="1"/>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row>
    <row r="668">
      <c r="A668" s="1"/>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row>
    <row r="669">
      <c r="A669" s="1"/>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row>
    <row r="670">
      <c r="A670" s="1"/>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row>
    <row r="671">
      <c r="A671" s="1"/>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row>
    <row r="672">
      <c r="A672" s="1"/>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row>
    <row r="673">
      <c r="A673" s="1"/>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row>
    <row r="674">
      <c r="A674" s="1"/>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row>
    <row r="675">
      <c r="A675" s="1"/>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row>
    <row r="676">
      <c r="A676" s="1"/>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row>
    <row r="677">
      <c r="A677" s="1"/>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row>
    <row r="678">
      <c r="A678" s="1"/>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row>
    <row r="679">
      <c r="A679" s="1"/>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row>
    <row r="680">
      <c r="A680" s="1"/>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row>
    <row r="681">
      <c r="A681" s="1"/>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row>
    <row r="682">
      <c r="A682" s="1"/>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row>
    <row r="683">
      <c r="A683" s="1"/>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row>
    <row r="684">
      <c r="A684" s="1"/>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row>
    <row r="685">
      <c r="A685" s="1"/>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row>
    <row r="686">
      <c r="A686" s="1"/>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row>
    <row r="687">
      <c r="A687" s="1"/>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row>
    <row r="688">
      <c r="A688" s="1"/>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row>
    <row r="689">
      <c r="A689" s="1"/>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row>
    <row r="690">
      <c r="A690" s="1"/>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row>
    <row r="691">
      <c r="A691" s="1"/>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row>
    <row r="692">
      <c r="A692" s="1"/>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row>
    <row r="693">
      <c r="A693" s="1"/>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row>
    <row r="694">
      <c r="A694" s="1"/>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row>
    <row r="695">
      <c r="A695" s="1"/>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row>
    <row r="696">
      <c r="A696" s="1"/>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row>
    <row r="697">
      <c r="A697" s="1"/>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row>
    <row r="698">
      <c r="A698" s="1"/>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row>
    <row r="699">
      <c r="A699" s="1"/>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row>
    <row r="700">
      <c r="A700" s="1"/>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row>
    <row r="701">
      <c r="A701" s="1"/>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row>
    <row r="702">
      <c r="A702" s="1"/>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row>
    <row r="703">
      <c r="A703" s="1"/>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row>
    <row r="704">
      <c r="A704" s="1"/>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row>
    <row r="705">
      <c r="A705" s="1"/>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row>
    <row r="706">
      <c r="A706" s="1"/>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row>
    <row r="707">
      <c r="A707" s="1"/>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row>
    <row r="708">
      <c r="A708" s="1"/>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row>
    <row r="709">
      <c r="A709" s="1"/>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row>
    <row r="710">
      <c r="A710" s="1"/>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row>
    <row r="711">
      <c r="A711" s="1"/>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row>
    <row r="712">
      <c r="A712" s="1"/>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row>
    <row r="713">
      <c r="A713" s="1"/>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row>
    <row r="714">
      <c r="A714" s="1"/>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row>
    <row r="715">
      <c r="A715" s="1"/>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row>
    <row r="716">
      <c r="A716" s="1"/>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row>
    <row r="717">
      <c r="A717" s="1"/>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row>
    <row r="718">
      <c r="A718" s="1"/>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row>
    <row r="719">
      <c r="A719" s="1"/>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row>
    <row r="720">
      <c r="A720" s="1"/>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row>
    <row r="721">
      <c r="A721" s="1"/>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row>
    <row r="722">
      <c r="A722" s="1"/>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row>
    <row r="723">
      <c r="A723" s="1"/>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row>
    <row r="724">
      <c r="A724" s="1"/>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row>
    <row r="725">
      <c r="A725" s="1"/>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row>
    <row r="726">
      <c r="A726" s="1"/>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row>
    <row r="727">
      <c r="A727" s="1"/>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row>
    <row r="728">
      <c r="A728" s="1"/>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row>
    <row r="729">
      <c r="A729" s="1"/>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row>
    <row r="730">
      <c r="A730" s="1"/>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row>
    <row r="731">
      <c r="A731" s="1"/>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row>
    <row r="732">
      <c r="A732" s="1"/>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row>
    <row r="733">
      <c r="A733" s="1"/>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row>
    <row r="734">
      <c r="A734" s="1"/>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row>
    <row r="735">
      <c r="A735" s="1"/>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row>
    <row r="736">
      <c r="A736" s="1"/>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row>
    <row r="737">
      <c r="A737" s="1"/>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row>
    <row r="738">
      <c r="A738" s="1"/>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row>
    <row r="739">
      <c r="A739" s="1"/>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row>
    <row r="740">
      <c r="A740" s="1"/>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row>
    <row r="741">
      <c r="A741" s="1"/>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row>
    <row r="742">
      <c r="A742" s="1"/>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row>
    <row r="743">
      <c r="A743" s="1"/>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row>
    <row r="744">
      <c r="A744" s="1"/>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row>
    <row r="745">
      <c r="A745" s="1"/>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row>
    <row r="746">
      <c r="A746" s="1"/>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row>
    <row r="747">
      <c r="A747" s="1"/>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row>
    <row r="748">
      <c r="A748" s="1"/>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row>
    <row r="749">
      <c r="A749" s="1"/>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row>
    <row r="750">
      <c r="A750" s="1"/>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row>
    <row r="751">
      <c r="A751" s="1"/>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row>
    <row r="752">
      <c r="A752" s="1"/>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row>
    <row r="753">
      <c r="A753" s="1"/>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row>
    <row r="754">
      <c r="A754" s="1"/>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row>
    <row r="755">
      <c r="A755" s="1"/>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row>
    <row r="756">
      <c r="A756" s="1"/>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row>
    <row r="757">
      <c r="A757" s="1"/>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row>
    <row r="758">
      <c r="A758" s="1"/>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row>
    <row r="759">
      <c r="A759" s="1"/>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row>
    <row r="760">
      <c r="A760" s="1"/>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row>
    <row r="761">
      <c r="A761" s="1"/>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row>
    <row r="762">
      <c r="A762" s="1"/>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row>
    <row r="763">
      <c r="A763" s="1"/>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row>
    <row r="764">
      <c r="A764" s="1"/>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row>
    <row r="765">
      <c r="A765" s="1"/>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row>
    <row r="766">
      <c r="A766" s="1"/>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row>
    <row r="767">
      <c r="A767" s="1"/>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row>
    <row r="768">
      <c r="A768" s="1"/>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row>
    <row r="769">
      <c r="A769" s="1"/>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row>
    <row r="770">
      <c r="A770" s="1"/>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row>
    <row r="771">
      <c r="A771" s="1"/>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row>
    <row r="772">
      <c r="A772" s="1"/>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row>
    <row r="773">
      <c r="A773" s="1"/>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row>
    <row r="774">
      <c r="A774" s="1"/>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row>
    <row r="775">
      <c r="A775" s="1"/>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row>
    <row r="776">
      <c r="A776" s="1"/>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row>
    <row r="777">
      <c r="A777" s="1"/>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row>
    <row r="778">
      <c r="A778" s="1"/>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row>
    <row r="779">
      <c r="A779" s="1"/>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row>
    <row r="780">
      <c r="A780" s="1"/>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row>
    <row r="781">
      <c r="A781" s="1"/>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row>
    <row r="782">
      <c r="A782" s="1"/>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row>
    <row r="783">
      <c r="A783" s="1"/>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row>
    <row r="784">
      <c r="A784" s="1"/>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row>
    <row r="785">
      <c r="A785" s="1"/>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row>
    <row r="786">
      <c r="A786" s="1"/>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row>
    <row r="787">
      <c r="A787" s="1"/>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row>
    <row r="788">
      <c r="A788" s="1"/>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row>
    <row r="789">
      <c r="A789" s="1"/>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row>
    <row r="790">
      <c r="A790" s="1"/>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row>
    <row r="791">
      <c r="A791" s="1"/>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row>
    <row r="792">
      <c r="A792" s="1"/>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row>
    <row r="793">
      <c r="A793" s="1"/>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row>
    <row r="794">
      <c r="A794" s="1"/>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row>
    <row r="795">
      <c r="A795" s="1"/>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row>
    <row r="796">
      <c r="A796" s="1"/>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row>
    <row r="797">
      <c r="A797" s="1"/>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row>
    <row r="798">
      <c r="A798" s="1"/>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row>
    <row r="799">
      <c r="A799" s="1"/>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row>
    <row r="800">
      <c r="A800" s="1"/>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row>
    <row r="801">
      <c r="A801" s="1"/>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row>
    <row r="802">
      <c r="A802" s="1"/>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row>
    <row r="803">
      <c r="A803" s="1"/>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row>
    <row r="804">
      <c r="A804" s="1"/>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row>
    <row r="805">
      <c r="A805" s="1"/>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row>
    <row r="806">
      <c r="A806" s="1"/>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row>
    <row r="807">
      <c r="A807" s="1"/>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row>
    <row r="808">
      <c r="A808" s="1"/>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row>
    <row r="809">
      <c r="A809" s="1"/>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row>
    <row r="810">
      <c r="A810" s="1"/>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row>
    <row r="811">
      <c r="A811" s="1"/>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row>
    <row r="812">
      <c r="A812" s="1"/>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row>
    <row r="813">
      <c r="A813" s="1"/>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row>
    <row r="814">
      <c r="A814" s="1"/>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row>
    <row r="815">
      <c r="A815" s="1"/>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row>
    <row r="816">
      <c r="A816" s="1"/>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row>
    <row r="817">
      <c r="A817" s="1"/>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row>
    <row r="818">
      <c r="A818" s="1"/>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row>
    <row r="819">
      <c r="A819" s="1"/>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row>
    <row r="820">
      <c r="A820" s="1"/>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row>
    <row r="821">
      <c r="A821" s="1"/>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row>
    <row r="822">
      <c r="A822" s="1"/>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row>
    <row r="823">
      <c r="A823" s="1"/>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row>
    <row r="824">
      <c r="A824" s="1"/>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row>
    <row r="825">
      <c r="A825" s="1"/>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row>
    <row r="826">
      <c r="A826" s="1"/>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row>
    <row r="827">
      <c r="A827" s="1"/>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row>
    <row r="828">
      <c r="A828" s="1"/>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row>
    <row r="829">
      <c r="A829" s="1"/>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row>
    <row r="830">
      <c r="A830" s="1"/>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row>
    <row r="831">
      <c r="A831" s="1"/>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row>
    <row r="832">
      <c r="A832" s="1"/>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row>
    <row r="833">
      <c r="A833" s="1"/>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row>
    <row r="834">
      <c r="A834" s="1"/>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row>
    <row r="835">
      <c r="A835" s="1"/>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row>
    <row r="836">
      <c r="A836" s="1"/>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row>
    <row r="837">
      <c r="A837" s="1"/>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row>
    <row r="838">
      <c r="A838" s="1"/>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row>
    <row r="839">
      <c r="A839" s="1"/>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row>
    <row r="840">
      <c r="A840" s="1"/>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row>
    <row r="841">
      <c r="A841" s="1"/>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row>
    <row r="842">
      <c r="A842" s="1"/>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row>
    <row r="843">
      <c r="A843" s="1"/>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row>
    <row r="844">
      <c r="A844" s="1"/>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row>
    <row r="845">
      <c r="A845" s="1"/>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row>
    <row r="846">
      <c r="A846" s="1"/>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row>
    <row r="847">
      <c r="A847" s="1"/>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row>
    <row r="848">
      <c r="A848" s="1"/>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row>
    <row r="849">
      <c r="A849" s="1"/>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row>
    <row r="850">
      <c r="A850" s="1"/>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row>
    <row r="851">
      <c r="A851" s="1"/>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row>
    <row r="852">
      <c r="A852" s="1"/>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row>
    <row r="853">
      <c r="A853" s="1"/>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row>
    <row r="854">
      <c r="A854" s="1"/>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row>
    <row r="855">
      <c r="A855" s="1"/>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row>
    <row r="856">
      <c r="A856" s="1"/>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row>
    <row r="857">
      <c r="A857" s="1"/>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row>
    <row r="858">
      <c r="A858" s="1"/>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row>
    <row r="859">
      <c r="A859" s="1"/>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row>
    <row r="860">
      <c r="A860" s="1"/>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row>
    <row r="861">
      <c r="A861" s="1"/>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row>
    <row r="862">
      <c r="A862" s="1"/>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row>
    <row r="863">
      <c r="A863" s="1"/>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row>
    <row r="864">
      <c r="A864" s="1"/>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row>
    <row r="865">
      <c r="A865" s="1"/>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row>
    <row r="866">
      <c r="A866" s="1"/>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row>
    <row r="867">
      <c r="A867" s="1"/>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row>
    <row r="868">
      <c r="A868" s="1"/>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row>
    <row r="869">
      <c r="A869" s="1"/>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row>
    <row r="870">
      <c r="A870" s="1"/>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row>
    <row r="871">
      <c r="A871" s="1"/>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row>
    <row r="872">
      <c r="A872" s="1"/>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row>
    <row r="873">
      <c r="A873" s="1"/>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row>
    <row r="874">
      <c r="A874" s="1"/>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row>
    <row r="875">
      <c r="A875" s="1"/>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row>
    <row r="876">
      <c r="A876" s="1"/>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row>
    <row r="877">
      <c r="A877" s="1"/>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row>
    <row r="878">
      <c r="A878" s="1"/>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row>
    <row r="879">
      <c r="A879" s="1"/>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row>
    <row r="880">
      <c r="A880" s="1"/>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row>
    <row r="881">
      <c r="A881" s="1"/>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row>
    <row r="882">
      <c r="A882" s="1"/>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row>
    <row r="883">
      <c r="A883" s="1"/>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row>
    <row r="884">
      <c r="A884" s="1"/>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row>
    <row r="885">
      <c r="A885" s="1"/>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row>
    <row r="886">
      <c r="A886" s="1"/>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row>
    <row r="887">
      <c r="A887" s="1"/>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row>
    <row r="888">
      <c r="A888" s="1"/>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row>
    <row r="889">
      <c r="A889" s="1"/>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row>
    <row r="890">
      <c r="A890" s="1"/>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row>
    <row r="891">
      <c r="A891" s="1"/>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row>
    <row r="892">
      <c r="A892" s="1"/>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row>
    <row r="893">
      <c r="A893" s="1"/>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row>
    <row r="894">
      <c r="A894" s="1"/>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row>
    <row r="895">
      <c r="A895" s="1"/>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row>
    <row r="896">
      <c r="A896" s="1"/>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row>
    <row r="897">
      <c r="A897" s="1"/>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row>
    <row r="898">
      <c r="A898" s="1"/>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row>
    <row r="899">
      <c r="A899" s="1"/>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row>
    <row r="900">
      <c r="A900" s="1"/>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row>
    <row r="901">
      <c r="A901" s="1"/>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row>
    <row r="902">
      <c r="A902" s="1"/>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row>
    <row r="903">
      <c r="A903" s="1"/>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row>
    <row r="904">
      <c r="A904" s="1"/>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row>
    <row r="905">
      <c r="A905" s="1"/>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row>
    <row r="906">
      <c r="A906" s="1"/>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row>
    <row r="907">
      <c r="A907" s="1"/>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row>
    <row r="908">
      <c r="A908" s="1"/>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row>
    <row r="909">
      <c r="A909" s="1"/>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row>
    <row r="910">
      <c r="A910" s="1"/>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row>
    <row r="911">
      <c r="A911" s="1"/>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row>
    <row r="912">
      <c r="A912" s="1"/>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row>
    <row r="913">
      <c r="A913" s="1"/>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row>
    <row r="914">
      <c r="A914" s="1"/>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row>
    <row r="915">
      <c r="A915" s="1"/>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row>
    <row r="916">
      <c r="A916" s="1"/>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row>
    <row r="917">
      <c r="A917" s="1"/>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row>
    <row r="918">
      <c r="A918" s="1"/>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row>
    <row r="919">
      <c r="A919" s="1"/>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row>
    <row r="920">
      <c r="A920" s="1"/>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row>
    <row r="921">
      <c r="A921" s="1"/>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row>
    <row r="922">
      <c r="A922" s="1"/>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row>
    <row r="923">
      <c r="A923" s="1"/>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row>
    <row r="924">
      <c r="A924" s="1"/>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row>
    <row r="925">
      <c r="A925" s="1"/>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row>
    <row r="926">
      <c r="A926" s="1"/>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row>
    <row r="927">
      <c r="A927" s="1"/>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row>
    <row r="928">
      <c r="A928" s="1"/>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row>
    <row r="929">
      <c r="A929" s="1"/>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row>
    <row r="930">
      <c r="A930" s="1"/>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row>
  </sheetData>
  <drawing r:id="rId1"/>
</worksheet>
</file>