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el Rego\Desktop\pasta Taylor\"/>
    </mc:Choice>
  </mc:AlternateContent>
  <xr:revisionPtr revIDLastSave="0" documentId="13_ncr:1_{2A471497-5041-483C-B5C2-27FCC19CCF18}" xr6:coauthVersionLast="47" xr6:coauthVersionMax="47" xr10:uidLastSave="{00000000-0000-0000-0000-000000000000}"/>
  <bookViews>
    <workbookView xWindow="-120" yWindow="-120" windowWidth="20640" windowHeight="11160" xr2:uid="{959F2ED7-B17F-4D4A-A810-F2FAEEAEA475}"/>
  </bookViews>
  <sheets>
    <sheet name="INICIAL" sheetId="5" r:id="rId1"/>
    <sheet name="CONTRATO" sheetId="3" r:id="rId2"/>
    <sheet name="CONTROLE" sheetId="2" r:id="rId3"/>
  </sheets>
  <externalReferences>
    <externalReference r:id="rId4"/>
  </externalReferences>
  <definedNames>
    <definedName name="CAIXA">INDEX(#REF!,MATCH(#REF!,#REF!,0))</definedName>
    <definedName name="imagem">#REF!</definedName>
    <definedName name="IMAGENS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" l="1"/>
  <c r="D26" i="5"/>
  <c r="E42" i="5"/>
  <c r="G51" i="5" l="1"/>
  <c r="G49" i="5"/>
  <c r="G50" i="5" l="1"/>
  <c r="F114" i="3" l="1"/>
  <c r="A77" i="3"/>
  <c r="A73" i="3"/>
  <c r="K73" i="3"/>
  <c r="K71" i="3"/>
  <c r="A71" i="3"/>
  <c r="A59" i="3"/>
  <c r="A57" i="3"/>
  <c r="A56" i="3"/>
  <c r="A55" i="3"/>
  <c r="I45" i="5"/>
  <c r="G45" i="5"/>
  <c r="E45" i="5"/>
  <c r="I44" i="5"/>
  <c r="G44" i="5"/>
  <c r="E44" i="5"/>
  <c r="I43" i="5"/>
  <c r="G43" i="5"/>
  <c r="E43" i="5"/>
  <c r="I42" i="5"/>
  <c r="G42" i="5"/>
  <c r="H35" i="5"/>
  <c r="A54" i="3" s="1"/>
  <c r="H31" i="5"/>
  <c r="E31" i="5"/>
  <c r="A58" i="3"/>
  <c r="G11" i="5"/>
  <c r="A37" i="3" l="1"/>
  <c r="A62" i="3"/>
  <c r="H52" i="5"/>
  <c r="H53" i="5" s="1"/>
  <c r="E62" i="5" l="1"/>
  <c r="E65" i="5" s="1"/>
  <c r="F115" i="3" l="1"/>
  <c r="J134" i="3"/>
  <c r="G1" i="2"/>
  <c r="D2" i="2"/>
  <c r="L2" i="2"/>
  <c r="D3" i="2"/>
  <c r="L3" i="2"/>
  <c r="D4" i="2"/>
  <c r="L4" i="2"/>
  <c r="D5" i="2"/>
  <c r="L5" i="2"/>
  <c r="D6" i="2"/>
  <c r="D7" i="2"/>
  <c r="D8" i="2"/>
  <c r="D9" i="2"/>
  <c r="D10" i="2"/>
  <c r="I10" i="2"/>
  <c r="N10" i="2"/>
  <c r="D11" i="2"/>
  <c r="I11" i="2"/>
  <c r="N11" i="2"/>
  <c r="D12" i="2"/>
  <c r="I12" i="2"/>
  <c r="D13" i="2"/>
  <c r="I13" i="2"/>
  <c r="D14" i="2"/>
  <c r="D15" i="2"/>
  <c r="L15" i="2"/>
  <c r="D16" i="2"/>
  <c r="D17" i="2"/>
  <c r="I17" i="2"/>
  <c r="H19" i="2" s="1"/>
  <c r="J17" i="2"/>
  <c r="H23" i="2" s="1"/>
  <c r="D18" i="2"/>
  <c r="I18" i="2"/>
  <c r="J18" i="2"/>
  <c r="D19" i="2"/>
  <c r="D20" i="2"/>
  <c r="D21" i="2"/>
  <c r="D22" i="2"/>
  <c r="G22" i="2"/>
  <c r="D23" i="2"/>
  <c r="D24" i="2"/>
  <c r="D25" i="2"/>
  <c r="D26" i="2"/>
  <c r="H26" i="2"/>
  <c r="D27" i="2"/>
  <c r="D28" i="2"/>
  <c r="D29" i="2"/>
  <c r="D30" i="2"/>
  <c r="G30" i="2"/>
  <c r="D31" i="2"/>
  <c r="D32" i="2"/>
  <c r="D33" i="2"/>
  <c r="D34" i="2"/>
  <c r="D35" i="2"/>
  <c r="D36" i="2"/>
  <c r="D37" i="2"/>
  <c r="D38" i="2"/>
  <c r="J38" i="2"/>
  <c r="D39" i="2"/>
  <c r="D40" i="2"/>
  <c r="D41" i="2"/>
  <c r="D42" i="2"/>
  <c r="D43" i="2"/>
  <c r="D44" i="2"/>
  <c r="D45" i="2"/>
  <c r="L6" i="2" l="1"/>
  <c r="G23" i="2" a="1"/>
  <c r="G23" i="2" s="1"/>
  <c r="I14" i="2"/>
  <c r="N12" i="2"/>
  <c r="D46" i="2"/>
  <c r="G24" i="2" l="1"/>
  <c r="G29" i="2"/>
  <c r="G31" i="2" s="1"/>
</calcChain>
</file>

<file path=xl/sharedStrings.xml><?xml version="1.0" encoding="utf-8"?>
<sst xmlns="http://schemas.openxmlformats.org/spreadsheetml/2006/main" count="182" uniqueCount="147">
  <si>
    <t>TOTAL</t>
  </si>
  <si>
    <t>Capacidade de Ampliação</t>
  </si>
  <si>
    <t>VENDEDOR</t>
  </si>
  <si>
    <t>Forma de Pagamento</t>
  </si>
  <si>
    <t>Telhado</t>
  </si>
  <si>
    <t>SAJ 10KW</t>
  </si>
  <si>
    <t>Inversor</t>
  </si>
  <si>
    <t>VALOR FINAL</t>
  </si>
  <si>
    <t>INSTALACAO DE MODULOS</t>
  </si>
  <si>
    <t>ORCAMENTO MATERIAL FINAL</t>
  </si>
  <si>
    <t>PRODUCAO ESTIMADA</t>
  </si>
  <si>
    <t>GERACAO DESEJADA</t>
  </si>
  <si>
    <t>MÓDULOS</t>
  </si>
  <si>
    <t>GROWATT 1OKW</t>
  </si>
  <si>
    <t>POTENCIA SISTEMA KWP</t>
  </si>
  <si>
    <t>SUNGROW 10KW</t>
  </si>
  <si>
    <t>GERACAO APROXIMADA kwh/m</t>
  </si>
  <si>
    <t>SOLIS 10KW</t>
  </si>
  <si>
    <t>DEYE 10KW</t>
  </si>
  <si>
    <t>VALOR</t>
  </si>
  <si>
    <t>SUNGROW 8KW</t>
  </si>
  <si>
    <t>PALLET 36UN</t>
  </si>
  <si>
    <t>JA 560W</t>
  </si>
  <si>
    <t>SOLIS 8KW</t>
  </si>
  <si>
    <t>PALLET 37UN</t>
  </si>
  <si>
    <t>TSUN 560W</t>
  </si>
  <si>
    <t>SAJ 8KW</t>
  </si>
  <si>
    <t>KWP</t>
  </si>
  <si>
    <t>QUANTIDADE</t>
  </si>
  <si>
    <t>MODULOS</t>
  </si>
  <si>
    <t>DEYE 8KW</t>
  </si>
  <si>
    <t>SUNGROW 6KW</t>
  </si>
  <si>
    <t>PAR MC4</t>
  </si>
  <si>
    <t>SOLIS 6KW</t>
  </si>
  <si>
    <t>QUANTIADE</t>
  </si>
  <si>
    <t>SOOLLAR 04MD CERAMICA 250MM</t>
  </si>
  <si>
    <t>SAJ 6KW</t>
  </si>
  <si>
    <t>SOOLLAR 04MD FIB/MAD 250MM</t>
  </si>
  <si>
    <t>GROWATT 5KW</t>
  </si>
  <si>
    <t>100m</t>
  </si>
  <si>
    <t>EST. META MINI PERFIL+ GRAMPO</t>
  </si>
  <si>
    <t>SUNGROW 5KW</t>
  </si>
  <si>
    <t>25m</t>
  </si>
  <si>
    <t>PERFIL</t>
  </si>
  <si>
    <t>SOLIS 5KW</t>
  </si>
  <si>
    <t>QUAN.</t>
  </si>
  <si>
    <t>CABO SOLAR</t>
  </si>
  <si>
    <t>QUANT.</t>
  </si>
  <si>
    <t>PRECO</t>
  </si>
  <si>
    <t>ESTRUTRA SOLAR (MULT DE 4)</t>
  </si>
  <si>
    <t>SAJ 5KW</t>
  </si>
  <si>
    <t>DEYE 5KW</t>
  </si>
  <si>
    <t>GROWATT 3KW</t>
  </si>
  <si>
    <t>SUNGROW 3KW</t>
  </si>
  <si>
    <t>10MM</t>
  </si>
  <si>
    <t>BARRAMENTO NEUTRO</t>
  </si>
  <si>
    <t>SOLIS 3KW</t>
  </si>
  <si>
    <t>6MM</t>
  </si>
  <si>
    <t>QUADRO 4DIN</t>
  </si>
  <si>
    <t>SAJ 3KW</t>
  </si>
  <si>
    <t>4MM</t>
  </si>
  <si>
    <t>DISJUNTOR</t>
  </si>
  <si>
    <t>DEYE 3KW</t>
  </si>
  <si>
    <t>2,5MM</t>
  </si>
  <si>
    <t>2 DPS</t>
  </si>
  <si>
    <t>MICRO INVERSOR DEYE 2KW</t>
  </si>
  <si>
    <t>(m)</t>
  </si>
  <si>
    <t>PRECO METRO</t>
  </si>
  <si>
    <t>CABOS</t>
  </si>
  <si>
    <t>QUADRO CA MONO</t>
  </si>
  <si>
    <t xml:space="preserve">R$ </t>
  </si>
  <si>
    <t>INVERSORES MONOFASICO</t>
  </si>
  <si>
    <t>Teresina,PI</t>
  </si>
  <si>
    <t>Assinatura do Responsável</t>
  </si>
  <si>
    <t>Declaro estar de acordo com os termos estabelecidos na proposta comercial e de serviços apresentada pela empresa HEINZ ENGENHARIA, incluindo todas as especificações técnicas, quantidade de equipamentos e condições comercias.</t>
  </si>
  <si>
    <t>TERMO DE ACEITE</t>
  </si>
  <si>
    <t>Vendedor</t>
  </si>
  <si>
    <t>7 DIAS</t>
  </si>
  <si>
    <t>Validade da Proposta</t>
  </si>
  <si>
    <t>ORÇAMENTO</t>
  </si>
  <si>
    <t>GARANTIA</t>
  </si>
  <si>
    <r>
      <rPr>
        <b/>
        <sz val="9"/>
        <rFont val="Verdana"/>
        <family val="2"/>
      </rPr>
      <t>PC</t>
    </r>
  </si>
  <si>
    <r>
      <rPr>
        <b/>
        <sz val="9"/>
        <rFont val="Verdana"/>
        <family val="2"/>
      </rPr>
      <t>M</t>
    </r>
  </si>
  <si>
    <r>
      <rPr>
        <sz val="11"/>
        <rFont val="Arial MT"/>
        <family val="2"/>
      </rPr>
      <t>CABO SOLAR</t>
    </r>
  </si>
  <si>
    <r>
      <rPr>
        <sz val="11"/>
        <rFont val="Arial MT"/>
        <family val="2"/>
      </rPr>
      <t>KIT FIXAÇÃO PARA TELHADO COLONIAL</t>
    </r>
  </si>
  <si>
    <r>
      <rPr>
        <b/>
        <sz val="9"/>
        <rFont val="Verdana"/>
        <family val="2"/>
      </rPr>
      <t>QNT</t>
    </r>
  </si>
  <si>
    <r>
      <rPr>
        <b/>
        <sz val="9"/>
        <rFont val="Verdana"/>
        <family val="2"/>
      </rPr>
      <t>UNI</t>
    </r>
  </si>
  <si>
    <r>
      <rPr>
        <b/>
        <sz val="9"/>
        <rFont val="Verdana"/>
        <family val="2"/>
      </rPr>
      <t>ITEM</t>
    </r>
  </si>
  <si>
    <t>LISTA DE MATERIAL</t>
  </si>
  <si>
    <t>DESCRIÇÃO SISTEMA FOTOVOLTAICO</t>
  </si>
  <si>
    <r>
      <rPr>
        <sz val="10"/>
        <color rgb="FF003300"/>
        <rFont val="Symbol"/>
        <family val="5"/>
      </rPr>
      <t></t>
    </r>
    <r>
      <rPr>
        <sz val="10"/>
        <color rgb="FF003300"/>
        <rFont val="Times New Roman"/>
        <family val="1"/>
      </rPr>
      <t xml:space="preserve">     </t>
    </r>
    <r>
      <rPr>
        <b/>
        <sz val="10"/>
        <rFont val="Verdana"/>
        <family val="2"/>
      </rPr>
      <t xml:space="preserve">INVERSOR: </t>
    </r>
    <r>
      <rPr>
        <sz val="10"/>
        <rFont val="Verdana"/>
        <family val="2"/>
      </rPr>
      <t xml:space="preserve">10 ANOS CONTRA DEFEITOS DE FÁBRICAÇÃO
</t>
    </r>
    <r>
      <rPr>
        <sz val="10"/>
        <color rgb="FF003300"/>
        <rFont val="Symbol"/>
        <family val="5"/>
      </rPr>
      <t></t>
    </r>
    <r>
      <rPr>
        <sz val="10"/>
        <color rgb="FF003300"/>
        <rFont val="Times New Roman"/>
        <family val="1"/>
      </rPr>
      <t xml:space="preserve">     </t>
    </r>
    <r>
      <rPr>
        <b/>
        <sz val="10"/>
        <rFont val="Verdana"/>
        <family val="2"/>
      </rPr>
      <t xml:space="preserve">PAINÉIS: </t>
    </r>
    <r>
      <rPr>
        <sz val="10"/>
        <rFont val="Verdana"/>
        <family val="2"/>
      </rPr>
      <t xml:space="preserve">25 ANOS CONTRA DEFEITOS DE FÁBRICAÇÃO
</t>
    </r>
    <r>
      <rPr>
        <sz val="10"/>
        <color rgb="FF003300"/>
        <rFont val="Symbol"/>
        <family val="5"/>
      </rPr>
      <t></t>
    </r>
    <r>
      <rPr>
        <sz val="10"/>
        <color rgb="FF003300"/>
        <rFont val="Times New Roman"/>
        <family val="1"/>
      </rPr>
      <t xml:space="preserve">     </t>
    </r>
    <r>
      <rPr>
        <b/>
        <sz val="10"/>
        <rFont val="Verdana"/>
        <family val="2"/>
      </rPr>
      <t xml:space="preserve">ESTRUTURA: </t>
    </r>
    <r>
      <rPr>
        <sz val="10"/>
        <rFont val="Verdana"/>
        <family val="2"/>
      </rPr>
      <t xml:space="preserve">12 MESES CONTRA DEFEITOS DE FÁBRICAÇÃO
</t>
    </r>
    <r>
      <rPr>
        <sz val="10"/>
        <color rgb="FF003300"/>
        <rFont val="Symbol"/>
        <family val="5"/>
      </rPr>
      <t></t>
    </r>
    <r>
      <rPr>
        <sz val="10"/>
        <color rgb="FF003300"/>
        <rFont val="Times New Roman"/>
        <family val="1"/>
      </rPr>
      <t xml:space="preserve">     </t>
    </r>
    <r>
      <rPr>
        <b/>
        <sz val="10"/>
        <rFont val="Verdana"/>
        <family val="2"/>
      </rPr>
      <t xml:space="preserve">INSTALAÇÃO: </t>
    </r>
    <r>
      <rPr>
        <sz val="10"/>
        <rFont val="Verdana"/>
        <family val="2"/>
      </rPr>
      <t xml:space="preserve">12 MESES
</t>
    </r>
    <r>
      <rPr>
        <sz val="10"/>
        <color rgb="FF003300"/>
        <rFont val="Symbol"/>
        <family val="5"/>
      </rPr>
      <t></t>
    </r>
    <r>
      <rPr>
        <sz val="10"/>
        <color rgb="FF003300"/>
        <rFont val="Times New Roman"/>
        <family val="1"/>
      </rPr>
      <t xml:space="preserve">     </t>
    </r>
    <r>
      <rPr>
        <b/>
        <sz val="10"/>
        <rFont val="Verdana"/>
        <family val="2"/>
      </rPr>
      <t xml:space="preserve">GARANTIA DE DESEMPENHO LINEAR (EFICIÊNCIA DOS PAINÉIS): </t>
    </r>
    <r>
      <rPr>
        <sz val="10"/>
        <rFont val="Verdana"/>
        <family val="2"/>
      </rPr>
      <t>30 ANOS</t>
    </r>
  </si>
  <si>
    <t>Kit de proteção</t>
  </si>
  <si>
    <t xml:space="preserve">Valor do Investimento </t>
  </si>
  <si>
    <t>Investimento Parcelado</t>
  </si>
  <si>
    <t>PREENCHIMENTO DA PLANILHA ORÇAMENTO</t>
  </si>
  <si>
    <t>Nome do Cliente/ GERAÇÃO</t>
  </si>
  <si>
    <t>CERÂMICO</t>
  </si>
  <si>
    <t>Á VISTA</t>
  </si>
  <si>
    <t>WITALO</t>
  </si>
  <si>
    <t>SAJ 15KW</t>
  </si>
  <si>
    <t>JOSÉ CLEITON - 2000 Wh/mês</t>
  </si>
  <si>
    <t>KIT PROTEÇÃO TRIFÁSICO</t>
  </si>
  <si>
    <t>NOME</t>
  </si>
  <si>
    <t>CIDADE</t>
  </si>
  <si>
    <t>Teresina</t>
  </si>
  <si>
    <t>TIPO DE REDE</t>
  </si>
  <si>
    <t>DATA DA PROPOSTA</t>
  </si>
  <si>
    <t>VALOR DO KWH</t>
  </si>
  <si>
    <t>ILUMINAÇÃO PUBLICA</t>
  </si>
  <si>
    <t>FATURAS</t>
  </si>
  <si>
    <t>JAN</t>
  </si>
  <si>
    <t>MAI</t>
  </si>
  <si>
    <t>SET</t>
  </si>
  <si>
    <t>FEV</t>
  </si>
  <si>
    <t>JUN</t>
  </si>
  <si>
    <t>OUT</t>
  </si>
  <si>
    <t>MAR</t>
  </si>
  <si>
    <t>JUL</t>
  </si>
  <si>
    <t>NOV</t>
  </si>
  <si>
    <t>ABR</t>
  </si>
  <si>
    <t>AGO</t>
  </si>
  <si>
    <t>DEZ</t>
  </si>
  <si>
    <t>ANALISE DA DEMANDA</t>
  </si>
  <si>
    <t>CONSUMO ANUAL</t>
  </si>
  <si>
    <t>DEMANDA MENSAL</t>
  </si>
  <si>
    <t>DIMENSIONAMENTO</t>
  </si>
  <si>
    <t>De</t>
  </si>
  <si>
    <t>kWp</t>
  </si>
  <si>
    <t>Até</t>
  </si>
  <si>
    <t>INVERSOR</t>
  </si>
  <si>
    <t>PLACAS</t>
  </si>
  <si>
    <t>Modelo</t>
  </si>
  <si>
    <t xml:space="preserve">Potência </t>
  </si>
  <si>
    <t>Quant.</t>
  </si>
  <si>
    <t>PREVISÃO DE GERAÇÃO</t>
  </si>
  <si>
    <t>CUSTOS</t>
  </si>
  <si>
    <t>KIT</t>
  </si>
  <si>
    <t>Material CA</t>
  </si>
  <si>
    <t xml:space="preserve">Instalação </t>
  </si>
  <si>
    <t>Projeto</t>
  </si>
  <si>
    <t>Imposto</t>
  </si>
  <si>
    <t xml:space="preserve">Comissão </t>
  </si>
  <si>
    <t>VALOR DA PROPOSTA</t>
  </si>
  <si>
    <t>CUSTOS PRESUMIDOS</t>
  </si>
  <si>
    <t>LUCRO PRESUMIDO</t>
  </si>
  <si>
    <t>MONOFÁSICO</t>
  </si>
  <si>
    <t>TRIFÁSICO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</si>
</sst>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R$&quot;\ #,##0;[Red]\-&quot;R$&quot;\ #,##0"/>
    <numFmt numFmtId="165" formatCode="&quot;R$&quot;\ #,##0.00;[Red]\-&quot;R$&quot;\ #,##0.00"/>
    <numFmt numFmtId="166" formatCode="&quot;R$&quot;\ #,##0.00"/>
    <numFmt numFmtId="167" formatCode="&quot;R$&quot;\ #,##0.0;[Red]\-&quot;R$&quot;\ #,##0.0"/>
    <numFmt numFmtId="168" formatCode="[$-F800]dddd\,\ mmmm\ dd\,\ yyyy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Verdana"/>
      <family val="2"/>
    </font>
    <font>
      <sz val="11"/>
      <name val="Calibri"/>
      <family val="2"/>
      <scheme val="minor"/>
    </font>
    <font>
      <b/>
      <sz val="11"/>
      <name val="Verdana"/>
      <family val="2"/>
    </font>
    <font>
      <sz val="12"/>
      <name val="Calibri"/>
      <family val="2"/>
      <scheme val="minor"/>
    </font>
    <font>
      <b/>
      <sz val="14"/>
      <color theme="0"/>
      <name val="Verdana"/>
      <family val="2"/>
    </font>
    <font>
      <sz val="10"/>
      <color rgb="FF003300"/>
      <name val="Symbol"/>
      <family val="5"/>
    </font>
    <font>
      <sz val="10"/>
      <color rgb="FF003300"/>
      <name val="Times New Roman"/>
      <family val="1"/>
    </font>
    <font>
      <b/>
      <sz val="10"/>
      <name val="Verdana"/>
      <family val="2"/>
    </font>
    <font>
      <sz val="10"/>
      <name val="Verdana"/>
      <family val="2"/>
    </font>
    <font>
      <b/>
      <sz val="14"/>
      <color rgb="FF003300"/>
      <name val="Verdana"/>
      <family val="2"/>
    </font>
    <font>
      <b/>
      <sz val="9"/>
      <color rgb="FF000000"/>
      <name val="Verdana"/>
      <family val="2"/>
    </font>
    <font>
      <b/>
      <sz val="9"/>
      <name val="Verdana"/>
      <family val="2"/>
    </font>
    <font>
      <sz val="11"/>
      <name val="Arial MT"/>
    </font>
    <font>
      <sz val="11"/>
      <name val="Arial MT"/>
      <family val="2"/>
    </font>
    <font>
      <b/>
      <sz val="11"/>
      <color rgb="FF444444"/>
      <name val="Verdana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5"/>
    </font>
    <font>
      <b/>
      <sz val="12"/>
      <name val="Calibri"/>
      <family val="2"/>
      <scheme val="minor"/>
    </font>
    <font>
      <b/>
      <sz val="16"/>
      <name val="Verdan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5522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0" fontId="3" fillId="2" borderId="1" applyNumberFormat="0" applyAlignment="0" applyProtection="0"/>
    <xf numFmtId="0" fontId="4" fillId="8" borderId="0" applyNumberFormat="0" applyBorder="0" applyAlignment="0" applyProtection="0"/>
    <xf numFmtId="0" fontId="2" fillId="10" borderId="0" applyNumberFormat="0" applyBorder="0" applyAlignment="0" applyProtection="0"/>
    <xf numFmtId="0" fontId="4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4" borderId="0" applyNumberFormat="0" applyBorder="0" applyAlignment="0" applyProtection="0"/>
    <xf numFmtId="0" fontId="4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1" fillId="0" borderId="0"/>
  </cellStyleXfs>
  <cellXfs count="239">
    <xf numFmtId="0" fontId="0" fillId="0" borderId="0" xfId="0"/>
    <xf numFmtId="0" fontId="2" fillId="0" borderId="0" xfId="1"/>
    <xf numFmtId="0" fontId="2" fillId="0" borderId="2" xfId="1" applyBorder="1" applyAlignment="1">
      <alignment horizontal="center"/>
    </xf>
    <xf numFmtId="0" fontId="2" fillId="0" borderId="2" xfId="1" applyBorder="1"/>
    <xf numFmtId="0" fontId="2" fillId="0" borderId="0" xfId="1" applyAlignment="1">
      <alignment horizontal="left" vertical="center"/>
    </xf>
    <xf numFmtId="0" fontId="3" fillId="2" borderId="1" xfId="2" applyAlignment="1">
      <alignment horizontal="center"/>
    </xf>
    <xf numFmtId="0" fontId="3" fillId="2" borderId="3" xfId="2" applyBorder="1" applyAlignment="1">
      <alignment horizontal="center"/>
    </xf>
    <xf numFmtId="0" fontId="2" fillId="15" borderId="2" xfId="1" applyFill="1" applyBorder="1"/>
    <xf numFmtId="2" fontId="2" fillId="0" borderId="0" xfId="1" applyNumberFormat="1" applyAlignment="1">
      <alignment horizontal="left" vertical="center"/>
    </xf>
    <xf numFmtId="0" fontId="2" fillId="16" borderId="2" xfId="1" applyFill="1" applyBorder="1"/>
    <xf numFmtId="0" fontId="2" fillId="0" borderId="0" xfId="1" applyAlignment="1">
      <alignment vertical="center"/>
    </xf>
    <xf numFmtId="166" fontId="2" fillId="0" borderId="0" xfId="1" applyNumberFormat="1"/>
    <xf numFmtId="167" fontId="2" fillId="0" borderId="0" xfId="1" applyNumberFormat="1"/>
    <xf numFmtId="0" fontId="2" fillId="17" borderId="2" xfId="1" applyFill="1" applyBorder="1"/>
    <xf numFmtId="0" fontId="2" fillId="0" borderId="0" xfId="1" applyAlignment="1">
      <alignment horizontal="center"/>
    </xf>
    <xf numFmtId="0" fontId="4" fillId="8" borderId="2" xfId="3" applyBorder="1" applyAlignment="1">
      <alignment horizontal="center"/>
    </xf>
    <xf numFmtId="0" fontId="2" fillId="10" borderId="2" xfId="4" applyBorder="1" applyAlignment="1">
      <alignment horizontal="center"/>
    </xf>
    <xf numFmtId="0" fontId="2" fillId="10" borderId="2" xfId="4" applyBorder="1"/>
    <xf numFmtId="1" fontId="2" fillId="0" borderId="0" xfId="1" applyNumberFormat="1"/>
    <xf numFmtId="165" fontId="2" fillId="3" borderId="2" xfId="5" applyNumberFormat="1" applyFont="1" applyBorder="1" applyAlignment="1">
      <alignment horizontal="center"/>
    </xf>
    <xf numFmtId="0" fontId="2" fillId="3" borderId="6" xfId="5" applyFont="1" applyBorder="1" applyAlignment="1">
      <alignment horizontal="center"/>
    </xf>
    <xf numFmtId="0" fontId="2" fillId="9" borderId="2" xfId="6" applyBorder="1" applyAlignment="1">
      <alignment horizontal="center"/>
    </xf>
    <xf numFmtId="0" fontId="2" fillId="9" borderId="2" xfId="6" applyBorder="1"/>
    <xf numFmtId="164" fontId="2" fillId="11" borderId="0" xfId="7" applyNumberFormat="1" applyAlignment="1">
      <alignment horizontal="center"/>
    </xf>
    <xf numFmtId="0" fontId="2" fillId="11" borderId="0" xfId="7" applyAlignment="1">
      <alignment horizontal="center"/>
    </xf>
    <xf numFmtId="0" fontId="2" fillId="3" borderId="7" xfId="5" applyFont="1" applyBorder="1" applyAlignment="1">
      <alignment horizontal="center"/>
    </xf>
    <xf numFmtId="0" fontId="2" fillId="3" borderId="2" xfId="5" applyFont="1" applyBorder="1" applyAlignment="1">
      <alignment horizontal="center"/>
    </xf>
    <xf numFmtId="165" fontId="2" fillId="11" borderId="0" xfId="7" applyNumberFormat="1" applyAlignment="1">
      <alignment horizontal="center"/>
    </xf>
    <xf numFmtId="167" fontId="2" fillId="3" borderId="2" xfId="5" applyNumberFormat="1" applyFont="1" applyBorder="1" applyAlignment="1">
      <alignment horizontal="center"/>
    </xf>
    <xf numFmtId="0" fontId="2" fillId="4" borderId="2" xfId="8" applyBorder="1"/>
    <xf numFmtId="0" fontId="2" fillId="4" borderId="2" xfId="8" applyBorder="1" applyAlignment="1">
      <alignment horizontal="center"/>
    </xf>
    <xf numFmtId="0" fontId="2" fillId="12" borderId="2" xfId="9" applyFont="1" applyBorder="1" applyAlignment="1">
      <alignment horizontal="center"/>
    </xf>
    <xf numFmtId="0" fontId="4" fillId="12" borderId="2" xfId="9" applyBorder="1"/>
    <xf numFmtId="0" fontId="2" fillId="4" borderId="2" xfId="8" applyNumberFormat="1" applyBorder="1"/>
    <xf numFmtId="164" fontId="2" fillId="4" borderId="2" xfId="8" applyNumberFormat="1" applyBorder="1" applyAlignment="1">
      <alignment horizontal="center"/>
    </xf>
    <xf numFmtId="0" fontId="2" fillId="5" borderId="5" xfId="10" applyBorder="1"/>
    <xf numFmtId="0" fontId="2" fillId="5" borderId="2" xfId="10" applyBorder="1"/>
    <xf numFmtId="0" fontId="2" fillId="5" borderId="2" xfId="10" applyBorder="1" applyAlignment="1">
      <alignment horizontal="center"/>
    </xf>
    <xf numFmtId="165" fontId="2" fillId="4" borderId="2" xfId="8" applyNumberFormat="1" applyBorder="1" applyAlignment="1">
      <alignment horizontal="center"/>
    </xf>
    <xf numFmtId="0" fontId="2" fillId="14" borderId="2" xfId="11" applyBorder="1" applyAlignment="1">
      <alignment horizontal="center"/>
    </xf>
    <xf numFmtId="0" fontId="0" fillId="14" borderId="2" xfId="11" applyFont="1" applyBorder="1"/>
    <xf numFmtId="164" fontId="2" fillId="4" borderId="5" xfId="8" applyNumberFormat="1" applyBorder="1" applyAlignment="1">
      <alignment horizontal="center"/>
    </xf>
    <xf numFmtId="165" fontId="2" fillId="4" borderId="5" xfId="8" applyNumberFormat="1" applyBorder="1" applyAlignment="1">
      <alignment horizontal="center"/>
    </xf>
    <xf numFmtId="0" fontId="2" fillId="14" borderId="2" xfId="11" applyBorder="1"/>
    <xf numFmtId="0" fontId="2" fillId="4" borderId="5" xfId="8" applyBorder="1" applyAlignment="1">
      <alignment horizontal="center"/>
    </xf>
    <xf numFmtId="0" fontId="2" fillId="13" borderId="2" xfId="12" applyBorder="1" applyAlignment="1">
      <alignment horizontal="center"/>
    </xf>
    <xf numFmtId="0" fontId="2" fillId="13" borderId="2" xfId="12" applyBorder="1"/>
    <xf numFmtId="0" fontId="2" fillId="7" borderId="2" xfId="13" applyBorder="1" applyAlignment="1">
      <alignment horizontal="center"/>
    </xf>
    <xf numFmtId="0" fontId="2" fillId="7" borderId="2" xfId="13" applyBorder="1"/>
    <xf numFmtId="0" fontId="2" fillId="6" borderId="2" xfId="14" applyBorder="1" applyAlignment="1">
      <alignment horizontal="center"/>
    </xf>
    <xf numFmtId="0" fontId="2" fillId="7" borderId="0" xfId="13" applyAlignment="1">
      <alignment horizontal="center"/>
    </xf>
    <xf numFmtId="0" fontId="2" fillId="0" borderId="8" xfId="1" applyBorder="1" applyAlignment="1">
      <alignment horizontal="center"/>
    </xf>
    <xf numFmtId="0" fontId="1" fillId="0" borderId="0" xfId="15"/>
    <xf numFmtId="0" fontId="1" fillId="18" borderId="0" xfId="15" applyFill="1"/>
    <xf numFmtId="0" fontId="5" fillId="0" borderId="0" xfId="15" applyFont="1" applyAlignment="1">
      <alignment vertical="center"/>
    </xf>
    <xf numFmtId="0" fontId="1" fillId="0" borderId="0" xfId="15" applyAlignment="1">
      <alignment vertical="center"/>
    </xf>
    <xf numFmtId="0" fontId="8" fillId="18" borderId="0" xfId="15" applyFont="1" applyFill="1" applyAlignment="1">
      <alignment vertical="center"/>
    </xf>
    <xf numFmtId="0" fontId="1" fillId="18" borderId="0" xfId="15" applyFill="1" applyAlignment="1">
      <alignment vertical="top" wrapText="1"/>
    </xf>
    <xf numFmtId="0" fontId="1" fillId="0" borderId="0" xfId="15" applyAlignment="1">
      <alignment vertical="top" wrapText="1"/>
    </xf>
    <xf numFmtId="1" fontId="19" fillId="0" borderId="2" xfId="15" applyNumberFormat="1" applyFont="1" applyBorder="1" applyAlignment="1">
      <alignment horizontal="center" vertical="center" shrinkToFit="1"/>
    </xf>
    <xf numFmtId="0" fontId="20" fillId="0" borderId="2" xfId="15" applyFont="1" applyBorder="1" applyAlignment="1">
      <alignment horizontal="center" vertical="center"/>
    </xf>
    <xf numFmtId="0" fontId="25" fillId="0" borderId="0" xfId="15" applyFont="1" applyAlignment="1">
      <alignment vertical="center"/>
    </xf>
    <xf numFmtId="0" fontId="2" fillId="21" borderId="2" xfId="1" applyFill="1" applyBorder="1"/>
    <xf numFmtId="0" fontId="29" fillId="0" borderId="0" xfId="15" applyFont="1" applyAlignment="1">
      <alignment vertical="center"/>
    </xf>
    <xf numFmtId="0" fontId="2" fillId="17" borderId="2" xfId="1" applyFill="1" applyBorder="1" applyAlignment="1">
      <alignment horizontal="center" vertical="center"/>
    </xf>
    <xf numFmtId="0" fontId="0" fillId="22" borderId="0" xfId="0" applyFill="1"/>
    <xf numFmtId="0" fontId="0" fillId="23" borderId="0" xfId="0" applyFill="1"/>
    <xf numFmtId="0" fontId="0" fillId="23" borderId="18" xfId="0" applyFill="1" applyBorder="1"/>
    <xf numFmtId="0" fontId="0" fillId="23" borderId="19" xfId="0" applyFill="1" applyBorder="1"/>
    <xf numFmtId="0" fontId="0" fillId="23" borderId="11" xfId="0" applyFill="1" applyBorder="1"/>
    <xf numFmtId="0" fontId="0" fillId="23" borderId="12" xfId="0" applyFill="1" applyBorder="1"/>
    <xf numFmtId="0" fontId="0" fillId="0" borderId="0" xfId="0" applyAlignment="1">
      <alignment horizontal="center" vertical="center"/>
    </xf>
    <xf numFmtId="0" fontId="30" fillId="22" borderId="10" xfId="0" applyFont="1" applyFill="1" applyBorder="1" applyAlignment="1">
      <alignment horizontal="center" vertical="center"/>
    </xf>
    <xf numFmtId="0" fontId="0" fillId="18" borderId="21" xfId="0" applyFont="1" applyFill="1" applyBorder="1" applyAlignment="1">
      <alignment horizontal="center" vertical="center"/>
    </xf>
    <xf numFmtId="0" fontId="30" fillId="22" borderId="12" xfId="0" applyFont="1" applyFill="1" applyBorder="1" applyAlignment="1">
      <alignment horizontal="center" vertical="center"/>
    </xf>
    <xf numFmtId="0" fontId="30" fillId="22" borderId="21" xfId="0" applyFont="1" applyFill="1" applyBorder="1" applyAlignment="1">
      <alignment horizontal="center" vertical="center"/>
    </xf>
    <xf numFmtId="0" fontId="30" fillId="22" borderId="22" xfId="0" applyFont="1" applyFill="1" applyBorder="1" applyAlignment="1">
      <alignment horizontal="center" vertical="center"/>
    </xf>
    <xf numFmtId="0" fontId="30" fillId="22" borderId="15" xfId="0" applyFont="1" applyFill="1" applyBorder="1" applyAlignment="1">
      <alignment horizontal="center" vertical="center"/>
    </xf>
    <xf numFmtId="0" fontId="30" fillId="22" borderId="17" xfId="0" applyFont="1" applyFill="1" applyBorder="1" applyAlignment="1">
      <alignment horizontal="center" vertical="center"/>
    </xf>
    <xf numFmtId="0" fontId="30" fillId="22" borderId="24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33" fillId="22" borderId="21" xfId="0" applyFont="1" applyFill="1" applyBorder="1" applyAlignment="1"/>
    <xf numFmtId="0" fontId="33" fillId="22" borderId="23" xfId="0" applyFont="1" applyFill="1" applyBorder="1" applyAlignment="1"/>
    <xf numFmtId="0" fontId="0" fillId="23" borderId="20" xfId="0" applyFill="1" applyBorder="1"/>
    <xf numFmtId="1" fontId="0" fillId="18" borderId="21" xfId="0" applyNumberFormat="1" applyFont="1" applyFill="1" applyBorder="1" applyAlignment="1">
      <alignment horizontal="center" vertical="center"/>
    </xf>
    <xf numFmtId="1" fontId="0" fillId="18" borderId="11" xfId="0" applyNumberFormat="1" applyFont="1" applyFill="1" applyBorder="1" applyAlignment="1">
      <alignment horizontal="center" vertical="center"/>
    </xf>
    <xf numFmtId="1" fontId="0" fillId="18" borderId="12" xfId="0" applyNumberFormat="1" applyFont="1" applyFill="1" applyBorder="1" applyAlignment="1">
      <alignment horizontal="center" vertical="center"/>
    </xf>
    <xf numFmtId="0" fontId="30" fillId="22" borderId="18" xfId="0" applyFont="1" applyFill="1" applyBorder="1" applyAlignment="1">
      <alignment horizontal="center" vertical="center"/>
    </xf>
    <xf numFmtId="1" fontId="0" fillId="18" borderId="23" xfId="0" applyNumberFormat="1" applyFont="1" applyFill="1" applyBorder="1" applyAlignment="1">
      <alignment horizontal="center" vertical="center"/>
    </xf>
    <xf numFmtId="0" fontId="30" fillId="22" borderId="20" xfId="0" applyFont="1" applyFill="1" applyBorder="1" applyAlignment="1">
      <alignment horizontal="center" vertical="center"/>
    </xf>
    <xf numFmtId="1" fontId="0" fillId="18" borderId="0" xfId="0" applyNumberFormat="1" applyFont="1" applyFill="1" applyBorder="1" applyAlignment="1">
      <alignment horizontal="center" vertical="center"/>
    </xf>
    <xf numFmtId="1" fontId="0" fillId="18" borderId="14" xfId="0" applyNumberFormat="1" applyFont="1" applyFill="1" applyBorder="1" applyAlignment="1">
      <alignment horizontal="center" vertical="center"/>
    </xf>
    <xf numFmtId="1" fontId="0" fillId="18" borderId="24" xfId="0" applyNumberFormat="1" applyFont="1" applyFill="1" applyBorder="1" applyAlignment="1">
      <alignment horizontal="center" vertical="center"/>
    </xf>
    <xf numFmtId="1" fontId="0" fillId="18" borderId="16" xfId="0" applyNumberFormat="1" applyFont="1" applyFill="1" applyBorder="1" applyAlignment="1">
      <alignment horizontal="center" vertical="center"/>
    </xf>
    <xf numFmtId="1" fontId="0" fillId="18" borderId="17" xfId="0" applyNumberFormat="1" applyFont="1" applyFill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0" fontId="36" fillId="0" borderId="0" xfId="15" applyFont="1" applyAlignment="1">
      <alignment vertical="center"/>
    </xf>
    <xf numFmtId="166" fontId="35" fillId="18" borderId="10" xfId="0" applyNumberFormat="1" applyFont="1" applyFill="1" applyBorder="1" applyAlignment="1">
      <alignment horizontal="center" vertical="center"/>
    </xf>
    <xf numFmtId="166" fontId="35" fillId="18" borderId="11" xfId="0" applyNumberFormat="1" applyFont="1" applyFill="1" applyBorder="1" applyAlignment="1">
      <alignment horizontal="center" vertical="center"/>
    </xf>
    <xf numFmtId="166" fontId="35" fillId="18" borderId="12" xfId="0" applyNumberFormat="1" applyFont="1" applyFill="1" applyBorder="1" applyAlignment="1">
      <alignment horizontal="center" vertical="center"/>
    </xf>
    <xf numFmtId="166" fontId="35" fillId="18" borderId="13" xfId="0" applyNumberFormat="1" applyFont="1" applyFill="1" applyBorder="1" applyAlignment="1">
      <alignment horizontal="center" vertical="center"/>
    </xf>
    <xf numFmtId="166" fontId="35" fillId="18" borderId="0" xfId="0" applyNumberFormat="1" applyFont="1" applyFill="1" applyBorder="1" applyAlignment="1">
      <alignment horizontal="center" vertical="center"/>
    </xf>
    <xf numFmtId="166" fontId="35" fillId="18" borderId="14" xfId="0" applyNumberFormat="1" applyFont="1" applyFill="1" applyBorder="1" applyAlignment="1">
      <alignment horizontal="center" vertical="center"/>
    </xf>
    <xf numFmtId="166" fontId="35" fillId="18" borderId="15" xfId="0" applyNumberFormat="1" applyFont="1" applyFill="1" applyBorder="1" applyAlignment="1">
      <alignment horizontal="center" vertical="center"/>
    </xf>
    <xf numFmtId="166" fontId="35" fillId="18" borderId="16" xfId="0" applyNumberFormat="1" applyFont="1" applyFill="1" applyBorder="1" applyAlignment="1">
      <alignment horizontal="center" vertical="center"/>
    </xf>
    <xf numFmtId="166" fontId="35" fillId="18" borderId="17" xfId="0" applyNumberFormat="1" applyFont="1" applyFill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166" fontId="30" fillId="0" borderId="28" xfId="0" applyNumberFormat="1" applyFont="1" applyBorder="1" applyAlignment="1">
      <alignment horizontal="center" vertical="center"/>
    </xf>
    <xf numFmtId="166" fontId="30" fillId="0" borderId="2" xfId="0" applyNumberFormat="1" applyFont="1" applyBorder="1" applyAlignment="1">
      <alignment horizontal="center" vertical="center"/>
    </xf>
    <xf numFmtId="166" fontId="30" fillId="0" borderId="29" xfId="0" applyNumberFormat="1" applyFont="1" applyBorder="1" applyAlignment="1">
      <alignment horizontal="center" vertical="center"/>
    </xf>
    <xf numFmtId="0" fontId="30" fillId="0" borderId="30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166" fontId="30" fillId="0" borderId="31" xfId="0" applyNumberFormat="1" applyFont="1" applyBorder="1" applyAlignment="1">
      <alignment horizontal="center" vertical="center"/>
    </xf>
    <xf numFmtId="166" fontId="30" fillId="0" borderId="32" xfId="0" applyNumberFormat="1" applyFont="1" applyBorder="1" applyAlignment="1">
      <alignment horizontal="center" vertical="center"/>
    </xf>
    <xf numFmtId="0" fontId="30" fillId="22" borderId="18" xfId="0" applyFont="1" applyFill="1" applyBorder="1" applyAlignment="1">
      <alignment horizontal="center"/>
    </xf>
    <xf numFmtId="0" fontId="30" fillId="22" borderId="19" xfId="0" applyFont="1" applyFill="1" applyBorder="1" applyAlignment="1">
      <alignment horizontal="center"/>
    </xf>
    <xf numFmtId="0" fontId="30" fillId="22" borderId="20" xfId="0" applyFont="1" applyFill="1" applyBorder="1" applyAlignment="1">
      <alignment horizontal="center"/>
    </xf>
    <xf numFmtId="166" fontId="34" fillId="25" borderId="10" xfId="0" applyNumberFormat="1" applyFont="1" applyFill="1" applyBorder="1" applyAlignment="1">
      <alignment horizontal="center" vertical="center"/>
    </xf>
    <xf numFmtId="166" fontId="34" fillId="25" borderId="11" xfId="0" applyNumberFormat="1" applyFont="1" applyFill="1" applyBorder="1" applyAlignment="1">
      <alignment horizontal="center" vertical="center"/>
    </xf>
    <xf numFmtId="166" fontId="34" fillId="25" borderId="12" xfId="0" applyNumberFormat="1" applyFont="1" applyFill="1" applyBorder="1" applyAlignment="1">
      <alignment horizontal="center" vertical="center"/>
    </xf>
    <xf numFmtId="166" fontId="34" fillId="25" borderId="15" xfId="0" applyNumberFormat="1" applyFont="1" applyFill="1" applyBorder="1" applyAlignment="1">
      <alignment horizontal="center" vertical="center"/>
    </xf>
    <xf numFmtId="166" fontId="34" fillId="25" borderId="16" xfId="0" applyNumberFormat="1" applyFont="1" applyFill="1" applyBorder="1" applyAlignment="1">
      <alignment horizontal="center" vertical="center"/>
    </xf>
    <xf numFmtId="166" fontId="34" fillId="25" borderId="17" xfId="0" applyNumberFormat="1" applyFont="1" applyFill="1" applyBorder="1" applyAlignment="1">
      <alignment horizontal="center" vertical="center"/>
    </xf>
    <xf numFmtId="0" fontId="30" fillId="22" borderId="15" xfId="0" applyFont="1" applyFill="1" applyBorder="1" applyAlignment="1">
      <alignment horizontal="center"/>
    </xf>
    <xf numFmtId="0" fontId="30" fillId="22" borderId="16" xfId="0" applyFont="1" applyFill="1" applyBorder="1" applyAlignment="1">
      <alignment horizontal="center"/>
    </xf>
    <xf numFmtId="0" fontId="30" fillId="22" borderId="17" xfId="0" applyFont="1" applyFill="1" applyBorder="1" applyAlignment="1">
      <alignment horizontal="center"/>
    </xf>
    <xf numFmtId="166" fontId="34" fillId="26" borderId="10" xfId="0" applyNumberFormat="1" applyFont="1" applyFill="1" applyBorder="1" applyAlignment="1">
      <alignment horizontal="center" vertical="center"/>
    </xf>
    <xf numFmtId="166" fontId="34" fillId="26" borderId="11" xfId="0" applyNumberFormat="1" applyFont="1" applyFill="1" applyBorder="1" applyAlignment="1">
      <alignment horizontal="center" vertical="center"/>
    </xf>
    <xf numFmtId="166" fontId="34" fillId="26" borderId="12" xfId="0" applyNumberFormat="1" applyFont="1" applyFill="1" applyBorder="1" applyAlignment="1">
      <alignment horizontal="center" vertical="center"/>
    </xf>
    <xf numFmtId="166" fontId="34" fillId="26" borderId="15" xfId="0" applyNumberFormat="1" applyFont="1" applyFill="1" applyBorder="1" applyAlignment="1">
      <alignment horizontal="center" vertical="center"/>
    </xf>
    <xf numFmtId="166" fontId="34" fillId="26" borderId="16" xfId="0" applyNumberFormat="1" applyFont="1" applyFill="1" applyBorder="1" applyAlignment="1">
      <alignment horizontal="center" vertical="center"/>
    </xf>
    <xf numFmtId="166" fontId="34" fillId="26" borderId="17" xfId="0" applyNumberFormat="1" applyFont="1" applyFill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0" fontId="30" fillId="22" borderId="10" xfId="0" applyFont="1" applyFill="1" applyBorder="1" applyAlignment="1">
      <alignment horizontal="center"/>
    </xf>
    <xf numFmtId="0" fontId="30" fillId="22" borderId="11" xfId="0" applyFont="1" applyFill="1" applyBorder="1" applyAlignment="1">
      <alignment horizontal="center"/>
    </xf>
    <xf numFmtId="0" fontId="30" fillId="22" borderId="12" xfId="0" applyFont="1" applyFill="1" applyBorder="1" applyAlignment="1">
      <alignment horizontal="center"/>
    </xf>
    <xf numFmtId="0" fontId="30" fillId="24" borderId="18" xfId="0" applyFont="1" applyFill="1" applyBorder="1" applyAlignment="1">
      <alignment horizontal="center" vertical="center"/>
    </xf>
    <xf numFmtId="0" fontId="30" fillId="24" borderId="20" xfId="0" applyFont="1" applyFill="1" applyBorder="1" applyAlignment="1">
      <alignment horizontal="center" vertical="center"/>
    </xf>
    <xf numFmtId="0" fontId="30" fillId="22" borderId="0" xfId="0" applyFont="1" applyFill="1" applyBorder="1" applyAlignment="1">
      <alignment horizontal="center"/>
    </xf>
    <xf numFmtId="0" fontId="30" fillId="22" borderId="14" xfId="0" applyFont="1" applyFill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0" fillId="22" borderId="13" xfId="0" applyFont="1" applyFill="1" applyBorder="1" applyAlignment="1">
      <alignment horizontal="center"/>
    </xf>
    <xf numFmtId="0" fontId="31" fillId="18" borderId="10" xfId="0" applyFont="1" applyFill="1" applyBorder="1" applyAlignment="1">
      <alignment horizontal="center" vertical="center"/>
    </xf>
    <xf numFmtId="0" fontId="31" fillId="18" borderId="13" xfId="0" applyFont="1" applyFill="1" applyBorder="1" applyAlignment="1">
      <alignment horizontal="center" vertical="center"/>
    </xf>
    <xf numFmtId="0" fontId="31" fillId="18" borderId="15" xfId="0" applyFont="1" applyFill="1" applyBorder="1" applyAlignment="1">
      <alignment horizontal="center" vertical="center"/>
    </xf>
    <xf numFmtId="2" fontId="31" fillId="18" borderId="11" xfId="0" applyNumberFormat="1" applyFont="1" applyFill="1" applyBorder="1" applyAlignment="1">
      <alignment horizontal="center" vertical="center"/>
    </xf>
    <xf numFmtId="2" fontId="31" fillId="18" borderId="0" xfId="0" applyNumberFormat="1" applyFont="1" applyFill="1" applyBorder="1" applyAlignment="1">
      <alignment horizontal="center" vertical="center"/>
    </xf>
    <xf numFmtId="2" fontId="31" fillId="18" borderId="16" xfId="0" applyNumberFormat="1" applyFont="1" applyFill="1" applyBorder="1" applyAlignment="1">
      <alignment horizontal="center" vertical="center"/>
    </xf>
    <xf numFmtId="2" fontId="31" fillId="18" borderId="12" xfId="0" applyNumberFormat="1" applyFont="1" applyFill="1" applyBorder="1" applyAlignment="1">
      <alignment horizontal="center" vertical="center"/>
    </xf>
    <xf numFmtId="2" fontId="31" fillId="18" borderId="14" xfId="0" applyNumberFormat="1" applyFont="1" applyFill="1" applyBorder="1" applyAlignment="1">
      <alignment horizontal="center" vertical="center"/>
    </xf>
    <xf numFmtId="2" fontId="31" fillId="18" borderId="17" xfId="0" applyNumberFormat="1" applyFont="1" applyFill="1" applyBorder="1" applyAlignment="1">
      <alignment horizontal="center" vertical="center"/>
    </xf>
    <xf numFmtId="0" fontId="31" fillId="18" borderId="11" xfId="0" applyFont="1" applyFill="1" applyBorder="1" applyAlignment="1">
      <alignment horizontal="center" vertical="center"/>
    </xf>
    <xf numFmtId="0" fontId="31" fillId="18" borderId="0" xfId="0" applyFont="1" applyFill="1" applyBorder="1" applyAlignment="1">
      <alignment horizontal="center" vertical="center"/>
    </xf>
    <xf numFmtId="0" fontId="31" fillId="18" borderId="16" xfId="0" applyFont="1" applyFill="1" applyBorder="1" applyAlignment="1">
      <alignment horizontal="center" vertical="center"/>
    </xf>
    <xf numFmtId="0" fontId="30" fillId="22" borderId="18" xfId="0" applyFont="1" applyFill="1" applyBorder="1" applyAlignment="1">
      <alignment horizontal="center" vertical="center"/>
    </xf>
    <xf numFmtId="0" fontId="30" fillId="22" borderId="11" xfId="0" applyFont="1" applyFill="1" applyBorder="1" applyAlignment="1">
      <alignment horizontal="center" vertical="center"/>
    </xf>
    <xf numFmtId="0" fontId="30" fillId="22" borderId="19" xfId="0" applyFont="1" applyFill="1" applyBorder="1" applyAlignment="1">
      <alignment horizontal="center" vertical="center"/>
    </xf>
    <xf numFmtId="0" fontId="30" fillId="22" borderId="20" xfId="0" applyFont="1" applyFill="1" applyBorder="1" applyAlignment="1">
      <alignment horizontal="center" vertical="center"/>
    </xf>
    <xf numFmtId="0" fontId="32" fillId="18" borderId="10" xfId="0" applyFont="1" applyFill="1" applyBorder="1" applyAlignment="1">
      <alignment horizontal="center" vertical="center"/>
    </xf>
    <xf numFmtId="0" fontId="32" fillId="18" borderId="11" xfId="0" applyFont="1" applyFill="1" applyBorder="1" applyAlignment="1">
      <alignment horizontal="center" vertical="center"/>
    </xf>
    <xf numFmtId="0" fontId="32" fillId="18" borderId="12" xfId="0" applyFont="1" applyFill="1" applyBorder="1" applyAlignment="1">
      <alignment horizontal="center" vertical="center"/>
    </xf>
    <xf numFmtId="0" fontId="32" fillId="18" borderId="13" xfId="0" applyFont="1" applyFill="1" applyBorder="1" applyAlignment="1">
      <alignment horizontal="center" vertical="center"/>
    </xf>
    <xf numFmtId="0" fontId="32" fillId="18" borderId="0" xfId="0" applyFont="1" applyFill="1" applyBorder="1" applyAlignment="1">
      <alignment horizontal="center" vertical="center"/>
    </xf>
    <xf numFmtId="0" fontId="32" fillId="18" borderId="14" xfId="0" applyFont="1" applyFill="1" applyBorder="1" applyAlignment="1">
      <alignment horizontal="center" vertical="center"/>
    </xf>
    <xf numFmtId="0" fontId="32" fillId="18" borderId="15" xfId="0" applyFont="1" applyFill="1" applyBorder="1" applyAlignment="1">
      <alignment horizontal="center" vertical="center"/>
    </xf>
    <xf numFmtId="0" fontId="32" fillId="18" borderId="16" xfId="0" applyFont="1" applyFill="1" applyBorder="1" applyAlignment="1">
      <alignment horizontal="center" vertical="center"/>
    </xf>
    <xf numFmtId="0" fontId="32" fillId="18" borderId="17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18" borderId="0" xfId="0" applyFont="1" applyFill="1" applyBorder="1" applyAlignment="1">
      <alignment horizontal="center" vertical="center"/>
    </xf>
    <xf numFmtId="0" fontId="0" fillId="18" borderId="14" xfId="0" applyFont="1" applyFill="1" applyBorder="1" applyAlignment="1">
      <alignment horizontal="center" vertical="center"/>
    </xf>
    <xf numFmtId="0" fontId="0" fillId="18" borderId="15" xfId="0" applyFont="1" applyFill="1" applyBorder="1" applyAlignment="1">
      <alignment horizontal="center" vertical="center"/>
    </xf>
    <xf numFmtId="0" fontId="0" fillId="18" borderId="16" xfId="0" applyFont="1" applyFill="1" applyBorder="1" applyAlignment="1">
      <alignment horizontal="center" vertical="center"/>
    </xf>
    <xf numFmtId="0" fontId="0" fillId="18" borderId="17" xfId="0" applyFont="1" applyFill="1" applyBorder="1" applyAlignment="1">
      <alignment horizontal="center" vertical="center"/>
    </xf>
    <xf numFmtId="14" fontId="0" fillId="18" borderId="13" xfId="0" applyNumberFormat="1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166" fontId="0" fillId="18" borderId="13" xfId="0" applyNumberFormat="1" applyFill="1" applyBorder="1" applyAlignment="1">
      <alignment horizontal="center" vertical="center"/>
    </xf>
    <xf numFmtId="166" fontId="0" fillId="18" borderId="0" xfId="0" applyNumberFormat="1" applyFill="1" applyBorder="1" applyAlignment="1">
      <alignment horizontal="center" vertical="center"/>
    </xf>
    <xf numFmtId="166" fontId="0" fillId="18" borderId="14" xfId="0" applyNumberFormat="1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7" fillId="19" borderId="0" xfId="15" applyFont="1" applyFill="1" applyAlignment="1">
      <alignment horizontal="center" vertical="center"/>
    </xf>
    <xf numFmtId="0" fontId="9" fillId="0" borderId="2" xfId="15" applyFont="1" applyBorder="1" applyAlignment="1">
      <alignment horizontal="left" vertical="center"/>
    </xf>
    <xf numFmtId="0" fontId="18" fillId="0" borderId="0" xfId="15" applyFont="1" applyAlignment="1">
      <alignment horizontal="left" vertical="center"/>
    </xf>
    <xf numFmtId="0" fontId="26" fillId="0" borderId="0" xfId="15" applyFont="1" applyAlignment="1">
      <alignment horizontal="center" vertical="center"/>
    </xf>
    <xf numFmtId="0" fontId="1" fillId="0" borderId="0" xfId="15" applyAlignment="1">
      <alignment horizontal="center"/>
    </xf>
    <xf numFmtId="0" fontId="24" fillId="0" borderId="0" xfId="15" applyFont="1" applyAlignment="1">
      <alignment vertical="center"/>
    </xf>
    <xf numFmtId="0" fontId="24" fillId="0" borderId="0" xfId="15" applyFont="1" applyAlignment="1">
      <alignment vertical="center" wrapText="1"/>
    </xf>
    <xf numFmtId="0" fontId="28" fillId="0" borderId="0" xfId="15" applyFont="1" applyAlignment="1">
      <alignment horizontal="left" vertical="center"/>
    </xf>
    <xf numFmtId="0" fontId="18" fillId="0" borderId="0" xfId="15" applyFont="1" applyAlignment="1">
      <alignment horizontal="left" vertical="top"/>
    </xf>
    <xf numFmtId="0" fontId="23" fillId="0" borderId="0" xfId="15" applyFont="1" applyAlignment="1">
      <alignment horizontal="left" vertical="top"/>
    </xf>
    <xf numFmtId="0" fontId="11" fillId="0" borderId="2" xfId="15" applyFont="1" applyBorder="1" applyAlignment="1">
      <alignment horizontal="left" vertical="center"/>
    </xf>
    <xf numFmtId="0" fontId="9" fillId="0" borderId="2" xfId="15" applyFont="1" applyBorder="1" applyAlignment="1">
      <alignment horizontal="left"/>
    </xf>
    <xf numFmtId="0" fontId="11" fillId="0" borderId="5" xfId="15" applyFont="1" applyBorder="1" applyAlignment="1">
      <alignment horizontal="left"/>
    </xf>
    <xf numFmtId="0" fontId="11" fillId="0" borderId="9" xfId="15" applyFont="1" applyBorder="1" applyAlignment="1">
      <alignment horizontal="left"/>
    </xf>
    <xf numFmtId="0" fontId="11" fillId="0" borderId="6" xfId="15" applyFont="1" applyBorder="1" applyAlignment="1">
      <alignment horizontal="left"/>
    </xf>
    <xf numFmtId="0" fontId="10" fillId="0" borderId="0" xfId="15" applyFont="1" applyAlignment="1">
      <alignment horizontal="center"/>
    </xf>
    <xf numFmtId="0" fontId="9" fillId="0" borderId="0" xfId="15" applyFont="1" applyAlignment="1">
      <alignment horizontal="center"/>
    </xf>
    <xf numFmtId="14" fontId="10" fillId="20" borderId="2" xfId="15" applyNumberFormat="1" applyFont="1" applyFill="1" applyBorder="1" applyAlignment="1">
      <alignment horizontal="center"/>
    </xf>
    <xf numFmtId="0" fontId="10" fillId="20" borderId="2" xfId="15" applyFont="1" applyFill="1" applyBorder="1" applyAlignment="1">
      <alignment horizontal="center"/>
    </xf>
    <xf numFmtId="0" fontId="10" fillId="20" borderId="2" xfId="15" applyFont="1" applyFill="1" applyBorder="1" applyAlignment="1">
      <alignment horizontal="center" vertical="center"/>
    </xf>
    <xf numFmtId="0" fontId="20" fillId="0" borderId="2" xfId="15" applyFont="1" applyBorder="1" applyAlignment="1">
      <alignment horizontal="center" vertical="center"/>
    </xf>
    <xf numFmtId="0" fontId="22" fillId="0" borderId="2" xfId="15" applyFont="1" applyBorder="1" applyAlignment="1">
      <alignment horizontal="center" vertical="center" wrapText="1"/>
    </xf>
    <xf numFmtId="0" fontId="21" fillId="0" borderId="2" xfId="15" applyFont="1" applyBorder="1" applyAlignment="1">
      <alignment horizontal="center" vertical="center" wrapText="1"/>
    </xf>
    <xf numFmtId="0" fontId="21" fillId="0" borderId="2" xfId="15" applyFont="1" applyBorder="1" applyAlignment="1">
      <alignment horizontal="center" vertical="center"/>
    </xf>
    <xf numFmtId="14" fontId="2" fillId="0" borderId="0" xfId="15" applyNumberFormat="1" applyFont="1" applyAlignment="1">
      <alignment horizontal="left" vertical="center"/>
    </xf>
    <xf numFmtId="168" fontId="2" fillId="0" borderId="0" xfId="15" applyNumberFormat="1" applyFont="1" applyAlignment="1">
      <alignment horizontal="center" vertical="center"/>
    </xf>
    <xf numFmtId="14" fontId="0" fillId="20" borderId="2" xfId="15" applyNumberFormat="1" applyFont="1" applyFill="1" applyBorder="1" applyAlignment="1">
      <alignment horizontal="center" vertical="center"/>
    </xf>
    <xf numFmtId="0" fontId="1" fillId="20" borderId="2" xfId="15" applyFill="1" applyBorder="1" applyAlignment="1">
      <alignment horizontal="center" vertical="center"/>
    </xf>
    <xf numFmtId="0" fontId="5" fillId="0" borderId="0" xfId="15" applyFont="1" applyAlignment="1">
      <alignment horizontal="left" vertical="top" wrapText="1"/>
    </xf>
    <xf numFmtId="0" fontId="6" fillId="0" borderId="4" xfId="15" applyFont="1" applyBorder="1" applyAlignment="1">
      <alignment horizontal="center" vertical="center"/>
    </xf>
    <xf numFmtId="0" fontId="22" fillId="0" borderId="2" xfId="15" applyFont="1" applyBorder="1" applyAlignment="1">
      <alignment horizontal="center" vertical="center"/>
    </xf>
    <xf numFmtId="166" fontId="12" fillId="20" borderId="2" xfId="15" applyNumberFormat="1" applyFont="1" applyFill="1" applyBorder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13" fillId="19" borderId="0" xfId="15" applyFont="1" applyFill="1" applyAlignment="1">
      <alignment horizontal="center" vertical="center"/>
    </xf>
    <xf numFmtId="0" fontId="27" fillId="0" borderId="0" xfId="15" applyFont="1" applyAlignment="1">
      <alignment horizontal="left" vertical="top" wrapText="1"/>
    </xf>
    <xf numFmtId="0" fontId="1" fillId="0" borderId="0" xfId="15" applyAlignment="1">
      <alignment horizontal="left" vertical="top" wrapText="1"/>
    </xf>
    <xf numFmtId="0" fontId="2" fillId="0" borderId="2" xfId="1" applyBorder="1" applyAlignment="1">
      <alignment horizontal="center" vertical="center"/>
    </xf>
    <xf numFmtId="0" fontId="2" fillId="21" borderId="5" xfId="1" applyFill="1" applyBorder="1" applyAlignment="1">
      <alignment horizontal="center" vertical="center"/>
    </xf>
    <xf numFmtId="0" fontId="2" fillId="21" borderId="9" xfId="1" applyFill="1" applyBorder="1" applyAlignment="1">
      <alignment horizontal="center" vertical="center"/>
    </xf>
    <xf numFmtId="0" fontId="2" fillId="21" borderId="6" xfId="1" applyFill="1" applyBorder="1" applyAlignment="1">
      <alignment horizontal="center" vertical="center"/>
    </xf>
    <xf numFmtId="165" fontId="2" fillId="3" borderId="2" xfId="5" applyNumberFormat="1" applyFont="1" applyBorder="1" applyAlignment="1">
      <alignment horizontal="center"/>
    </xf>
    <xf numFmtId="0" fontId="2" fillId="3" borderId="5" xfId="5" applyFont="1" applyBorder="1" applyAlignment="1">
      <alignment horizontal="center"/>
    </xf>
  </cellXfs>
  <cellStyles count="16">
    <cellStyle name="20% - Ênfase1 2" xfId="8" xr:uid="{57AF9941-B7D5-4561-B7DC-86052516BB02}"/>
    <cellStyle name="20% - Ênfase2 2" xfId="14" xr:uid="{0EE80A35-A295-4457-A786-E7F50B5FF099}"/>
    <cellStyle name="20% - Ênfase4 2" xfId="6" xr:uid="{C582B15F-B787-4C21-9D16-E5892212AA58}"/>
    <cellStyle name="40% - Ênfase3 2" xfId="13" xr:uid="{CABE3252-94E4-4EF0-8806-A9C0641E4ED7}"/>
    <cellStyle name="40% - Ênfase4 2" xfId="4" xr:uid="{B781E032-14D7-460A-B173-BFA60CBC54E4}"/>
    <cellStyle name="40% - Ênfase6 2" xfId="12" xr:uid="{A15A12D8-7EB9-4746-AE50-9C5FC1958E89}"/>
    <cellStyle name="60% - Ênfase1 2" xfId="10" xr:uid="{4BEF2E97-F6DA-4D92-9971-6E4C60018DD7}"/>
    <cellStyle name="60% - Ênfase5 2" xfId="7" xr:uid="{AFE037EB-B333-4467-A170-18E912FC740D}"/>
    <cellStyle name="60% - Ênfase6 2" xfId="11" xr:uid="{431DC093-8487-4123-B75D-BF2FAC863CF8}"/>
    <cellStyle name="Cálculo 2" xfId="2" xr:uid="{947F544A-6583-487A-A200-AE164B3315EF}"/>
    <cellStyle name="Ênfase1 2" xfId="5" xr:uid="{621809D7-C281-45F2-99AE-937E2B86C6D2}"/>
    <cellStyle name="Ênfase4 2" xfId="3" xr:uid="{3C4F6226-A328-447B-9F43-B0694A7BB595}"/>
    <cellStyle name="Ênfase6 2" xfId="9" xr:uid="{DDE396B4-02FF-422A-8EDB-A68A35688D99}"/>
    <cellStyle name="Normal" xfId="0" builtinId="0"/>
    <cellStyle name="Normal 2 2" xfId="15" xr:uid="{F4018B76-8A80-4242-908C-55066E514FDB}"/>
    <cellStyle name="Normal 8" xfId="1" xr:uid="{222EB21E-B756-476E-9A09-E91EB787E986}"/>
  </cellStyles>
  <dxfs count="6">
    <dxf>
      <fill>
        <patternFill>
          <fgColor rgb="FFFF0000"/>
          <bgColor rgb="FFFF0000"/>
        </patternFill>
      </fill>
    </dxf>
    <dxf>
      <fill>
        <patternFill>
          <fgColor rgb="FF00B050"/>
          <bgColor rgb="FF00B050"/>
        </patternFill>
      </fill>
    </dxf>
    <dxf>
      <fill>
        <patternFill>
          <fgColor rgb="FFFFFF00"/>
          <bgColor rgb="FFFFFF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00B050"/>
          <bgColor rgb="FF00B050"/>
        </patternFill>
      </fill>
    </dxf>
    <dxf>
      <fill>
        <patternFill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png"/><Relationship Id="rId1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8428</xdr:rowOff>
    </xdr:from>
    <xdr:to>
      <xdr:col>0</xdr:col>
      <xdr:colOff>595494</xdr:colOff>
      <xdr:row>8</xdr:row>
      <xdr:rowOff>3114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719674-5A65-48E5-8A4F-914D70EF3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46628"/>
          <a:ext cx="585969" cy="566186"/>
        </a:xfrm>
        <a:prstGeom prst="rect">
          <a:avLst/>
        </a:prstGeom>
      </xdr:spPr>
    </xdr:pic>
    <xdr:clientData/>
  </xdr:twoCellAnchor>
  <xdr:twoCellAnchor editAs="oneCell">
    <xdr:from>
      <xdr:col>5</xdr:col>
      <xdr:colOff>9562</xdr:colOff>
      <xdr:row>13</xdr:row>
      <xdr:rowOff>9054</xdr:rowOff>
    </xdr:from>
    <xdr:to>
      <xdr:col>5</xdr:col>
      <xdr:colOff>594946</xdr:colOff>
      <xdr:row>16</xdr:row>
      <xdr:rowOff>3479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7993803-B668-447C-B2FB-208390791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62" y="2409354"/>
          <a:ext cx="585384" cy="565925"/>
        </a:xfrm>
        <a:prstGeom prst="rect">
          <a:avLst/>
        </a:prstGeom>
      </xdr:spPr>
    </xdr:pic>
    <xdr:clientData/>
  </xdr:twoCellAnchor>
  <xdr:twoCellAnchor editAs="oneCell">
    <xdr:from>
      <xdr:col>0</xdr:col>
      <xdr:colOff>1798</xdr:colOff>
      <xdr:row>13</xdr:row>
      <xdr:rowOff>1317</xdr:rowOff>
    </xdr:from>
    <xdr:to>
      <xdr:col>0</xdr:col>
      <xdr:colOff>590550</xdr:colOff>
      <xdr:row>15</xdr:row>
      <xdr:rowOff>188402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D99B83E-87BF-4717-9564-08A05391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8" y="2401617"/>
          <a:ext cx="588752" cy="568085"/>
        </a:xfrm>
        <a:prstGeom prst="rect">
          <a:avLst/>
        </a:prstGeom>
      </xdr:spPr>
    </xdr:pic>
    <xdr:clientData/>
  </xdr:twoCellAnchor>
  <xdr:twoCellAnchor editAs="oneCell">
    <xdr:from>
      <xdr:col>4</xdr:col>
      <xdr:colOff>606119</xdr:colOff>
      <xdr:row>9</xdr:row>
      <xdr:rowOff>8274</xdr:rowOff>
    </xdr:from>
    <xdr:to>
      <xdr:col>5</xdr:col>
      <xdr:colOff>587801</xdr:colOff>
      <xdr:row>12</xdr:row>
      <xdr:rowOff>3479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569DC9E-0AAE-4A66-BF81-49A70AD91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4519" y="1627524"/>
          <a:ext cx="591282" cy="5667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0</xdr:row>
      <xdr:rowOff>9525</xdr:rowOff>
    </xdr:from>
    <xdr:to>
      <xdr:col>1</xdr:col>
      <xdr:colOff>171450</xdr:colOff>
      <xdr:row>4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0B57EE0-06BB-45B9-A0A2-2AFBCD2D6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9525"/>
          <a:ext cx="771524" cy="762000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0</xdr:row>
      <xdr:rowOff>123825</xdr:rowOff>
    </xdr:from>
    <xdr:to>
      <xdr:col>7</xdr:col>
      <xdr:colOff>323850</xdr:colOff>
      <xdr:row>3</xdr:row>
      <xdr:rowOff>85725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FB5E9DD0-F084-4E09-BE27-4ECBE7BCCAF9}"/>
            </a:ext>
          </a:extLst>
        </xdr:cNvPr>
        <xdr:cNvSpPr txBox="1"/>
      </xdr:nvSpPr>
      <xdr:spPr>
        <a:xfrm>
          <a:off x="866775" y="123825"/>
          <a:ext cx="3724275" cy="533400"/>
        </a:xfrm>
        <a:prstGeom prst="rect">
          <a:avLst/>
        </a:prstGeom>
        <a:solidFill>
          <a:srgbClr val="F6F6F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/>
            <a:t>PLANILHA</a:t>
          </a:r>
          <a:r>
            <a:rPr lang="pt-BR" sz="2400" baseline="0"/>
            <a:t> DE ORÇAMENTOS</a:t>
          </a:r>
          <a:endParaRPr lang="pt-BR" sz="2400"/>
        </a:p>
      </xdr:txBody>
    </xdr:sp>
    <xdr:clientData/>
  </xdr:twoCellAnchor>
  <xdr:twoCellAnchor editAs="oneCell">
    <xdr:from>
      <xdr:col>7</xdr:col>
      <xdr:colOff>447676</xdr:colOff>
      <xdr:row>0</xdr:row>
      <xdr:rowOff>9525</xdr:rowOff>
    </xdr:from>
    <xdr:to>
      <xdr:col>9</xdr:col>
      <xdr:colOff>0</xdr:colOff>
      <xdr:row>4</xdr:row>
      <xdr:rowOff>9525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0DF0B3E-855E-4F35-B636-F4939C407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6" y="9525"/>
          <a:ext cx="771524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</xdr:row>
      <xdr:rowOff>9525</xdr:rowOff>
    </xdr:from>
    <xdr:to>
      <xdr:col>5</xdr:col>
      <xdr:colOff>590550</xdr:colOff>
      <xdr:row>8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865B2BA-8299-4B28-9002-1DD1AF11E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847725"/>
          <a:ext cx="581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</xdr:row>
      <xdr:rowOff>9525</xdr:rowOff>
    </xdr:from>
    <xdr:to>
      <xdr:col>0</xdr:col>
      <xdr:colOff>600075</xdr:colOff>
      <xdr:row>12</xdr:row>
      <xdr:rowOff>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29E4C6E-E960-4D1A-9265-67127E7B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628775"/>
          <a:ext cx="600074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17</xdr:row>
      <xdr:rowOff>15893</xdr:rowOff>
    </xdr:from>
    <xdr:to>
      <xdr:col>2</xdr:col>
      <xdr:colOff>600075</xdr:colOff>
      <xdr:row>22</xdr:row>
      <xdr:rowOff>38100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FF6E430-49F6-47ED-BE29-569837EA4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092468"/>
          <a:ext cx="1800225" cy="9747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9523</xdr:rowOff>
    </xdr:from>
    <xdr:to>
      <xdr:col>2</xdr:col>
      <xdr:colOff>597919</xdr:colOff>
      <xdr:row>28</xdr:row>
      <xdr:rowOff>25044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5DE936E-DC7F-41B8-AB42-732C9B0C2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81473"/>
          <a:ext cx="1817119" cy="9680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9525</xdr:rowOff>
    </xdr:from>
    <xdr:to>
      <xdr:col>3</xdr:col>
      <xdr:colOff>2886</xdr:colOff>
      <xdr:row>45</xdr:row>
      <xdr:rowOff>47625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E19371A-4DB4-4EB9-9F10-CCD46AB2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10425"/>
          <a:ext cx="1831686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27144</xdr:colOff>
      <xdr:row>46</xdr:row>
      <xdr:rowOff>9524</xdr:rowOff>
    </xdr:from>
    <xdr:to>
      <xdr:col>3</xdr:col>
      <xdr:colOff>8773</xdr:colOff>
      <xdr:row>53</xdr:row>
      <xdr:rowOff>12189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6A893B54-F4EA-445F-BB74-60F7934B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4" y="9268234"/>
          <a:ext cx="1825177" cy="1385326"/>
        </a:xfrm>
        <a:prstGeom prst="rect">
          <a:avLst/>
        </a:prstGeom>
      </xdr:spPr>
    </xdr:pic>
    <xdr:clientData/>
  </xdr:twoCellAnchor>
  <xdr:twoCellAnchor editAs="oneCell">
    <xdr:from>
      <xdr:col>0</xdr:col>
      <xdr:colOff>6660</xdr:colOff>
      <xdr:row>29</xdr:row>
      <xdr:rowOff>3331</xdr:rowOff>
    </xdr:from>
    <xdr:to>
      <xdr:col>2</xdr:col>
      <xdr:colOff>602805</xdr:colOff>
      <xdr:row>33</xdr:row>
      <xdr:rowOff>15520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2F7EE006-48C7-4094-AE7B-0A2D13CC3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0" y="5251606"/>
          <a:ext cx="1815345" cy="774189"/>
        </a:xfrm>
        <a:prstGeom prst="rect">
          <a:avLst/>
        </a:prstGeom>
      </xdr:spPr>
    </xdr:pic>
    <xdr:clientData/>
  </xdr:twoCellAnchor>
  <xdr:twoCellAnchor editAs="oneCell">
    <xdr:from>
      <xdr:col>0</xdr:col>
      <xdr:colOff>6661</xdr:colOff>
      <xdr:row>34</xdr:row>
      <xdr:rowOff>3330</xdr:rowOff>
    </xdr:from>
    <xdr:to>
      <xdr:col>3</xdr:col>
      <xdr:colOff>2886</xdr:colOff>
      <xdr:row>39</xdr:row>
      <xdr:rowOff>18384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1492C848-A9A4-4490-9542-9E9AA854E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1" y="6127905"/>
          <a:ext cx="1825025" cy="967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161924</xdr:colOff>
      <xdr:row>57</xdr:row>
      <xdr:rowOff>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236F12F7-471E-46B6-981C-E3FCF1A6D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48825"/>
          <a:ext cx="771524" cy="762000"/>
        </a:xfrm>
        <a:prstGeom prst="rect">
          <a:avLst/>
        </a:prstGeom>
      </xdr:spPr>
    </xdr:pic>
    <xdr:clientData/>
  </xdr:twoCellAnchor>
  <xdr:twoCellAnchor>
    <xdr:from>
      <xdr:col>1</xdr:col>
      <xdr:colOff>247649</xdr:colOff>
      <xdr:row>53</xdr:row>
      <xdr:rowOff>114300</xdr:rowOff>
    </xdr:from>
    <xdr:to>
      <xdr:col>7</xdr:col>
      <xdr:colOff>314324</xdr:colOff>
      <xdr:row>56</xdr:row>
      <xdr:rowOff>76200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F2E482F-6D6F-4319-8413-222CE854560E}"/>
            </a:ext>
          </a:extLst>
        </xdr:cNvPr>
        <xdr:cNvSpPr txBox="1"/>
      </xdr:nvSpPr>
      <xdr:spPr>
        <a:xfrm>
          <a:off x="857249" y="9763125"/>
          <a:ext cx="3724275" cy="533400"/>
        </a:xfrm>
        <a:prstGeom prst="rect">
          <a:avLst/>
        </a:prstGeom>
        <a:solidFill>
          <a:srgbClr val="F6F6F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/>
            <a:t>PLANILHA</a:t>
          </a:r>
          <a:r>
            <a:rPr lang="pt-BR" sz="2400" baseline="0"/>
            <a:t> DE ORÇAMENTOS</a:t>
          </a:r>
          <a:endParaRPr lang="pt-BR" sz="2400"/>
        </a:p>
      </xdr:txBody>
    </xdr:sp>
    <xdr:clientData/>
  </xdr:twoCellAnchor>
  <xdr:twoCellAnchor editAs="oneCell">
    <xdr:from>
      <xdr:col>7</xdr:col>
      <xdr:colOff>438150</xdr:colOff>
      <xdr:row>53</xdr:row>
      <xdr:rowOff>0</xdr:rowOff>
    </xdr:from>
    <xdr:to>
      <xdr:col>8</xdr:col>
      <xdr:colOff>600074</xdr:colOff>
      <xdr:row>57</xdr:row>
      <xdr:rowOff>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59783A95-68C2-4E3F-B795-52E9DE1F0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9648825"/>
          <a:ext cx="771524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14037</xdr:colOff>
      <xdr:row>57</xdr:row>
      <xdr:rowOff>6517</xdr:rowOff>
    </xdr:from>
    <xdr:to>
      <xdr:col>3</xdr:col>
      <xdr:colOff>590550</xdr:colOff>
      <xdr:row>67</xdr:row>
      <xdr:rowOff>190499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9D61ED38-E420-4852-B3DB-26516FD5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" y="11179342"/>
          <a:ext cx="2405313" cy="21366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tal/OneDrive/&#193;rea%20de%20Trabalho/Or&#231;amento/Novo(a)%20Planilha%20do%20Microsoft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ilha1"/>
      <sheetName val="Controle"/>
    </sheetNames>
    <sheetDataSet>
      <sheetData sheetId="0"/>
      <sheetData sheetId="1"/>
      <sheetData sheetId="2">
        <row r="1">
          <cell r="C1">
            <v>6.16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C67A-E8EB-413B-A840-85B093C8EBD5}">
  <sheetPr>
    <tabColor rgb="FF84C12A"/>
  </sheetPr>
  <dimension ref="A1:I69"/>
  <sheetViews>
    <sheetView tabSelected="1" topLeftCell="A10" zoomScale="93" zoomScaleNormal="93" workbookViewId="0">
      <selection activeCell="G26" sqref="G26:I28"/>
    </sheetView>
  </sheetViews>
  <sheetFormatPr defaultColWidth="0" defaultRowHeight="15"/>
  <cols>
    <col min="1" max="9" width="9.140625" customWidth="1"/>
    <col min="10" max="16384" width="9.140625" hidden="1"/>
  </cols>
  <sheetData>
    <row r="1" spans="1:9">
      <c r="A1" s="65"/>
      <c r="B1" s="65"/>
      <c r="C1" s="65"/>
      <c r="D1" s="65"/>
      <c r="E1" s="65"/>
      <c r="F1" s="65"/>
      <c r="G1" s="65"/>
      <c r="H1" s="65"/>
      <c r="I1" s="65"/>
    </row>
    <row r="2" spans="1:9">
      <c r="A2" s="65"/>
      <c r="B2" s="65"/>
      <c r="C2" s="65"/>
      <c r="D2" s="65"/>
      <c r="E2" s="65"/>
      <c r="F2" s="65"/>
      <c r="G2" s="65"/>
      <c r="H2" s="65"/>
      <c r="I2" s="65"/>
    </row>
    <row r="3" spans="1:9">
      <c r="A3" s="65"/>
      <c r="B3" s="65"/>
      <c r="C3" s="65"/>
      <c r="D3" s="65"/>
      <c r="E3" s="65"/>
      <c r="F3" s="65"/>
      <c r="G3" s="65"/>
      <c r="H3" s="65"/>
      <c r="I3" s="65"/>
    </row>
    <row r="4" spans="1:9">
      <c r="A4" s="65"/>
      <c r="B4" s="65"/>
      <c r="C4" s="65"/>
      <c r="D4" s="65"/>
      <c r="E4" s="65"/>
      <c r="F4" s="65"/>
      <c r="G4" s="65"/>
      <c r="H4" s="65"/>
      <c r="I4" s="65"/>
    </row>
    <row r="5" spans="1:9" ht="15.75" thickBot="1">
      <c r="A5" s="66"/>
      <c r="B5" s="66"/>
      <c r="C5" s="66"/>
      <c r="D5" s="66"/>
      <c r="E5" s="66"/>
      <c r="F5" s="66"/>
      <c r="G5" s="66"/>
      <c r="H5" s="66"/>
      <c r="I5" s="66"/>
    </row>
    <row r="6" spans="1:9">
      <c r="A6" s="65"/>
      <c r="B6" s="144" t="s">
        <v>102</v>
      </c>
      <c r="C6" s="145"/>
      <c r="D6" s="146"/>
      <c r="E6" s="65"/>
      <c r="F6" s="65"/>
      <c r="G6" s="144" t="s">
        <v>103</v>
      </c>
      <c r="H6" s="145"/>
      <c r="I6" s="146"/>
    </row>
    <row r="7" spans="1:9">
      <c r="A7" s="65"/>
      <c r="B7" s="196"/>
      <c r="C7" s="188"/>
      <c r="D7" s="189"/>
      <c r="E7" s="65"/>
      <c r="F7" s="65"/>
      <c r="G7" s="196" t="s">
        <v>104</v>
      </c>
      <c r="H7" s="188"/>
      <c r="I7" s="189"/>
    </row>
    <row r="8" spans="1:9" ht="15.75" thickBot="1">
      <c r="A8" s="65"/>
      <c r="B8" s="190"/>
      <c r="C8" s="191"/>
      <c r="D8" s="192"/>
      <c r="E8" s="65"/>
      <c r="F8" s="65"/>
      <c r="G8" s="190"/>
      <c r="H8" s="191"/>
      <c r="I8" s="192"/>
    </row>
    <row r="9" spans="1:9" ht="15.75" thickBot="1">
      <c r="A9" s="65"/>
      <c r="B9" s="65"/>
      <c r="C9" s="65"/>
      <c r="D9" s="65"/>
      <c r="E9" s="65"/>
      <c r="F9" s="65"/>
      <c r="G9" s="65"/>
      <c r="H9" s="65"/>
      <c r="I9" s="65"/>
    </row>
    <row r="10" spans="1:9">
      <c r="A10" s="65"/>
      <c r="B10" s="144" t="s">
        <v>105</v>
      </c>
      <c r="C10" s="145"/>
      <c r="D10" s="146"/>
      <c r="E10" s="65"/>
      <c r="F10" s="65"/>
      <c r="G10" s="144" t="s">
        <v>106</v>
      </c>
      <c r="H10" s="145"/>
      <c r="I10" s="146"/>
    </row>
    <row r="11" spans="1:9">
      <c r="A11" s="65"/>
      <c r="B11" s="181" t="s">
        <v>146</v>
      </c>
      <c r="C11" s="182"/>
      <c r="D11" s="183"/>
      <c r="E11" s="65"/>
      <c r="F11" s="65"/>
      <c r="G11" s="187">
        <f ca="1">TODAY()</f>
        <v>45486</v>
      </c>
      <c r="H11" s="188"/>
      <c r="I11" s="189"/>
    </row>
    <row r="12" spans="1:9" ht="15.75" thickBot="1">
      <c r="A12" s="65"/>
      <c r="B12" s="184"/>
      <c r="C12" s="185"/>
      <c r="D12" s="186"/>
      <c r="E12" s="65"/>
      <c r="F12" s="65"/>
      <c r="G12" s="190"/>
      <c r="H12" s="191"/>
      <c r="I12" s="192"/>
    </row>
    <row r="13" spans="1:9" ht="15.75" thickBot="1">
      <c r="A13" s="65"/>
      <c r="B13" s="65"/>
      <c r="C13" s="65"/>
      <c r="D13" s="65"/>
      <c r="E13" s="65"/>
      <c r="F13" s="65"/>
      <c r="G13" s="65"/>
      <c r="H13" s="65"/>
      <c r="I13" s="65"/>
    </row>
    <row r="14" spans="1:9">
      <c r="A14" s="65"/>
      <c r="B14" s="144" t="s">
        <v>107</v>
      </c>
      <c r="C14" s="145"/>
      <c r="D14" s="146"/>
      <c r="E14" s="65"/>
      <c r="F14" s="65"/>
      <c r="G14" s="144" t="s">
        <v>108</v>
      </c>
      <c r="H14" s="145"/>
      <c r="I14" s="146"/>
    </row>
    <row r="15" spans="1:9">
      <c r="A15" s="65"/>
      <c r="B15" s="193">
        <v>1.28</v>
      </c>
      <c r="C15" s="194"/>
      <c r="D15" s="195"/>
      <c r="E15" s="65"/>
      <c r="F15" s="65"/>
      <c r="G15" s="193">
        <v>50</v>
      </c>
      <c r="H15" s="194"/>
      <c r="I15" s="195"/>
    </row>
    <row r="16" spans="1:9" ht="15.75" thickBot="1">
      <c r="A16" s="65"/>
      <c r="B16" s="193"/>
      <c r="C16" s="194"/>
      <c r="D16" s="195"/>
      <c r="E16" s="65"/>
      <c r="F16" s="65"/>
      <c r="G16" s="193"/>
      <c r="H16" s="194"/>
      <c r="I16" s="195"/>
    </row>
    <row r="17" spans="1:9" ht="15.75" thickBot="1">
      <c r="A17" s="67"/>
      <c r="B17" s="68"/>
      <c r="C17" s="68"/>
      <c r="D17" s="69"/>
      <c r="E17" s="69"/>
      <c r="F17" s="69"/>
      <c r="G17" s="69"/>
      <c r="H17" s="69"/>
      <c r="I17" s="70"/>
    </row>
    <row r="18" spans="1:9" ht="15.75" thickBot="1">
      <c r="C18" s="71"/>
      <c r="D18" s="168" t="s">
        <v>109</v>
      </c>
      <c r="E18" s="169"/>
      <c r="F18" s="170"/>
      <c r="G18" s="170"/>
      <c r="H18" s="170"/>
      <c r="I18" s="171"/>
    </row>
    <row r="19" spans="1:9" ht="15.75" thickBot="1">
      <c r="C19" s="71"/>
      <c r="D19" s="72" t="s">
        <v>110</v>
      </c>
      <c r="E19" s="73">
        <v>2000</v>
      </c>
      <c r="F19" s="74" t="s">
        <v>111</v>
      </c>
      <c r="G19" s="73">
        <v>2000</v>
      </c>
      <c r="H19" s="75" t="s">
        <v>112</v>
      </c>
      <c r="I19" s="73">
        <v>2000</v>
      </c>
    </row>
    <row r="20" spans="1:9" ht="15.75" thickBot="1">
      <c r="C20" s="71"/>
      <c r="D20" s="76" t="s">
        <v>113</v>
      </c>
      <c r="E20" s="73">
        <v>2000</v>
      </c>
      <c r="F20" s="76" t="s">
        <v>114</v>
      </c>
      <c r="G20" s="73">
        <v>2000</v>
      </c>
      <c r="H20" s="76" t="s">
        <v>115</v>
      </c>
      <c r="I20" s="73">
        <v>2000</v>
      </c>
    </row>
    <row r="21" spans="1:9" ht="15.75" thickBot="1">
      <c r="C21" s="71"/>
      <c r="D21" s="76" t="s">
        <v>116</v>
      </c>
      <c r="E21" s="73">
        <v>2000</v>
      </c>
      <c r="F21" s="76" t="s">
        <v>117</v>
      </c>
      <c r="G21" s="73">
        <v>2000</v>
      </c>
      <c r="H21" s="76" t="s">
        <v>118</v>
      </c>
      <c r="I21" s="73">
        <v>2000</v>
      </c>
    </row>
    <row r="22" spans="1:9" ht="15.75" thickBot="1">
      <c r="C22" s="71"/>
      <c r="D22" s="77" t="s">
        <v>119</v>
      </c>
      <c r="E22" s="73">
        <v>2000</v>
      </c>
      <c r="F22" s="78" t="s">
        <v>120</v>
      </c>
      <c r="G22" s="73">
        <v>2000</v>
      </c>
      <c r="H22" s="79" t="s">
        <v>121</v>
      </c>
      <c r="I22" s="73">
        <v>2000</v>
      </c>
    </row>
    <row r="23" spans="1:9" ht="15.75" thickBot="1">
      <c r="A23" s="66"/>
      <c r="B23" s="66"/>
      <c r="C23" s="66"/>
      <c r="D23" s="66"/>
      <c r="E23" s="66"/>
      <c r="F23" s="66"/>
      <c r="G23" s="66"/>
      <c r="H23" s="66"/>
      <c r="I23" s="66"/>
    </row>
    <row r="24" spans="1:9" ht="15.75" thickBot="1">
      <c r="D24" s="120" t="s">
        <v>122</v>
      </c>
      <c r="E24" s="121"/>
      <c r="F24" s="121"/>
      <c r="G24" s="121"/>
      <c r="H24" s="121"/>
      <c r="I24" s="122"/>
    </row>
    <row r="25" spans="1:9" ht="15.75" thickBot="1">
      <c r="D25" s="120" t="s">
        <v>123</v>
      </c>
      <c r="E25" s="121"/>
      <c r="F25" s="121"/>
      <c r="G25" s="120" t="s">
        <v>124</v>
      </c>
      <c r="H25" s="121"/>
      <c r="I25" s="122"/>
    </row>
    <row r="26" spans="1:9">
      <c r="D26" s="156">
        <f>SUM(E19:E22,G19:G22,I19:I22)</f>
        <v>24000</v>
      </c>
      <c r="E26" s="165"/>
      <c r="F26" s="165"/>
      <c r="G26" s="172"/>
      <c r="H26" s="173"/>
      <c r="I26" s="174"/>
    </row>
    <row r="27" spans="1:9">
      <c r="D27" s="157"/>
      <c r="E27" s="166"/>
      <c r="F27" s="166"/>
      <c r="G27" s="175"/>
      <c r="H27" s="176"/>
      <c r="I27" s="177"/>
    </row>
    <row r="28" spans="1:9" ht="15.75" thickBot="1">
      <c r="D28" s="158"/>
      <c r="E28" s="167"/>
      <c r="F28" s="167"/>
      <c r="G28" s="178"/>
      <c r="H28" s="179"/>
      <c r="I28" s="180"/>
    </row>
    <row r="29" spans="1:9" ht="15.75" thickBot="1">
      <c r="A29" s="66"/>
      <c r="B29" s="66"/>
      <c r="C29" s="66"/>
      <c r="D29" s="66"/>
      <c r="E29" s="66"/>
      <c r="F29" s="66"/>
      <c r="G29" s="66"/>
      <c r="H29" s="66"/>
      <c r="I29" s="66"/>
    </row>
    <row r="30" spans="1:9" ht="15.75" thickBot="1">
      <c r="A30" s="80"/>
      <c r="B30" s="80"/>
      <c r="C30" s="81"/>
      <c r="D30" s="120" t="s">
        <v>125</v>
      </c>
      <c r="E30" s="121"/>
      <c r="F30" s="121"/>
      <c r="G30" s="121"/>
      <c r="H30" s="121"/>
      <c r="I30" s="122"/>
    </row>
    <row r="31" spans="1:9">
      <c r="A31" s="80"/>
      <c r="B31" s="80"/>
      <c r="C31" s="80"/>
      <c r="D31" s="156" t="s">
        <v>126</v>
      </c>
      <c r="E31" s="159">
        <f>G26/120</f>
        <v>0</v>
      </c>
      <c r="F31" s="162" t="s">
        <v>127</v>
      </c>
      <c r="G31" s="165" t="s">
        <v>128</v>
      </c>
      <c r="H31" s="159">
        <f>G26/125</f>
        <v>0</v>
      </c>
      <c r="I31" s="162" t="s">
        <v>127</v>
      </c>
    </row>
    <row r="32" spans="1:9">
      <c r="A32" s="80"/>
      <c r="B32" s="80"/>
      <c r="C32" s="82"/>
      <c r="D32" s="157"/>
      <c r="E32" s="160"/>
      <c r="F32" s="163"/>
      <c r="G32" s="166"/>
      <c r="H32" s="160"/>
      <c r="I32" s="163"/>
    </row>
    <row r="33" spans="1:9" ht="15.75" thickBot="1">
      <c r="D33" s="158"/>
      <c r="E33" s="161"/>
      <c r="F33" s="164"/>
      <c r="G33" s="167"/>
      <c r="H33" s="161"/>
      <c r="I33" s="164"/>
    </row>
    <row r="34" spans="1:9" ht="15.75" thickBot="1">
      <c r="A34" s="66"/>
      <c r="B34" s="66"/>
      <c r="C34" s="66"/>
      <c r="D34" s="66"/>
      <c r="E34" s="66"/>
      <c r="F34" s="66"/>
      <c r="G34" s="66"/>
      <c r="H34" s="66"/>
      <c r="I34" s="66"/>
    </row>
    <row r="35" spans="1:9" ht="15.75" thickBot="1">
      <c r="D35" s="120" t="s">
        <v>88</v>
      </c>
      <c r="E35" s="121"/>
      <c r="F35" s="121"/>
      <c r="G35" s="121"/>
      <c r="H35" s="147" t="str">
        <f>H38*H39/1000 &amp;" kWp"</f>
        <v>0 kWp</v>
      </c>
      <c r="I35" s="148"/>
    </row>
    <row r="36" spans="1:9" ht="15.75" thickBot="1">
      <c r="D36" s="144" t="s">
        <v>129</v>
      </c>
      <c r="E36" s="145"/>
      <c r="F36" s="145"/>
      <c r="G36" s="144" t="s">
        <v>130</v>
      </c>
      <c r="H36" s="149"/>
      <c r="I36" s="150"/>
    </row>
    <row r="37" spans="1:9">
      <c r="D37" s="83" t="s">
        <v>131</v>
      </c>
      <c r="E37" s="151"/>
      <c r="F37" s="152"/>
      <c r="G37" s="83" t="s">
        <v>131</v>
      </c>
      <c r="H37" s="151"/>
      <c r="I37" s="152"/>
    </row>
    <row r="38" spans="1:9">
      <c r="D38" s="84" t="s">
        <v>132</v>
      </c>
      <c r="E38" s="153"/>
      <c r="F38" s="154"/>
      <c r="G38" s="84" t="s">
        <v>132</v>
      </c>
      <c r="H38" s="153"/>
      <c r="I38" s="154"/>
    </row>
    <row r="39" spans="1:9" ht="15.75" thickBot="1">
      <c r="D39" s="84" t="s">
        <v>133</v>
      </c>
      <c r="E39" s="153"/>
      <c r="F39" s="154"/>
      <c r="G39" s="84" t="s">
        <v>133</v>
      </c>
      <c r="H39" s="153"/>
      <c r="I39" s="154"/>
    </row>
    <row r="40" spans="1:9" ht="15.75" thickBot="1">
      <c r="A40" s="67"/>
      <c r="B40" s="68"/>
      <c r="C40" s="68"/>
      <c r="D40" s="68"/>
      <c r="E40" s="68"/>
      <c r="F40" s="68"/>
      <c r="G40" s="68"/>
      <c r="H40" s="68"/>
      <c r="I40" s="85"/>
    </row>
    <row r="41" spans="1:9" ht="15.75" thickBot="1">
      <c r="D41" s="155" t="s">
        <v>134</v>
      </c>
      <c r="E41" s="149"/>
      <c r="F41" s="149"/>
      <c r="G41" s="149"/>
      <c r="H41" s="149"/>
      <c r="I41" s="150"/>
    </row>
    <row r="42" spans="1:9" ht="15.75" thickBot="1">
      <c r="D42" s="72" t="s">
        <v>110</v>
      </c>
      <c r="E42" s="86">
        <f>[1]Controle!$C$1*116.36</f>
        <v>716.77760000000001</v>
      </c>
      <c r="F42" s="74" t="s">
        <v>111</v>
      </c>
      <c r="G42" s="87">
        <f>[1]Controle!$C$1*126.74</f>
        <v>780.71839999999997</v>
      </c>
      <c r="H42" s="75" t="s">
        <v>112</v>
      </c>
      <c r="I42" s="88">
        <f>[1]Controle!$C$1*162.18</f>
        <v>999.02880000000005</v>
      </c>
    </row>
    <row r="43" spans="1:9" ht="15.75" thickBot="1">
      <c r="D43" s="89" t="s">
        <v>113</v>
      </c>
      <c r="E43" s="90">
        <f>[1]Controle!$C$1*126.74</f>
        <v>780.71839999999997</v>
      </c>
      <c r="F43" s="91" t="s">
        <v>114</v>
      </c>
      <c r="G43" s="92">
        <f>[1]Controle!$C$1*132.6</f>
        <v>816.81600000000003</v>
      </c>
      <c r="H43" s="76" t="s">
        <v>115</v>
      </c>
      <c r="I43" s="93">
        <f>[1]Controle!$C$1*152.24</f>
        <v>937.79840000000013</v>
      </c>
    </row>
    <row r="44" spans="1:9" ht="15.75" thickBot="1">
      <c r="D44" s="89" t="s">
        <v>116</v>
      </c>
      <c r="E44" s="90">
        <f>[1]Controle!$C$1*127.79</f>
        <v>787.18640000000005</v>
      </c>
      <c r="F44" s="91" t="s">
        <v>117</v>
      </c>
      <c r="G44" s="92">
        <f>[1]Controle!$C$1*140.51</f>
        <v>865.54160000000002</v>
      </c>
      <c r="H44" s="76" t="s">
        <v>118</v>
      </c>
      <c r="I44" s="93">
        <f>[1]Controle!$C$1*142.29</f>
        <v>876.50639999999999</v>
      </c>
    </row>
    <row r="45" spans="1:9" ht="15.75" thickBot="1">
      <c r="D45" s="77" t="s">
        <v>119</v>
      </c>
      <c r="E45" s="94">
        <f>[1]Controle!$C$1*126.23</f>
        <v>777.57680000000005</v>
      </c>
      <c r="F45" s="78" t="s">
        <v>120</v>
      </c>
      <c r="G45" s="95">
        <f>[1]Controle!$C$1*155.3</f>
        <v>956.64800000000014</v>
      </c>
      <c r="H45" s="79" t="s">
        <v>121</v>
      </c>
      <c r="I45" s="96">
        <f>[1]Controle!$C$1*131.33</f>
        <v>808.9928000000001</v>
      </c>
    </row>
    <row r="46" spans="1:9" ht="15.75" thickBot="1">
      <c r="A46" s="66"/>
      <c r="B46" s="66"/>
      <c r="C46" s="66"/>
      <c r="D46" s="66"/>
      <c r="E46" s="66"/>
      <c r="F46" s="66"/>
      <c r="G46" s="66"/>
      <c r="H46" s="66"/>
      <c r="I46" s="66"/>
    </row>
    <row r="47" spans="1:9" ht="15.75" thickBot="1">
      <c r="D47" s="144" t="s">
        <v>135</v>
      </c>
      <c r="E47" s="145"/>
      <c r="F47" s="145"/>
      <c r="G47" s="145"/>
      <c r="H47" s="145"/>
      <c r="I47" s="146"/>
    </row>
    <row r="48" spans="1:9">
      <c r="D48" s="138" t="s">
        <v>136</v>
      </c>
      <c r="E48" s="139"/>
      <c r="F48" s="140"/>
      <c r="G48" s="141">
        <v>18500</v>
      </c>
      <c r="H48" s="142"/>
      <c r="I48" s="143"/>
    </row>
    <row r="49" spans="1:9">
      <c r="D49" s="109" t="s">
        <v>137</v>
      </c>
      <c r="E49" s="110"/>
      <c r="F49" s="111"/>
      <c r="G49" s="112">
        <f>G48*0.08</f>
        <v>1480</v>
      </c>
      <c r="H49" s="113"/>
      <c r="I49" s="114"/>
    </row>
    <row r="50" spans="1:9">
      <c r="D50" s="109" t="s">
        <v>138</v>
      </c>
      <c r="E50" s="110"/>
      <c r="F50" s="111"/>
      <c r="G50" s="112">
        <f>H39*100</f>
        <v>0</v>
      </c>
      <c r="H50" s="113"/>
      <c r="I50" s="114"/>
    </row>
    <row r="51" spans="1:9">
      <c r="D51" s="109" t="s">
        <v>139</v>
      </c>
      <c r="E51" s="110"/>
      <c r="F51" s="111"/>
      <c r="G51" s="112">
        <f>100*[1]Controle!C1</f>
        <v>616</v>
      </c>
      <c r="H51" s="113"/>
      <c r="I51" s="114"/>
    </row>
    <row r="52" spans="1:9">
      <c r="D52" s="109" t="s">
        <v>140</v>
      </c>
      <c r="E52" s="110"/>
      <c r="F52" s="111"/>
      <c r="G52" s="97">
        <v>0.05</v>
      </c>
      <c r="H52" s="113">
        <f>G52*SUM(G48:I51)</f>
        <v>1029.8</v>
      </c>
      <c r="I52" s="114"/>
    </row>
    <row r="53" spans="1:9" ht="15.75" thickBot="1">
      <c r="D53" s="115" t="s">
        <v>141</v>
      </c>
      <c r="E53" s="116"/>
      <c r="F53" s="117"/>
      <c r="G53" s="98">
        <v>0</v>
      </c>
      <c r="H53" s="118">
        <f>G53*SUM(G48:I51,H52)</f>
        <v>0</v>
      </c>
      <c r="I53" s="119"/>
    </row>
    <row r="54" spans="1:9">
      <c r="A54" s="65"/>
      <c r="B54" s="65"/>
      <c r="C54" s="65"/>
      <c r="D54" s="65"/>
      <c r="E54" s="65"/>
      <c r="F54" s="65"/>
      <c r="G54" s="65"/>
      <c r="H54" s="65"/>
      <c r="I54" s="65"/>
    </row>
    <row r="55" spans="1:9">
      <c r="A55" s="65"/>
      <c r="B55" s="65"/>
      <c r="C55" s="65"/>
      <c r="D55" s="65"/>
      <c r="E55" s="65"/>
      <c r="F55" s="65"/>
      <c r="G55" s="65"/>
      <c r="H55" s="65"/>
      <c r="I55" s="65"/>
    </row>
    <row r="56" spans="1:9">
      <c r="A56" s="65"/>
      <c r="B56" s="65"/>
      <c r="C56" s="65"/>
      <c r="D56" s="65"/>
      <c r="E56" s="65"/>
      <c r="F56" s="65"/>
      <c r="G56" s="65"/>
      <c r="H56" s="65"/>
      <c r="I56" s="65"/>
    </row>
    <row r="57" spans="1:9" ht="15.75" thickBot="1">
      <c r="A57" s="65"/>
      <c r="B57" s="65"/>
      <c r="C57" s="65"/>
      <c r="D57" s="65"/>
      <c r="E57" s="65"/>
      <c r="F57" s="65"/>
      <c r="G57" s="65"/>
      <c r="H57" s="65"/>
      <c r="I57" s="65"/>
    </row>
    <row r="58" spans="1:9" ht="15.75" thickBot="1">
      <c r="E58" s="120" t="s">
        <v>142</v>
      </c>
      <c r="F58" s="121"/>
      <c r="G58" s="121"/>
      <c r="H58" s="121"/>
      <c r="I58" s="122"/>
    </row>
    <row r="59" spans="1:9">
      <c r="E59" s="123"/>
      <c r="F59" s="124"/>
      <c r="G59" s="124"/>
      <c r="H59" s="124"/>
      <c r="I59" s="125"/>
    </row>
    <row r="60" spans="1:9" ht="15.75" thickBot="1">
      <c r="E60" s="126"/>
      <c r="F60" s="127"/>
      <c r="G60" s="127"/>
      <c r="H60" s="127"/>
      <c r="I60" s="128"/>
    </row>
    <row r="61" spans="1:9" ht="15.75" thickBot="1">
      <c r="E61" s="129" t="s">
        <v>143</v>
      </c>
      <c r="F61" s="130"/>
      <c r="G61" s="130"/>
      <c r="H61" s="130"/>
      <c r="I61" s="131"/>
    </row>
    <row r="62" spans="1:9">
      <c r="E62" s="132">
        <f>SUM(G48:I51,H52:I53)</f>
        <v>21625.8</v>
      </c>
      <c r="F62" s="133"/>
      <c r="G62" s="133"/>
      <c r="H62" s="133"/>
      <c r="I62" s="134"/>
    </row>
    <row r="63" spans="1:9" ht="15.75" thickBot="1">
      <c r="E63" s="135"/>
      <c r="F63" s="136"/>
      <c r="G63" s="136"/>
      <c r="H63" s="136"/>
      <c r="I63" s="137"/>
    </row>
    <row r="64" spans="1:9" ht="15.75" thickBot="1">
      <c r="E64" s="120" t="s">
        <v>144</v>
      </c>
      <c r="F64" s="121"/>
      <c r="G64" s="121"/>
      <c r="H64" s="121"/>
      <c r="I64" s="122"/>
    </row>
    <row r="65" spans="1:9">
      <c r="E65" s="100">
        <f>E59-E62</f>
        <v>-21625.8</v>
      </c>
      <c r="F65" s="101"/>
      <c r="G65" s="101"/>
      <c r="H65" s="101"/>
      <c r="I65" s="102"/>
    </row>
    <row r="66" spans="1:9">
      <c r="E66" s="103"/>
      <c r="F66" s="104"/>
      <c r="G66" s="104"/>
      <c r="H66" s="104"/>
      <c r="I66" s="105"/>
    </row>
    <row r="67" spans="1:9">
      <c r="E67" s="103"/>
      <c r="F67" s="104"/>
      <c r="G67" s="104"/>
      <c r="H67" s="104"/>
      <c r="I67" s="105"/>
    </row>
    <row r="68" spans="1:9" ht="15.75" thickBot="1">
      <c r="E68" s="106"/>
      <c r="F68" s="107"/>
      <c r="G68" s="107"/>
      <c r="H68" s="107"/>
      <c r="I68" s="108"/>
    </row>
    <row r="69" spans="1:9">
      <c r="A69" s="66"/>
      <c r="B69" s="66"/>
      <c r="C69" s="66"/>
      <c r="D69" s="66"/>
      <c r="E69" s="66"/>
      <c r="F69" s="66"/>
      <c r="G69" s="66"/>
      <c r="H69" s="66"/>
      <c r="I69" s="66"/>
    </row>
  </sheetData>
  <mergeCells count="55">
    <mergeCell ref="B6:D6"/>
    <mergeCell ref="G6:I6"/>
    <mergeCell ref="B7:D8"/>
    <mergeCell ref="G7:I8"/>
    <mergeCell ref="B10:D10"/>
    <mergeCell ref="G10:I10"/>
    <mergeCell ref="B11:D12"/>
    <mergeCell ref="G11:I12"/>
    <mergeCell ref="B14:D14"/>
    <mergeCell ref="G14:I14"/>
    <mergeCell ref="B15:D16"/>
    <mergeCell ref="G15:I16"/>
    <mergeCell ref="D18:I18"/>
    <mergeCell ref="D24:I24"/>
    <mergeCell ref="D25:F25"/>
    <mergeCell ref="G25:I25"/>
    <mergeCell ref="D26:F28"/>
    <mergeCell ref="G26:I28"/>
    <mergeCell ref="D30:I30"/>
    <mergeCell ref="D31:D33"/>
    <mergeCell ref="E31:E33"/>
    <mergeCell ref="F31:F33"/>
    <mergeCell ref="G31:G33"/>
    <mergeCell ref="H31:H33"/>
    <mergeCell ref="I31:I33"/>
    <mergeCell ref="D47:I47"/>
    <mergeCell ref="D35:G35"/>
    <mergeCell ref="H35:I35"/>
    <mergeCell ref="D36:F36"/>
    <mergeCell ref="G36:I36"/>
    <mergeCell ref="E37:F37"/>
    <mergeCell ref="H37:I37"/>
    <mergeCell ref="E38:F38"/>
    <mergeCell ref="H38:I38"/>
    <mergeCell ref="E39:F39"/>
    <mergeCell ref="H39:I39"/>
    <mergeCell ref="D41:I41"/>
    <mergeCell ref="D48:F48"/>
    <mergeCell ref="G48:I48"/>
    <mergeCell ref="D49:F49"/>
    <mergeCell ref="G49:I49"/>
    <mergeCell ref="D50:F50"/>
    <mergeCell ref="G50:I50"/>
    <mergeCell ref="E65:I68"/>
    <mergeCell ref="D51:F51"/>
    <mergeCell ref="G51:I51"/>
    <mergeCell ref="D52:F52"/>
    <mergeCell ref="H52:I52"/>
    <mergeCell ref="D53:F53"/>
    <mergeCell ref="H53:I53"/>
    <mergeCell ref="E58:I58"/>
    <mergeCell ref="E59:I60"/>
    <mergeCell ref="E61:I61"/>
    <mergeCell ref="E62:I63"/>
    <mergeCell ref="E64:I64"/>
  </mergeCells>
  <conditionalFormatting sqref="H35">
    <cfRule type="cellIs" dxfId="5" priority="4" operator="between">
      <formula>$H$31</formula>
      <formula>$E$31</formula>
    </cfRule>
    <cfRule type="cellIs" dxfId="4" priority="5" operator="greaterThan">
      <formula>$E$31</formula>
    </cfRule>
    <cfRule type="cellIs" dxfId="3" priority="6" operator="lessThan">
      <formula>$H$31</formula>
    </cfRule>
  </conditionalFormatting>
  <conditionalFormatting sqref="E65">
    <cfRule type="cellIs" dxfId="2" priority="1" operator="between">
      <formula>$G$64-$E$62</formula>
      <formula>$G$62-$E$62</formula>
    </cfRule>
    <cfRule type="cellIs" dxfId="1" priority="2" operator="greaterThan">
      <formula>$G$62-$E$62</formula>
    </cfRule>
    <cfRule type="cellIs" dxfId="0" priority="3" operator="lessThanOrEqual">
      <formula>$G$64-$E$62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92A5EE-533A-47E5-92CC-F9D6ACC65915}">
          <x14:formula1>
            <xm:f>CONTROLE!$N$1:$N$2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CB71-DED2-4967-88D0-6EAAE42CE4B1}">
  <sheetPr>
    <tabColor rgb="FF84C12A"/>
    <pageSetUpPr fitToPage="1"/>
  </sheetPr>
  <dimension ref="A1:K198"/>
  <sheetViews>
    <sheetView showGridLines="0" view="pageLayout" zoomScaleNormal="100" workbookViewId="0">
      <selection activeCell="L10" sqref="L10"/>
    </sheetView>
  </sheetViews>
  <sheetFormatPr defaultRowHeight="15"/>
  <cols>
    <col min="1" max="6" width="9.140625" style="52"/>
    <col min="7" max="7" width="5" style="52" bestFit="1" customWidth="1"/>
    <col min="8" max="8" width="5.42578125" style="52" bestFit="1" customWidth="1"/>
    <col min="9" max="9" width="6.5703125" style="52" customWidth="1"/>
    <col min="10" max="16384" width="9.140625" style="52"/>
  </cols>
  <sheetData>
    <row r="1" spans="1:11" ht="15" customHeight="1">
      <c r="J1" s="99"/>
    </row>
    <row r="2" spans="1:11" ht="15" customHeight="1">
      <c r="A2" s="63"/>
      <c r="K2" s="63"/>
    </row>
    <row r="3" spans="1:11" ht="22.5">
      <c r="A3" s="63"/>
      <c r="E3" s="99"/>
      <c r="F3" s="99"/>
      <c r="G3" s="99"/>
      <c r="H3" s="99"/>
      <c r="I3" s="99"/>
      <c r="J3" s="99"/>
      <c r="K3" s="63"/>
    </row>
    <row r="6" spans="1:11" ht="22.5">
      <c r="G6" s="99" t="str">
        <f>INICIAL!B7&amp;" "&amp;INICIAL!G26&amp;" "&amp;"kWh/mês"</f>
        <v xml:space="preserve">  kWh/mês</v>
      </c>
      <c r="I6" s="55"/>
    </row>
    <row r="8" spans="1:11">
      <c r="H8" s="55"/>
    </row>
    <row r="37" spans="1:11" ht="21">
      <c r="A37" s="200" t="str">
        <f>"ORÇAMENTO SISTEMA FOTOVOLTAICO "&amp;INICIAL!H35</f>
        <v>ORÇAMENTO SISTEMA FOTOVOLTAICO 0 kWp</v>
      </c>
      <c r="B37" s="200"/>
      <c r="C37" s="200"/>
      <c r="D37" s="200"/>
      <c r="E37" s="200"/>
      <c r="F37" s="200"/>
      <c r="G37" s="200"/>
      <c r="H37" s="200"/>
      <c r="I37" s="200"/>
      <c r="J37" s="200"/>
      <c r="K37" s="200"/>
    </row>
    <row r="45" spans="1:11" ht="15.7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</row>
    <row r="46" spans="1:11">
      <c r="C46" s="55"/>
    </row>
    <row r="51" spans="1:11" ht="20.25" customHeight="1"/>
    <row r="52" spans="1:11" ht="15" customHeight="1">
      <c r="A52" s="205" t="s">
        <v>89</v>
      </c>
      <c r="B52" s="205"/>
      <c r="C52" s="205"/>
      <c r="D52" s="205"/>
      <c r="E52" s="205"/>
      <c r="F52" s="205"/>
      <c r="G52" s="205"/>
      <c r="H52" s="205"/>
      <c r="I52" s="205"/>
      <c r="J52" s="205"/>
    </row>
    <row r="53" spans="1:11" ht="15" customHeight="1">
      <c r="A53" s="205"/>
      <c r="B53" s="205"/>
      <c r="C53" s="205"/>
      <c r="D53" s="205"/>
      <c r="E53" s="205"/>
      <c r="F53" s="205"/>
      <c r="G53" s="205"/>
      <c r="H53" s="205"/>
      <c r="I53" s="205"/>
      <c r="J53" s="205"/>
    </row>
    <row r="54" spans="1:11" ht="15.75">
      <c r="A54" s="204" t="str">
        <f>"POTÊNCIA: "&amp;INICIAL!H35</f>
        <v>POTÊNCIA: 0 kWp</v>
      </c>
      <c r="B54" s="204"/>
      <c r="C54" s="204"/>
      <c r="D54" s="204"/>
      <c r="E54" s="204"/>
      <c r="F54" s="204"/>
      <c r="G54" s="204"/>
      <c r="H54" s="204"/>
      <c r="I54" s="204"/>
      <c r="J54" s="204"/>
      <c r="K54" s="204"/>
    </row>
    <row r="55" spans="1:11" ht="15" customHeight="1">
      <c r="A55" s="202" t="str">
        <f>"QUANT. DE PAINÉIS: "&amp;INICIAL!H39 &amp;" Módulos"</f>
        <v>QUANT. DE PAINÉIS:  Módulos</v>
      </c>
      <c r="B55" s="202"/>
      <c r="C55" s="202"/>
      <c r="D55" s="202"/>
      <c r="E55" s="202"/>
      <c r="F55" s="202"/>
      <c r="G55" s="202"/>
      <c r="H55" s="202"/>
      <c r="I55" s="202"/>
      <c r="J55" s="202"/>
    </row>
    <row r="56" spans="1:11" ht="15" customHeight="1">
      <c r="A56" s="203" t="str">
        <f>"POTÊNCIA DOS PAINEIS: "&amp;INICIAL!H38 &amp;" W"</f>
        <v>POTÊNCIA DOS PAINEIS:  W</v>
      </c>
      <c r="B56" s="203"/>
      <c r="C56" s="203"/>
      <c r="D56" s="203"/>
      <c r="E56" s="203"/>
      <c r="F56" s="203"/>
      <c r="G56" s="203"/>
      <c r="H56" s="203"/>
      <c r="I56" s="203"/>
      <c r="J56" s="203"/>
    </row>
    <row r="57" spans="1:11" ht="15.75">
      <c r="A57" s="203" t="str">
        <f>"GERAÇÃO MENSAL: "&amp;INICIAL!G26 &amp;" kWh"</f>
        <v>GERAÇÃO MENSAL:  kWh</v>
      </c>
      <c r="B57" s="203"/>
      <c r="C57" s="203"/>
      <c r="D57" s="203"/>
      <c r="E57" s="203"/>
      <c r="F57" s="203"/>
      <c r="G57" s="203"/>
      <c r="H57" s="203"/>
      <c r="I57" s="203"/>
      <c r="J57" s="203"/>
    </row>
    <row r="58" spans="1:11" ht="15.75">
      <c r="A58" s="202" t="str">
        <f>"GERAÇÃO ANUAL: "&amp;INICIAL!D26 &amp;" kWh"</f>
        <v>GERAÇÃO ANUAL: 24000 kWh</v>
      </c>
      <c r="B58" s="202"/>
      <c r="C58" s="202"/>
      <c r="D58" s="202"/>
      <c r="E58" s="202"/>
      <c r="F58" s="202"/>
      <c r="G58" s="202"/>
      <c r="H58" s="202"/>
      <c r="I58" s="202"/>
      <c r="J58" s="202"/>
    </row>
    <row r="59" spans="1:11" ht="15.75">
      <c r="A59" s="202" t="str">
        <f>"ÁREA NECESSÁRIA: "&amp;INICIAL!H39*2.3&amp;" m²"</f>
        <v>ÁREA NECESSÁRIA: 0 m²</v>
      </c>
      <c r="B59" s="202"/>
      <c r="C59" s="202"/>
      <c r="D59" s="202"/>
      <c r="E59" s="202"/>
      <c r="F59" s="202"/>
      <c r="G59" s="202"/>
      <c r="H59" s="202"/>
      <c r="I59" s="202"/>
      <c r="J59" s="202"/>
    </row>
    <row r="60" spans="1:11" ht="15.75">
      <c r="A60" s="202"/>
      <c r="B60" s="202"/>
      <c r="C60" s="202"/>
      <c r="D60" s="202"/>
      <c r="E60" s="202"/>
      <c r="F60" s="202"/>
      <c r="G60" s="202"/>
      <c r="H60" s="202"/>
      <c r="I60" s="202"/>
      <c r="J60" s="202"/>
    </row>
    <row r="61" spans="1:11">
      <c r="A61" s="201"/>
      <c r="B61" s="201"/>
      <c r="C61" s="201"/>
      <c r="D61" s="201"/>
      <c r="E61" s="201"/>
      <c r="F61" s="201"/>
      <c r="G61" s="201"/>
      <c r="H61" s="201"/>
      <c r="I61" s="201"/>
      <c r="J61" s="201"/>
    </row>
    <row r="62" spans="1:11">
      <c r="A62" s="206" t="str">
        <f>"O gerador de energia fotovoltaico de "&amp; INICIAL!H35 &amp;" kWp é composto por:"</f>
        <v>O gerador de energia fotovoltaico de 0 kWp kWp é composto por:</v>
      </c>
      <c r="B62" s="206"/>
      <c r="C62" s="206"/>
      <c r="D62" s="206"/>
      <c r="E62" s="206"/>
      <c r="F62" s="206"/>
      <c r="G62" s="206"/>
      <c r="H62" s="206"/>
      <c r="I62" s="206"/>
      <c r="J62" s="206"/>
      <c r="K62" s="206"/>
    </row>
    <row r="67" spans="1:11" ht="15" customHeight="1">
      <c r="A67" s="205" t="s">
        <v>88</v>
      </c>
      <c r="B67" s="205"/>
      <c r="C67" s="205"/>
      <c r="D67" s="205"/>
      <c r="E67" s="205"/>
      <c r="F67" s="205"/>
      <c r="G67" s="205"/>
      <c r="H67" s="205"/>
      <c r="I67" s="205"/>
    </row>
    <row r="68" spans="1:11">
      <c r="A68" s="205"/>
      <c r="B68" s="205"/>
      <c r="C68" s="205"/>
      <c r="D68" s="205"/>
      <c r="E68" s="205"/>
      <c r="F68" s="205"/>
      <c r="G68" s="205"/>
      <c r="H68" s="205"/>
      <c r="I68" s="205"/>
    </row>
    <row r="69" spans="1:11" ht="15" customHeight="1"/>
    <row r="70" spans="1:11">
      <c r="A70" s="217" t="s">
        <v>87</v>
      </c>
      <c r="B70" s="217"/>
      <c r="C70" s="217"/>
      <c r="D70" s="217"/>
      <c r="E70" s="217"/>
      <c r="F70" s="217"/>
      <c r="G70" s="217"/>
      <c r="H70" s="217"/>
      <c r="I70" s="217"/>
      <c r="J70" s="60" t="s">
        <v>86</v>
      </c>
      <c r="K70" s="60" t="s">
        <v>85</v>
      </c>
    </row>
    <row r="71" spans="1:11" ht="15" customHeight="1">
      <c r="A71" s="218">
        <f>INICIAL!E37</f>
        <v>0</v>
      </c>
      <c r="B71" s="218"/>
      <c r="C71" s="218"/>
      <c r="D71" s="218"/>
      <c r="E71" s="218"/>
      <c r="F71" s="218"/>
      <c r="G71" s="218"/>
      <c r="H71" s="218"/>
      <c r="I71" s="218"/>
      <c r="J71" s="217" t="s">
        <v>81</v>
      </c>
      <c r="K71" s="217">
        <f>INICIAL!E39</f>
        <v>0</v>
      </c>
    </row>
    <row r="72" spans="1:11" ht="15" customHeight="1">
      <c r="A72" s="218"/>
      <c r="B72" s="218"/>
      <c r="C72" s="218"/>
      <c r="D72" s="218"/>
      <c r="E72" s="218"/>
      <c r="F72" s="218"/>
      <c r="G72" s="218"/>
      <c r="H72" s="218"/>
      <c r="I72" s="218"/>
      <c r="J72" s="217"/>
      <c r="K72" s="217"/>
    </row>
    <row r="73" spans="1:11" ht="15" customHeight="1">
      <c r="A73" s="218" t="str">
        <f>"PAINEL "&amp; INICIAL!H37&amp; " "&amp;INICIAL!H38 &amp; "W (GARANTIA - 25 ANOS) "</f>
        <v xml:space="preserve">PAINEL  W (GARANTIA - 25 ANOS) </v>
      </c>
      <c r="B73" s="219"/>
      <c r="C73" s="219"/>
      <c r="D73" s="219"/>
      <c r="E73" s="219"/>
      <c r="F73" s="219"/>
      <c r="G73" s="219"/>
      <c r="H73" s="219"/>
      <c r="I73" s="219"/>
      <c r="J73" s="217" t="s">
        <v>81</v>
      </c>
      <c r="K73" s="217">
        <f>INICIAL!H39</f>
        <v>0</v>
      </c>
    </row>
    <row r="74" spans="1:11" ht="15" customHeight="1">
      <c r="A74" s="219"/>
      <c r="B74" s="219"/>
      <c r="C74" s="219"/>
      <c r="D74" s="219"/>
      <c r="E74" s="219"/>
      <c r="F74" s="219"/>
      <c r="G74" s="219"/>
      <c r="H74" s="219"/>
      <c r="I74" s="219"/>
      <c r="J74" s="217"/>
      <c r="K74" s="217"/>
    </row>
    <row r="75" spans="1:11">
      <c r="A75" s="220" t="s">
        <v>84</v>
      </c>
      <c r="B75" s="220"/>
      <c r="C75" s="220"/>
      <c r="D75" s="220"/>
      <c r="E75" s="220"/>
      <c r="F75" s="220"/>
      <c r="G75" s="220"/>
      <c r="H75" s="220"/>
      <c r="I75" s="220"/>
      <c r="J75" s="60" t="s">
        <v>81</v>
      </c>
      <c r="K75" s="59">
        <v>1</v>
      </c>
    </row>
    <row r="76" spans="1:11">
      <c r="A76" s="220" t="s">
        <v>83</v>
      </c>
      <c r="B76" s="220"/>
      <c r="C76" s="220"/>
      <c r="D76" s="220"/>
      <c r="E76" s="220"/>
      <c r="F76" s="220"/>
      <c r="G76" s="220"/>
      <c r="H76" s="220"/>
      <c r="I76" s="220"/>
      <c r="J76" s="60" t="s">
        <v>82</v>
      </c>
      <c r="K76" s="59">
        <v>100</v>
      </c>
    </row>
    <row r="77" spans="1:11">
      <c r="A77" s="227" t="str">
        <f>" KIT DE PROTEÇÃO "&amp;INICIAL!B11&amp;" FOTOVOLTAICO"</f>
        <v xml:space="preserve"> KIT DE PROTEÇÃO TRIFÁSICO FOTOVOLTAICO</v>
      </c>
      <c r="B77" s="220"/>
      <c r="C77" s="220"/>
      <c r="D77" s="220"/>
      <c r="E77" s="220"/>
      <c r="F77" s="220"/>
      <c r="G77" s="220"/>
      <c r="H77" s="220"/>
      <c r="I77" s="220"/>
      <c r="J77" s="60" t="s">
        <v>81</v>
      </c>
      <c r="K77" s="59">
        <v>1</v>
      </c>
    </row>
    <row r="93" spans="8:8">
      <c r="H93" s="55"/>
    </row>
    <row r="99" spans="1:11">
      <c r="I99" s="53"/>
      <c r="J99" s="53"/>
    </row>
    <row r="100" spans="1:11">
      <c r="I100" s="53"/>
      <c r="J100" s="53"/>
    </row>
    <row r="101" spans="1:11" ht="15" customHeight="1">
      <c r="A101" s="199" t="s">
        <v>80</v>
      </c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</row>
    <row r="102" spans="1:11" ht="1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</row>
    <row r="103" spans="1:11" ht="15" customHeight="1">
      <c r="I103" s="53"/>
      <c r="J103" s="53"/>
    </row>
    <row r="104" spans="1:11" ht="15" customHeight="1">
      <c r="A104" s="231" t="s">
        <v>90</v>
      </c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</row>
    <row r="105" spans="1:11">
      <c r="A105" s="232"/>
      <c r="B105" s="232"/>
      <c r="C105" s="232"/>
      <c r="D105" s="232"/>
      <c r="E105" s="232"/>
      <c r="F105" s="232"/>
      <c r="G105" s="232"/>
      <c r="H105" s="232"/>
      <c r="I105" s="232"/>
      <c r="J105" s="232"/>
      <c r="K105" s="232"/>
    </row>
    <row r="106" spans="1:11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</row>
    <row r="107" spans="1:11">
      <c r="A107" s="232"/>
      <c r="B107" s="232"/>
      <c r="C107" s="232"/>
      <c r="D107" s="232"/>
      <c r="E107" s="232"/>
      <c r="F107" s="232"/>
      <c r="G107" s="232"/>
      <c r="H107" s="232"/>
      <c r="I107" s="232"/>
      <c r="J107" s="232"/>
      <c r="K107" s="232"/>
    </row>
    <row r="108" spans="1:11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</row>
    <row r="109" spans="1:11">
      <c r="A109" s="232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</row>
    <row r="110" spans="1:11">
      <c r="A110" s="58"/>
      <c r="B110" s="58"/>
      <c r="C110" s="58"/>
      <c r="D110" s="58"/>
      <c r="E110" s="58"/>
      <c r="F110" s="58"/>
      <c r="G110" s="58"/>
      <c r="H110" s="58"/>
      <c r="I110" s="57"/>
      <c r="J110" s="57"/>
    </row>
    <row r="111" spans="1:11" ht="15" customHeight="1">
      <c r="A111" s="230" t="s">
        <v>79</v>
      </c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</row>
    <row r="112" spans="1:11" ht="9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</row>
    <row r="113" spans="1:1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</row>
    <row r="114" spans="1:11" ht="15" customHeight="1">
      <c r="A114" s="207" t="s">
        <v>92</v>
      </c>
      <c r="B114" s="207"/>
      <c r="C114" s="207"/>
      <c r="D114" s="207"/>
      <c r="E114" s="207"/>
      <c r="F114" s="228">
        <f>INICIAL!$E$59</f>
        <v>0</v>
      </c>
      <c r="G114" s="228"/>
      <c r="H114" s="228"/>
      <c r="I114" s="228"/>
      <c r="J114" s="228"/>
      <c r="K114" s="228"/>
    </row>
    <row r="115" spans="1:11" ht="15" customHeight="1">
      <c r="A115" s="207" t="s">
        <v>93</v>
      </c>
      <c r="B115" s="207"/>
      <c r="C115" s="207"/>
      <c r="D115" s="207"/>
      <c r="E115" s="207"/>
      <c r="F115" s="216" t="str">
        <f>IF(CONTROLE!G38="CARTÃO","12 x no cartão de R$ "&amp;ROUND((CONTROLE!G33/0.87)/12,2),"")</f>
        <v/>
      </c>
      <c r="G115" s="216"/>
      <c r="H115" s="216"/>
      <c r="I115" s="216"/>
      <c r="J115" s="216"/>
      <c r="K115" s="216"/>
    </row>
    <row r="116" spans="1:11" ht="15" customHeight="1">
      <c r="A116" s="209"/>
      <c r="B116" s="210"/>
      <c r="C116" s="210"/>
      <c r="D116" s="210"/>
      <c r="E116" s="211"/>
      <c r="F116" s="214"/>
      <c r="G116" s="215"/>
      <c r="H116" s="215"/>
      <c r="I116" s="215"/>
      <c r="J116" s="215"/>
      <c r="K116" s="215"/>
    </row>
    <row r="117" spans="1:11">
      <c r="A117" s="209"/>
      <c r="B117" s="210"/>
      <c r="C117" s="210"/>
      <c r="D117" s="210"/>
      <c r="E117" s="211"/>
      <c r="F117" s="214"/>
      <c r="G117" s="215"/>
      <c r="H117" s="215"/>
      <c r="I117" s="215"/>
      <c r="J117" s="215"/>
      <c r="K117" s="215"/>
    </row>
    <row r="118" spans="1:11">
      <c r="A118" s="213"/>
      <c r="B118" s="213"/>
      <c r="C118" s="213"/>
      <c r="D118" s="213"/>
      <c r="E118" s="213"/>
      <c r="F118" s="212"/>
      <c r="G118" s="212"/>
      <c r="H118" s="212"/>
      <c r="I118" s="212"/>
      <c r="J118" s="212"/>
      <c r="K118" s="212"/>
    </row>
    <row r="120" spans="1:11">
      <c r="A120" s="208" t="s">
        <v>78</v>
      </c>
      <c r="B120" s="208"/>
      <c r="C120" s="208"/>
      <c r="D120" s="208"/>
      <c r="E120" s="208"/>
      <c r="F120" s="223" t="s">
        <v>77</v>
      </c>
      <c r="G120" s="224"/>
      <c r="H120" s="224"/>
      <c r="I120" s="224"/>
      <c r="J120" s="224"/>
      <c r="K120" s="224"/>
    </row>
    <row r="121" spans="1:11">
      <c r="A121" s="198" t="s">
        <v>76</v>
      </c>
      <c r="B121" s="198"/>
      <c r="C121" s="198"/>
      <c r="D121" s="198"/>
      <c r="E121" s="198"/>
      <c r="F121" s="224"/>
      <c r="G121" s="224"/>
      <c r="H121" s="224"/>
      <c r="I121" s="224"/>
      <c r="J121" s="224"/>
      <c r="K121" s="224"/>
    </row>
    <row r="122" spans="1:11">
      <c r="A122" s="56"/>
      <c r="B122" s="56"/>
      <c r="C122" s="56"/>
      <c r="D122" s="56"/>
      <c r="E122" s="56"/>
      <c r="F122" s="56"/>
      <c r="G122" s="56"/>
      <c r="H122" s="56"/>
      <c r="I122" s="56"/>
      <c r="J122" s="56"/>
    </row>
    <row r="123" spans="1:11" ht="15" customHeight="1">
      <c r="A123" s="197" t="s">
        <v>75</v>
      </c>
      <c r="B123" s="197"/>
      <c r="C123" s="197"/>
      <c r="D123" s="197"/>
      <c r="E123" s="197"/>
      <c r="F123" s="197"/>
      <c r="G123" s="197"/>
      <c r="H123" s="197"/>
      <c r="I123" s="197"/>
      <c r="J123" s="197"/>
      <c r="K123" s="197"/>
    </row>
    <row r="125" spans="1:11">
      <c r="A125" s="225" t="s">
        <v>74</v>
      </c>
      <c r="B125" s="225"/>
      <c r="C125" s="225"/>
      <c r="D125" s="225"/>
      <c r="E125" s="225"/>
      <c r="F125" s="225"/>
      <c r="G125" s="225"/>
      <c r="H125" s="225"/>
      <c r="I125" s="225"/>
      <c r="J125" s="225"/>
      <c r="K125" s="225"/>
    </row>
    <row r="126" spans="1:11">
      <c r="A126" s="225"/>
      <c r="B126" s="225"/>
      <c r="C126" s="225"/>
      <c r="D126" s="225"/>
      <c r="E126" s="225"/>
      <c r="F126" s="225"/>
      <c r="G126" s="225"/>
      <c r="H126" s="225"/>
      <c r="I126" s="225"/>
      <c r="J126" s="225"/>
      <c r="K126" s="225"/>
    </row>
    <row r="127" spans="1:11">
      <c r="A127" s="225"/>
      <c r="B127" s="225"/>
      <c r="C127" s="225"/>
      <c r="D127" s="225"/>
      <c r="E127" s="225"/>
      <c r="F127" s="225"/>
      <c r="G127" s="225"/>
      <c r="H127" s="225"/>
      <c r="I127" s="225"/>
      <c r="J127" s="225"/>
      <c r="K127" s="225"/>
    </row>
    <row r="128" spans="1:11">
      <c r="A128" s="225"/>
      <c r="B128" s="225"/>
      <c r="C128" s="225"/>
      <c r="D128" s="225"/>
      <c r="E128" s="225"/>
      <c r="F128" s="225"/>
      <c r="G128" s="225"/>
      <c r="H128" s="225"/>
      <c r="I128" s="225"/>
      <c r="J128" s="225"/>
      <c r="K128" s="225"/>
    </row>
    <row r="130" spans="1:11">
      <c r="A130" s="55"/>
      <c r="B130" s="55"/>
      <c r="C130" s="55"/>
      <c r="D130" s="55"/>
      <c r="E130" s="55"/>
      <c r="F130" s="55"/>
      <c r="G130" s="55"/>
      <c r="H130" s="55"/>
      <c r="I130" s="55"/>
      <c r="J130" s="55"/>
    </row>
    <row r="131" spans="1:11" ht="15.75">
      <c r="A131" s="229"/>
      <c r="B131" s="229"/>
      <c r="C131" s="229"/>
      <c r="D131" s="229"/>
      <c r="E131" s="229"/>
      <c r="F131" s="229"/>
      <c r="G131" s="229"/>
      <c r="H131" s="229"/>
      <c r="I131" s="55"/>
      <c r="J131" s="55"/>
    </row>
    <row r="132" spans="1:11">
      <c r="C132" s="54"/>
      <c r="D132" s="226" t="s">
        <v>73</v>
      </c>
      <c r="E132" s="226"/>
      <c r="F132" s="226"/>
      <c r="G132" s="226"/>
      <c r="H132" s="226"/>
      <c r="I132" s="54"/>
      <c r="J132" s="54"/>
      <c r="K132" s="54"/>
    </row>
    <row r="134" spans="1:11" ht="15.75">
      <c r="H134" s="222" t="s">
        <v>72</v>
      </c>
      <c r="I134" s="222"/>
      <c r="J134" s="221">
        <f ca="1">TODAY()</f>
        <v>45486</v>
      </c>
      <c r="K134" s="221"/>
    </row>
    <row r="147" spans="1:11">
      <c r="F147" s="55"/>
    </row>
    <row r="149" spans="1:1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</row>
    <row r="150" spans="1:1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</row>
    <row r="151" spans="1:1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</row>
    <row r="152" spans="1:1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</row>
    <row r="153" spans="1:1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</row>
    <row r="154" spans="1:1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</row>
    <row r="155" spans="1:1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</row>
    <row r="156" spans="1:1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</row>
    <row r="157" spans="1:1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spans="1:1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</row>
    <row r="159" spans="1:1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</row>
    <row r="160" spans="1:1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</row>
    <row r="161" spans="1:1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</row>
    <row r="162" spans="1:1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</row>
    <row r="163" spans="1:1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</row>
    <row r="164" spans="1:1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</row>
    <row r="165" spans="1:1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spans="1:1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</row>
    <row r="167" spans="1:1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</row>
    <row r="168" spans="1:1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</row>
    <row r="169" spans="1:1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spans="1:1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</row>
    <row r="171" spans="1:1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</row>
    <row r="172" spans="1:1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</row>
    <row r="173" spans="1:1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</row>
    <row r="174" spans="1:1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</row>
    <row r="175" spans="1:1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</row>
    <row r="176" spans="1:1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</row>
    <row r="177" spans="1:1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</row>
    <row r="178" spans="1:1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spans="1:1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</row>
    <row r="180" spans="1:1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</row>
    <row r="181" spans="1:1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spans="1:1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spans="1:1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</row>
    <row r="184" spans="1:1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</row>
    <row r="185" spans="1:1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</row>
    <row r="186" spans="1:1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</row>
    <row r="187" spans="1:1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</row>
    <row r="188" spans="1:1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</row>
    <row r="189" spans="1:1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</row>
    <row r="190" spans="1:11" ht="1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</row>
    <row r="191" spans="1:1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spans="1:1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</row>
    <row r="193" spans="1:1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</row>
    <row r="194" spans="1:1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</row>
    <row r="195" spans="1:1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</row>
    <row r="196" spans="1:1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</row>
    <row r="197" spans="1:1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</row>
    <row r="198" spans="1:1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</sheetData>
  <mergeCells count="45">
    <mergeCell ref="J134:K134"/>
    <mergeCell ref="H134:I134"/>
    <mergeCell ref="A67:I68"/>
    <mergeCell ref="F120:K120"/>
    <mergeCell ref="F121:K121"/>
    <mergeCell ref="A125:K128"/>
    <mergeCell ref="D132:H132"/>
    <mergeCell ref="A77:I77"/>
    <mergeCell ref="J71:J72"/>
    <mergeCell ref="F114:K114"/>
    <mergeCell ref="A131:H131"/>
    <mergeCell ref="K71:K72"/>
    <mergeCell ref="J73:J74"/>
    <mergeCell ref="K73:K74"/>
    <mergeCell ref="A111:K112"/>
    <mergeCell ref="A104:K109"/>
    <mergeCell ref="A70:I70"/>
    <mergeCell ref="A71:I72"/>
    <mergeCell ref="A73:I74"/>
    <mergeCell ref="A75:I75"/>
    <mergeCell ref="F116:K116"/>
    <mergeCell ref="A76:I76"/>
    <mergeCell ref="A116:E116"/>
    <mergeCell ref="A114:E114"/>
    <mergeCell ref="A117:E117"/>
    <mergeCell ref="F118:K118"/>
    <mergeCell ref="A118:E118"/>
    <mergeCell ref="F117:K117"/>
    <mergeCell ref="F115:K115"/>
    <mergeCell ref="A123:K123"/>
    <mergeCell ref="A121:E121"/>
    <mergeCell ref="A101:K102"/>
    <mergeCell ref="A37:K37"/>
    <mergeCell ref="A61:J61"/>
    <mergeCell ref="A55:J55"/>
    <mergeCell ref="A56:J56"/>
    <mergeCell ref="A54:K54"/>
    <mergeCell ref="A57:J57"/>
    <mergeCell ref="A58:J58"/>
    <mergeCell ref="A59:J59"/>
    <mergeCell ref="A60:J60"/>
    <mergeCell ref="A52:J53"/>
    <mergeCell ref="A62:K62"/>
    <mergeCell ref="A115:E115"/>
    <mergeCell ref="A120:E120"/>
  </mergeCells>
  <pageMargins left="0.51181102362204722" right="0.51181102362204722" top="0.78740157480314965" bottom="0.78740157480314965" header="0.31496062992125984" footer="0.31496062992125984"/>
  <pageSetup paperSize="9" fitToHeight="0" orientation="portrait" r:id="rId1"/>
  <headerFooter differentFirst="1">
    <oddHeader>&amp;L&amp;G&amp;C&amp;G</oddHeader>
    <oddFooter xml:space="preserve">&amp;CHEINZ SOLUÇOES INTEGRADA EM ENGENHARIA
CNPJ: 41.860.686/0001-78
Contatos: (86) 99546-6346
Comercial.heinzengenharia@gmail.com
</oddFooter>
    <firstHeader>&amp;C&amp;G</firstHeader>
    <firstFooter xml:space="preserve">&amp;CHEINZ SOLUÇOES INTEGRADA EM ENGENHARIA
CNPJ: 41.860.686/0001-78
Contatos: (86) 99546-6346
Comercial.heinzengenharia@gmail.com
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F388-B8B0-4E72-8481-DBB98E425B5D}">
  <sheetPr>
    <tabColor rgb="FF84C12A"/>
  </sheetPr>
  <dimension ref="A1:N46"/>
  <sheetViews>
    <sheetView topLeftCell="C1" workbookViewId="0">
      <selection activeCell="F8" sqref="F8"/>
    </sheetView>
  </sheetViews>
  <sheetFormatPr defaultColWidth="12.5703125" defaultRowHeight="15.75"/>
  <cols>
    <col min="1" max="1" width="29" style="1" bestFit="1" customWidth="1"/>
    <col min="2" max="2" width="12.5703125" style="1"/>
    <col min="3" max="3" width="14.140625" style="1" bestFit="1" customWidth="1"/>
    <col min="4" max="5" width="12.5703125" style="1"/>
    <col min="6" max="6" width="34.42578125" style="1" bestFit="1" customWidth="1"/>
    <col min="7" max="7" width="13.140625" style="1" bestFit="1" customWidth="1"/>
    <col min="8" max="8" width="14.140625" style="1" bestFit="1" customWidth="1"/>
    <col min="9" max="9" width="12.5703125" style="1"/>
    <col min="10" max="10" width="17.7109375" style="1" bestFit="1" customWidth="1"/>
    <col min="11" max="11" width="13.85546875" style="1" bestFit="1" customWidth="1"/>
    <col min="12" max="16384" width="12.5703125" style="1"/>
  </cols>
  <sheetData>
    <row r="1" spans="1:14">
      <c r="A1" s="2" t="s">
        <v>71</v>
      </c>
      <c r="B1" s="2" t="s">
        <v>19</v>
      </c>
      <c r="C1" s="3" t="s">
        <v>28</v>
      </c>
      <c r="D1" s="2" t="s">
        <v>70</v>
      </c>
      <c r="E1" s="51"/>
      <c r="F1" s="47" t="s">
        <v>69</v>
      </c>
      <c r="G1" s="47">
        <f>SUM(G2:G5)</f>
        <v>216.49</v>
      </c>
      <c r="I1" s="47" t="s">
        <v>68</v>
      </c>
      <c r="J1" s="47" t="s">
        <v>67</v>
      </c>
      <c r="K1" s="47" t="s">
        <v>66</v>
      </c>
      <c r="L1" s="50" t="s">
        <v>19</v>
      </c>
      <c r="M1" s="14"/>
      <c r="N1" t="s">
        <v>145</v>
      </c>
    </row>
    <row r="2" spans="1:14">
      <c r="A2" s="49" t="s">
        <v>65</v>
      </c>
      <c r="B2" s="49">
        <v>1399</v>
      </c>
      <c r="C2" s="5"/>
      <c r="D2" s="5">
        <f t="shared" ref="D2:D45" si="0">B2*C2</f>
        <v>0</v>
      </c>
      <c r="E2" s="4"/>
      <c r="F2" s="47" t="s">
        <v>64</v>
      </c>
      <c r="G2" s="47">
        <v>150.38999999999999</v>
      </c>
      <c r="I2" s="47" t="s">
        <v>63</v>
      </c>
      <c r="J2" s="47">
        <v>1.8</v>
      </c>
      <c r="K2" s="48"/>
      <c r="L2" s="48">
        <f>J2*K2</f>
        <v>0</v>
      </c>
      <c r="N2" t="s">
        <v>146</v>
      </c>
    </row>
    <row r="3" spans="1:14">
      <c r="A3" s="46" t="s">
        <v>62</v>
      </c>
      <c r="B3" s="45">
        <v>1299</v>
      </c>
      <c r="C3" s="5"/>
      <c r="D3" s="5">
        <f t="shared" si="0"/>
        <v>0</v>
      </c>
      <c r="E3" s="4"/>
      <c r="F3" s="47" t="s">
        <v>61</v>
      </c>
      <c r="G3" s="47">
        <v>12</v>
      </c>
      <c r="I3" s="47" t="s">
        <v>60</v>
      </c>
      <c r="J3" s="47">
        <v>3.5</v>
      </c>
      <c r="K3" s="48"/>
      <c r="L3" s="48">
        <f>J3*K3</f>
        <v>0</v>
      </c>
    </row>
    <row r="4" spans="1:14">
      <c r="A4" s="46" t="s">
        <v>59</v>
      </c>
      <c r="B4" s="45">
        <v>1500</v>
      </c>
      <c r="C4" s="5"/>
      <c r="D4" s="5">
        <f t="shared" si="0"/>
        <v>0</v>
      </c>
      <c r="E4" s="4"/>
      <c r="F4" s="47" t="s">
        <v>58</v>
      </c>
      <c r="G4" s="47">
        <v>43.3</v>
      </c>
      <c r="I4" s="47" t="s">
        <v>57</v>
      </c>
      <c r="J4" s="47">
        <v>4.8</v>
      </c>
      <c r="K4" s="48"/>
      <c r="L4" s="48">
        <f>J4*K4</f>
        <v>0</v>
      </c>
    </row>
    <row r="5" spans="1:14">
      <c r="A5" s="46" t="s">
        <v>56</v>
      </c>
      <c r="B5" s="45">
        <v>1600</v>
      </c>
      <c r="C5" s="5"/>
      <c r="D5" s="5">
        <f t="shared" si="0"/>
        <v>0</v>
      </c>
      <c r="E5" s="4"/>
      <c r="F5" s="47" t="s">
        <v>55</v>
      </c>
      <c r="G5" s="47">
        <v>10.8</v>
      </c>
      <c r="I5" s="47" t="s">
        <v>54</v>
      </c>
      <c r="J5" s="47">
        <v>8</v>
      </c>
      <c r="K5" s="48">
        <v>100</v>
      </c>
      <c r="L5" s="48">
        <f>J5*K5</f>
        <v>800</v>
      </c>
    </row>
    <row r="6" spans="1:14">
      <c r="A6" s="46" t="s">
        <v>53</v>
      </c>
      <c r="B6" s="45">
        <v>1700</v>
      </c>
      <c r="C6" s="5"/>
      <c r="D6" s="5">
        <f t="shared" si="0"/>
        <v>0</v>
      </c>
      <c r="E6" s="4"/>
      <c r="K6" s="47" t="s">
        <v>0</v>
      </c>
      <c r="L6" s="47">
        <f>SUM(L2:L5)</f>
        <v>800</v>
      </c>
    </row>
    <row r="7" spans="1:14">
      <c r="A7" s="46" t="s">
        <v>52</v>
      </c>
      <c r="B7" s="45">
        <v>1840</v>
      </c>
      <c r="C7" s="5"/>
      <c r="D7" s="5">
        <f t="shared" si="0"/>
        <v>0</v>
      </c>
      <c r="E7" s="4"/>
    </row>
    <row r="8" spans="1:14">
      <c r="A8" s="43" t="s">
        <v>51</v>
      </c>
      <c r="B8" s="39">
        <v>2000</v>
      </c>
      <c r="C8" s="5"/>
      <c r="D8" s="5">
        <f t="shared" si="0"/>
        <v>0</v>
      </c>
      <c r="E8" s="4"/>
    </row>
    <row r="9" spans="1:14">
      <c r="A9" s="43" t="s">
        <v>50</v>
      </c>
      <c r="B9" s="39">
        <v>2300</v>
      </c>
      <c r="C9" s="5"/>
      <c r="D9" s="5">
        <f t="shared" si="0"/>
        <v>0</v>
      </c>
      <c r="E9" s="4"/>
      <c r="F9" s="37" t="s">
        <v>49</v>
      </c>
      <c r="G9" s="37" t="s">
        <v>48</v>
      </c>
      <c r="H9" s="37" t="s">
        <v>47</v>
      </c>
      <c r="I9" s="37" t="s">
        <v>19</v>
      </c>
      <c r="K9" s="30" t="s">
        <v>46</v>
      </c>
      <c r="L9" s="44" t="s">
        <v>19</v>
      </c>
      <c r="M9" s="30" t="s">
        <v>45</v>
      </c>
      <c r="N9" s="30" t="s">
        <v>19</v>
      </c>
    </row>
    <row r="10" spans="1:14">
      <c r="A10" s="43" t="s">
        <v>44</v>
      </c>
      <c r="B10" s="39">
        <v>2400</v>
      </c>
      <c r="C10" s="5"/>
      <c r="D10" s="5">
        <f t="shared" si="0"/>
        <v>0</v>
      </c>
      <c r="E10" s="4"/>
      <c r="F10" s="37" t="s">
        <v>43</v>
      </c>
      <c r="G10" s="37">
        <v>39.9</v>
      </c>
      <c r="H10" s="37">
        <v>30</v>
      </c>
      <c r="I10" s="36">
        <f>G10*H10</f>
        <v>1197</v>
      </c>
      <c r="K10" s="30" t="s">
        <v>42</v>
      </c>
      <c r="L10" s="42">
        <v>125.16</v>
      </c>
      <c r="M10" s="30">
        <v>4</v>
      </c>
      <c r="N10" s="38">
        <f>M10*L10</f>
        <v>500.64</v>
      </c>
    </row>
    <row r="11" spans="1:14">
      <c r="A11" s="40" t="s">
        <v>41</v>
      </c>
      <c r="B11" s="39">
        <v>2500</v>
      </c>
      <c r="C11" s="5"/>
      <c r="D11" s="5">
        <f t="shared" si="0"/>
        <v>0</v>
      </c>
      <c r="E11" s="4"/>
      <c r="F11" s="37" t="s">
        <v>40</v>
      </c>
      <c r="G11" s="37">
        <v>105.87</v>
      </c>
      <c r="H11" s="37"/>
      <c r="I11" s="36">
        <f>G11*H11</f>
        <v>0</v>
      </c>
      <c r="K11" s="30" t="s">
        <v>39</v>
      </c>
      <c r="L11" s="41">
        <v>500</v>
      </c>
      <c r="M11" s="30">
        <v>0</v>
      </c>
      <c r="N11" s="38">
        <f>M11*L11</f>
        <v>0</v>
      </c>
    </row>
    <row r="12" spans="1:14">
      <c r="A12" s="40" t="s">
        <v>38</v>
      </c>
      <c r="B12" s="39">
        <v>2795</v>
      </c>
      <c r="C12" s="5"/>
      <c r="D12" s="5">
        <f t="shared" si="0"/>
        <v>0</v>
      </c>
      <c r="E12" s="4"/>
      <c r="F12" s="37" t="s">
        <v>37</v>
      </c>
      <c r="G12" s="37">
        <v>124.17</v>
      </c>
      <c r="H12" s="37"/>
      <c r="I12" s="36">
        <f>G12*H12</f>
        <v>0</v>
      </c>
      <c r="M12" s="30" t="s">
        <v>0</v>
      </c>
      <c r="N12" s="38">
        <f>N10+N11</f>
        <v>500.64</v>
      </c>
    </row>
    <row r="13" spans="1:14">
      <c r="A13" s="32" t="s">
        <v>36</v>
      </c>
      <c r="B13" s="31">
        <v>2400</v>
      </c>
      <c r="C13" s="5"/>
      <c r="D13" s="5">
        <f t="shared" si="0"/>
        <v>0</v>
      </c>
      <c r="E13" s="4"/>
      <c r="F13" s="37" t="s">
        <v>35</v>
      </c>
      <c r="G13" s="37">
        <v>171.43</v>
      </c>
      <c r="H13" s="37">
        <v>8</v>
      </c>
      <c r="I13" s="36">
        <f>G13*H13</f>
        <v>1371.44</v>
      </c>
      <c r="K13" s="30" t="s">
        <v>19</v>
      </c>
      <c r="L13" s="30" t="s">
        <v>34</v>
      </c>
    </row>
    <row r="14" spans="1:14">
      <c r="A14" s="32" t="s">
        <v>33</v>
      </c>
      <c r="B14" s="31">
        <v>2600</v>
      </c>
      <c r="C14" s="5"/>
      <c r="D14" s="5">
        <f t="shared" si="0"/>
        <v>0</v>
      </c>
      <c r="E14" s="4"/>
      <c r="G14" s="14"/>
      <c r="H14" s="36" t="s">
        <v>19</v>
      </c>
      <c r="I14" s="35">
        <f>SUM(I10:I13)</f>
        <v>2568.44</v>
      </c>
      <c r="J14" s="30" t="s">
        <v>32</v>
      </c>
      <c r="K14" s="34">
        <v>5</v>
      </c>
      <c r="L14" s="33">
        <v>8</v>
      </c>
    </row>
    <row r="15" spans="1:14">
      <c r="A15" s="32" t="s">
        <v>31</v>
      </c>
      <c r="B15" s="31">
        <v>2800</v>
      </c>
      <c r="C15" s="5"/>
      <c r="D15" s="5">
        <f t="shared" si="0"/>
        <v>0</v>
      </c>
      <c r="E15" s="4"/>
      <c r="K15" s="30" t="s">
        <v>0</v>
      </c>
      <c r="L15" s="29">
        <f>L14*K14</f>
        <v>40</v>
      </c>
    </row>
    <row r="16" spans="1:14">
      <c r="A16" s="22" t="s">
        <v>30</v>
      </c>
      <c r="B16" s="21">
        <v>3000</v>
      </c>
      <c r="C16" s="5"/>
      <c r="D16" s="5">
        <f t="shared" si="0"/>
        <v>0</v>
      </c>
      <c r="E16" s="4"/>
      <c r="F16" s="26" t="s">
        <v>29</v>
      </c>
      <c r="G16" s="26" t="s">
        <v>19</v>
      </c>
      <c r="H16" s="26" t="s">
        <v>28</v>
      </c>
      <c r="I16" s="26" t="s">
        <v>19</v>
      </c>
      <c r="J16" s="26" t="s">
        <v>27</v>
      </c>
    </row>
    <row r="17" spans="1:12">
      <c r="A17" s="22" t="s">
        <v>26</v>
      </c>
      <c r="B17" s="21">
        <v>3100</v>
      </c>
      <c r="C17" s="5"/>
      <c r="D17" s="5">
        <f t="shared" si="0"/>
        <v>0</v>
      </c>
      <c r="E17" s="4"/>
      <c r="F17" s="26" t="s">
        <v>25</v>
      </c>
      <c r="G17" s="19">
        <v>429.9</v>
      </c>
      <c r="H17" s="26">
        <v>29</v>
      </c>
      <c r="I17" s="28">
        <f>G17*H17</f>
        <v>12467.099999999999</v>
      </c>
      <c r="J17" s="26">
        <f>H17*560</f>
        <v>16240</v>
      </c>
      <c r="K17" s="24" t="s">
        <v>24</v>
      </c>
      <c r="L17" s="27">
        <v>399.9</v>
      </c>
    </row>
    <row r="18" spans="1:12">
      <c r="A18" s="22" t="s">
        <v>23</v>
      </c>
      <c r="B18" s="21">
        <v>3300</v>
      </c>
      <c r="C18" s="5"/>
      <c r="D18" s="5">
        <f t="shared" si="0"/>
        <v>0</v>
      </c>
      <c r="E18" s="4"/>
      <c r="F18" s="25" t="s">
        <v>22</v>
      </c>
      <c r="G18" s="19">
        <v>498.9</v>
      </c>
      <c r="H18" s="26"/>
      <c r="I18" s="19">
        <f>G18*H18</f>
        <v>0</v>
      </c>
      <c r="J18" s="25">
        <f>H18*560</f>
        <v>0</v>
      </c>
      <c r="K18" s="24" t="s">
        <v>21</v>
      </c>
      <c r="L18" s="23">
        <v>469</v>
      </c>
    </row>
    <row r="19" spans="1:12">
      <c r="A19" s="22" t="s">
        <v>20</v>
      </c>
      <c r="B19" s="21">
        <v>3500</v>
      </c>
      <c r="C19" s="5"/>
      <c r="D19" s="5">
        <f t="shared" si="0"/>
        <v>0</v>
      </c>
      <c r="E19" s="4"/>
      <c r="F19" s="14"/>
      <c r="G19" s="20" t="s">
        <v>19</v>
      </c>
      <c r="H19" s="237">
        <f>SUM(I17+I18)</f>
        <v>12467.099999999999</v>
      </c>
      <c r="I19" s="238"/>
      <c r="J19" s="14"/>
    </row>
    <row r="20" spans="1:12">
      <c r="A20" s="17" t="s">
        <v>18</v>
      </c>
      <c r="B20" s="16">
        <v>3300</v>
      </c>
      <c r="C20" s="5"/>
      <c r="D20" s="5">
        <f t="shared" si="0"/>
        <v>0</v>
      </c>
      <c r="E20" s="4"/>
    </row>
    <row r="21" spans="1:12">
      <c r="A21" s="17" t="s">
        <v>5</v>
      </c>
      <c r="B21" s="16">
        <v>3600</v>
      </c>
      <c r="C21" s="5"/>
      <c r="D21" s="5">
        <f t="shared" si="0"/>
        <v>0</v>
      </c>
      <c r="E21" s="4"/>
    </row>
    <row r="22" spans="1:12">
      <c r="A22" s="17" t="s">
        <v>17</v>
      </c>
      <c r="B22" s="16">
        <v>3800</v>
      </c>
      <c r="C22" s="5"/>
      <c r="D22" s="5">
        <f t="shared" si="0"/>
        <v>0</v>
      </c>
      <c r="E22" s="4"/>
      <c r="F22" s="1" t="s">
        <v>16</v>
      </c>
      <c r="G22" s="1">
        <f>H17*68</f>
        <v>1972</v>
      </c>
    </row>
    <row r="23" spans="1:12">
      <c r="A23" s="17" t="s">
        <v>15</v>
      </c>
      <c r="B23" s="16">
        <v>4000</v>
      </c>
      <c r="C23" s="5"/>
      <c r="D23" s="5">
        <f t="shared" si="0"/>
        <v>0</v>
      </c>
      <c r="E23" s="4"/>
      <c r="F23" s="1" t="s">
        <v>14</v>
      </c>
      <c r="G23" s="18">
        <f t="array" ref="G23:G24">(J17:J18)</f>
        <v>16240</v>
      </c>
      <c r="H23" s="1">
        <f>J17/1000</f>
        <v>16.239999999999998</v>
      </c>
    </row>
    <row r="24" spans="1:12">
      <c r="A24" s="17" t="s">
        <v>13</v>
      </c>
      <c r="B24" s="16">
        <v>4690</v>
      </c>
      <c r="C24" s="5"/>
      <c r="D24" s="5">
        <f t="shared" si="0"/>
        <v>0</v>
      </c>
      <c r="E24" s="4"/>
      <c r="G24" s="1">
        <v>0</v>
      </c>
    </row>
    <row r="25" spans="1:12">
      <c r="A25" s="13" t="s">
        <v>99</v>
      </c>
      <c r="B25" s="64">
        <v>4150</v>
      </c>
      <c r="C25" s="6">
        <v>1</v>
      </c>
      <c r="D25" s="5">
        <f t="shared" si="0"/>
        <v>4150</v>
      </c>
      <c r="E25" s="4"/>
      <c r="H25" s="1" t="s">
        <v>12</v>
      </c>
    </row>
    <row r="26" spans="1:12">
      <c r="A26" s="13"/>
      <c r="B26" s="13"/>
      <c r="C26" s="6"/>
      <c r="D26" s="5">
        <f t="shared" si="0"/>
        <v>0</v>
      </c>
      <c r="E26" s="4"/>
      <c r="F26" s="15" t="s">
        <v>11</v>
      </c>
      <c r="G26" s="15">
        <v>2000</v>
      </c>
      <c r="H26" s="14">
        <f>G26/68</f>
        <v>29.411764705882351</v>
      </c>
    </row>
    <row r="27" spans="1:12">
      <c r="A27" s="13"/>
      <c r="B27" s="13"/>
      <c r="C27" s="6"/>
      <c r="D27" s="5">
        <f t="shared" si="0"/>
        <v>0</v>
      </c>
      <c r="E27" s="4"/>
      <c r="F27" s="1" t="s">
        <v>10</v>
      </c>
      <c r="G27" s="1">
        <v>2000</v>
      </c>
    </row>
    <row r="28" spans="1:12">
      <c r="A28" s="13"/>
      <c r="B28" s="13"/>
      <c r="C28" s="6"/>
      <c r="D28" s="5">
        <f t="shared" si="0"/>
        <v>0</v>
      </c>
      <c r="E28" s="4"/>
    </row>
    <row r="29" spans="1:12">
      <c r="A29" s="13"/>
      <c r="B29" s="13"/>
      <c r="C29" s="6"/>
      <c r="D29" s="5">
        <f t="shared" si="0"/>
        <v>0</v>
      </c>
      <c r="E29" s="4"/>
      <c r="F29" s="1" t="s">
        <v>9</v>
      </c>
      <c r="G29" s="12">
        <f>D46+G1+H19+L15+N12</f>
        <v>17374.229999999996</v>
      </c>
    </row>
    <row r="30" spans="1:12">
      <c r="A30" s="9"/>
      <c r="B30" s="9"/>
      <c r="C30" s="6"/>
      <c r="D30" s="5">
        <f t="shared" si="0"/>
        <v>0</v>
      </c>
      <c r="E30" s="4"/>
      <c r="F30" s="1" t="s">
        <v>8</v>
      </c>
      <c r="G30" s="11">
        <f>H17*70</f>
        <v>2030</v>
      </c>
    </row>
    <row r="31" spans="1:12">
      <c r="A31" s="9"/>
      <c r="B31" s="9"/>
      <c r="C31" s="6"/>
      <c r="D31" s="5">
        <f t="shared" si="0"/>
        <v>0</v>
      </c>
      <c r="E31" s="4"/>
      <c r="G31" s="12">
        <f>SUM(G29:G30)</f>
        <v>19404.229999999996</v>
      </c>
    </row>
    <row r="32" spans="1:12">
      <c r="A32" s="9"/>
      <c r="B32" s="9"/>
      <c r="C32" s="6"/>
      <c r="D32" s="5">
        <f t="shared" si="0"/>
        <v>0</v>
      </c>
      <c r="E32" s="4"/>
    </row>
    <row r="33" spans="1:10">
      <c r="A33" s="9"/>
      <c r="B33" s="9"/>
      <c r="C33" s="6"/>
      <c r="D33" s="5">
        <f t="shared" si="0"/>
        <v>0</v>
      </c>
      <c r="E33" s="4"/>
      <c r="F33" s="1" t="s">
        <v>7</v>
      </c>
      <c r="G33" s="11">
        <v>30000</v>
      </c>
    </row>
    <row r="34" spans="1:10">
      <c r="A34" s="9"/>
      <c r="B34" s="9"/>
      <c r="C34" s="6"/>
      <c r="D34" s="5">
        <f t="shared" si="0"/>
        <v>0</v>
      </c>
      <c r="E34" s="4"/>
    </row>
    <row r="35" spans="1:10">
      <c r="A35" s="9"/>
      <c r="B35" s="9"/>
      <c r="C35" s="6"/>
      <c r="D35" s="5">
        <f t="shared" si="0"/>
        <v>0</v>
      </c>
      <c r="E35" s="4"/>
      <c r="F35" s="234" t="s">
        <v>94</v>
      </c>
      <c r="G35" s="235"/>
      <c r="H35" s="235"/>
      <c r="I35" s="236"/>
    </row>
    <row r="36" spans="1:10">
      <c r="A36" s="9"/>
      <c r="B36" s="9"/>
      <c r="C36" s="6"/>
      <c r="D36" s="5">
        <f t="shared" si="0"/>
        <v>0</v>
      </c>
      <c r="E36" s="4"/>
      <c r="F36" s="62" t="s">
        <v>6</v>
      </c>
      <c r="G36" s="233" t="s">
        <v>99</v>
      </c>
      <c r="H36" s="233"/>
      <c r="I36" s="233"/>
      <c r="J36" s="10"/>
    </row>
    <row r="37" spans="1:10">
      <c r="A37" s="9"/>
      <c r="B37" s="9"/>
      <c r="C37" s="6"/>
      <c r="D37" s="5">
        <f t="shared" si="0"/>
        <v>0</v>
      </c>
      <c r="E37" s="4"/>
      <c r="F37" s="62" t="s">
        <v>4</v>
      </c>
      <c r="G37" s="233" t="s">
        <v>96</v>
      </c>
      <c r="H37" s="233"/>
      <c r="I37" s="233"/>
    </row>
    <row r="38" spans="1:10">
      <c r="A38" s="9"/>
      <c r="B38" s="9"/>
      <c r="C38" s="6"/>
      <c r="D38" s="5">
        <f t="shared" si="0"/>
        <v>0</v>
      </c>
      <c r="E38" s="4"/>
      <c r="F38" s="62" t="s">
        <v>3</v>
      </c>
      <c r="G38" s="233" t="s">
        <v>97</v>
      </c>
      <c r="H38" s="233"/>
      <c r="I38" s="233"/>
      <c r="J38" s="8" t="str">
        <f>IF(G38="À PRAZO",G33/0.87,"")</f>
        <v/>
      </c>
    </row>
    <row r="39" spans="1:10">
      <c r="A39" s="7"/>
      <c r="B39" s="7"/>
      <c r="C39" s="6"/>
      <c r="D39" s="5">
        <f t="shared" si="0"/>
        <v>0</v>
      </c>
      <c r="E39" s="4"/>
      <c r="F39" s="62" t="s">
        <v>2</v>
      </c>
      <c r="G39" s="233" t="s">
        <v>98</v>
      </c>
      <c r="H39" s="233"/>
      <c r="I39" s="233"/>
    </row>
    <row r="40" spans="1:10">
      <c r="A40" s="7"/>
      <c r="B40" s="7"/>
      <c r="C40" s="6"/>
      <c r="D40" s="5">
        <f t="shared" si="0"/>
        <v>0</v>
      </c>
      <c r="E40" s="4"/>
      <c r="F40" s="62" t="s">
        <v>1</v>
      </c>
      <c r="G40" s="233"/>
      <c r="H40" s="233"/>
      <c r="I40" s="233"/>
    </row>
    <row r="41" spans="1:10">
      <c r="A41" s="7"/>
      <c r="B41" s="7"/>
      <c r="C41" s="6"/>
      <c r="D41" s="5">
        <f t="shared" si="0"/>
        <v>0</v>
      </c>
      <c r="E41" s="4"/>
      <c r="F41" s="62" t="s">
        <v>91</v>
      </c>
      <c r="G41" s="233" t="s">
        <v>101</v>
      </c>
      <c r="H41" s="233"/>
      <c r="I41" s="233"/>
    </row>
    <row r="42" spans="1:10">
      <c r="A42" s="7"/>
      <c r="B42" s="7"/>
      <c r="C42" s="6"/>
      <c r="D42" s="5">
        <f t="shared" si="0"/>
        <v>0</v>
      </c>
      <c r="E42" s="4"/>
      <c r="F42" s="62" t="s">
        <v>95</v>
      </c>
      <c r="G42" s="233" t="s">
        <v>100</v>
      </c>
      <c r="H42" s="233"/>
      <c r="I42" s="233"/>
    </row>
    <row r="43" spans="1:10">
      <c r="A43" s="7"/>
      <c r="B43" s="7"/>
      <c r="C43" s="6"/>
      <c r="D43" s="5">
        <f t="shared" si="0"/>
        <v>0</v>
      </c>
      <c r="E43" s="4"/>
    </row>
    <row r="44" spans="1:10">
      <c r="A44" s="7"/>
      <c r="B44" s="7"/>
      <c r="C44" s="6"/>
      <c r="D44" s="5">
        <f t="shared" si="0"/>
        <v>0</v>
      </c>
      <c r="E44" s="4"/>
    </row>
    <row r="45" spans="1:10">
      <c r="A45" s="7"/>
      <c r="B45" s="7"/>
      <c r="C45" s="6"/>
      <c r="D45" s="5">
        <f t="shared" si="0"/>
        <v>0</v>
      </c>
      <c r="E45" s="4"/>
    </row>
    <row r="46" spans="1:10">
      <c r="C46" s="3" t="s">
        <v>0</v>
      </c>
      <c r="D46" s="2">
        <f>SUM(D2:D45)</f>
        <v>4150</v>
      </c>
    </row>
  </sheetData>
  <mergeCells count="9">
    <mergeCell ref="G42:I42"/>
    <mergeCell ref="F35:I35"/>
    <mergeCell ref="G41:I41"/>
    <mergeCell ref="G40:I40"/>
    <mergeCell ref="H19:I19"/>
    <mergeCell ref="G36:I36"/>
    <mergeCell ref="G37:I37"/>
    <mergeCell ref="G38:I38"/>
    <mergeCell ref="G39:I39"/>
  </mergeCells>
  <dataValidations count="4">
    <dataValidation type="list" allowBlank="1" showInputMessage="1" showErrorMessage="1" sqref="G38:I38" xr:uid="{1BBEF74D-0922-4BA3-BD82-560C4556E37E}">
      <formula1>"FINANCIADO, Á VISTA, CARTÃO"</formula1>
    </dataValidation>
    <dataValidation type="list" allowBlank="1" showInputMessage="1" showErrorMessage="1" sqref="G37:I37" xr:uid="{13DB514A-FDAF-4F8C-BEA6-F95FD6DDF465}">
      <formula1>"CERÂMICO,METÁLICO,SOLO"</formula1>
    </dataValidation>
    <dataValidation type="list" allowBlank="1" showInputMessage="1" showErrorMessage="1" sqref="G36" xr:uid="{A3BEC3E0-3A4D-4290-91F2-7E6DDF34E275}">
      <formula1>$A$2:$A$45</formula1>
    </dataValidation>
    <dataValidation type="list" allowBlank="1" showInputMessage="1" showErrorMessage="1" sqref="G41:I41" xr:uid="{7B22143D-E03C-4B62-B7ED-DAB7527FDD2E}">
      <formula1>"KIT PROTEÇÃO TRIFÁSICO,KIT PROTEÇÃO MONOFÁSICO"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INICIAL</vt:lpstr>
      <vt:lpstr>CONTRATO</vt:lpstr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Melke Oliveira</dc:creator>
  <cp:lastModifiedBy>Oziel Rêgo</cp:lastModifiedBy>
  <cp:lastPrinted>2024-06-24T18:46:29Z</cp:lastPrinted>
  <dcterms:created xsi:type="dcterms:W3CDTF">2024-03-27T17:20:39Z</dcterms:created>
  <dcterms:modified xsi:type="dcterms:W3CDTF">2024-07-13T20:28:46Z</dcterms:modified>
</cp:coreProperties>
</file>