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tables/table4.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5.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niels\Downloads\"/>
    </mc:Choice>
  </mc:AlternateContent>
  <xr:revisionPtr revIDLastSave="0" documentId="8_{E2A4BF0F-6DAD-481F-802E-DEDA2D555418}" xr6:coauthVersionLast="47" xr6:coauthVersionMax="47" xr10:uidLastSave="{00000000-0000-0000-0000-000000000000}"/>
  <bookViews>
    <workbookView xWindow="-120" yWindow="-120" windowWidth="29040" windowHeight="15720" xr2:uid="{81742177-C338-45F1-BA62-77A9F85E33CB}"/>
  </bookViews>
  <sheets>
    <sheet name="Explainer" sheetId="11" r:id="rId1"/>
    <sheet name="Comparison" sheetId="10" r:id="rId2"/>
    <sheet name="LCA Material data" sheetId="1" r:id="rId3"/>
    <sheet name="Building params" sheetId="3" state="hidden" r:id="rId4"/>
    <sheet name="Concrete" sheetId="4" r:id="rId5"/>
    <sheet name="LCA Calculation Concrete" sheetId="7" r:id="rId6"/>
    <sheet name="Steel" sheetId="5" r:id="rId7"/>
    <sheet name="LCA Calculation Steel" sheetId="9" r:id="rId8"/>
    <sheet name="Timber" sheetId="6" r:id="rId9"/>
    <sheet name="LCA Calculation Timber" sheetId="8" r:id="rId10"/>
  </sheets>
  <definedNames>
    <definedName name="GFA" localSheetId="5">'LCA Calculation Concrete'!$C$5</definedName>
    <definedName name="GFA" localSheetId="7">'LCA Calculation Steel'!$C$5</definedName>
    <definedName name="GFA" localSheetId="9">'LCA Calculation Timber'!$C$5</definedName>
    <definedName name="G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7" l="1"/>
  <c r="H10" i="8"/>
  <c r="I10" i="8"/>
  <c r="H11" i="8"/>
  <c r="I11" i="8"/>
  <c r="H12" i="8"/>
  <c r="I12" i="8"/>
  <c r="H13" i="8"/>
  <c r="I13" i="8"/>
  <c r="H14" i="8"/>
  <c r="I14" i="8"/>
  <c r="H15" i="8"/>
  <c r="I15" i="8"/>
  <c r="H16" i="8"/>
  <c r="I16" i="8"/>
  <c r="H17" i="8"/>
  <c r="I17" i="8"/>
  <c r="H18" i="8"/>
  <c r="I18" i="8"/>
  <c r="H19" i="8"/>
  <c r="I19" i="8"/>
  <c r="H20" i="8"/>
  <c r="I20" i="8"/>
  <c r="H21" i="8"/>
  <c r="I21" i="8"/>
  <c r="H22" i="8"/>
  <c r="I22" i="8"/>
  <c r="H23" i="8"/>
  <c r="I23" i="8"/>
  <c r="H24" i="8"/>
  <c r="I24" i="8"/>
  <c r="H25" i="8"/>
  <c r="I25" i="8"/>
  <c r="H26" i="8"/>
  <c r="I26" i="8"/>
  <c r="H27" i="8"/>
  <c r="I27" i="8"/>
  <c r="H28" i="8"/>
  <c r="I28" i="8"/>
  <c r="H29" i="8"/>
  <c r="I29" i="8"/>
  <c r="I9" i="8"/>
  <c r="H9" i="8"/>
  <c r="H10" i="9"/>
  <c r="I10" i="9"/>
  <c r="H11" i="9"/>
  <c r="I11" i="9"/>
  <c r="H12" i="9"/>
  <c r="I12" i="9"/>
  <c r="H13" i="9"/>
  <c r="I13" i="9"/>
  <c r="H14" i="9"/>
  <c r="I14" i="9"/>
  <c r="H15" i="9"/>
  <c r="I15" i="9"/>
  <c r="H16" i="9"/>
  <c r="I16" i="9"/>
  <c r="H17" i="9"/>
  <c r="I17" i="9"/>
  <c r="H18" i="9"/>
  <c r="I18" i="9"/>
  <c r="H19" i="9"/>
  <c r="I19" i="9"/>
  <c r="H20" i="9"/>
  <c r="I20" i="9"/>
  <c r="H21" i="9"/>
  <c r="I21" i="9"/>
  <c r="H22" i="9"/>
  <c r="I22" i="9"/>
  <c r="H23" i="9"/>
  <c r="I23" i="9"/>
  <c r="H24" i="9"/>
  <c r="I24" i="9"/>
  <c r="H25" i="9"/>
  <c r="I25" i="9"/>
  <c r="H26" i="9"/>
  <c r="I26" i="9"/>
  <c r="H27" i="9"/>
  <c r="I27" i="9"/>
  <c r="H28" i="9"/>
  <c r="I28" i="9"/>
  <c r="H29" i="9"/>
  <c r="I29" i="9"/>
  <c r="I9" i="9"/>
  <c r="H9" i="9"/>
  <c r="I9" i="7" l="1"/>
  <c r="I10" i="7"/>
  <c r="I11" i="7"/>
  <c r="I12" i="7"/>
  <c r="I13" i="7"/>
  <c r="I14" i="7"/>
  <c r="I15" i="7"/>
  <c r="I16" i="7"/>
  <c r="I17" i="7"/>
  <c r="I18" i="7"/>
  <c r="I19" i="7"/>
  <c r="I20" i="7"/>
  <c r="I21" i="7"/>
  <c r="I22" i="7"/>
  <c r="I23" i="7"/>
  <c r="I24" i="7"/>
  <c r="I25" i="7"/>
  <c r="I26" i="7"/>
  <c r="I27" i="7"/>
  <c r="I28" i="7"/>
  <c r="I29" i="7"/>
  <c r="I30" i="7"/>
  <c r="H9" i="7"/>
  <c r="H10" i="7"/>
  <c r="H11" i="7"/>
  <c r="H12" i="7"/>
  <c r="H13" i="7"/>
  <c r="H14" i="7"/>
  <c r="H15" i="7"/>
  <c r="H16" i="7"/>
  <c r="H17" i="7"/>
  <c r="H18" i="7"/>
  <c r="H19" i="7"/>
  <c r="H20" i="7"/>
  <c r="H21" i="7"/>
  <c r="H22" i="7"/>
  <c r="H23" i="7"/>
  <c r="H24" i="7"/>
  <c r="H25" i="7"/>
  <c r="H26" i="7"/>
  <c r="H27" i="7"/>
  <c r="H28" i="7"/>
  <c r="H29" i="7"/>
  <c r="H30" i="7"/>
  <c r="H6" i="1"/>
  <c r="H5" i="1"/>
  <c r="H4" i="1"/>
  <c r="E17" i="1"/>
  <c r="E15" i="1"/>
  <c r="E16" i="1"/>
  <c r="C5" i="7"/>
  <c r="D16" i="1"/>
  <c r="D17" i="1"/>
  <c r="F26" i="7"/>
  <c r="D15" i="1"/>
  <c r="C16" i="1"/>
  <c r="C15" i="1"/>
  <c r="C17" i="1"/>
  <c r="F9" i="8"/>
  <c r="F10" i="8"/>
  <c r="F11" i="8"/>
  <c r="F12" i="8"/>
  <c r="F13" i="8"/>
  <c r="F14" i="8"/>
  <c r="F15" i="8"/>
  <c r="F16" i="8"/>
  <c r="F17" i="8"/>
  <c r="F18" i="8"/>
  <c r="F19" i="8"/>
  <c r="F20" i="8"/>
  <c r="F21" i="8"/>
  <c r="F22" i="8"/>
  <c r="F23" i="8"/>
  <c r="F24" i="8"/>
  <c r="F25" i="8"/>
  <c r="F26" i="8"/>
  <c r="F27" i="8"/>
  <c r="F28" i="8"/>
  <c r="F29" i="8"/>
  <c r="C29" i="8"/>
  <c r="C28" i="8"/>
  <c r="C27" i="8"/>
  <c r="C26" i="8"/>
  <c r="C25" i="8"/>
  <c r="C24" i="8"/>
  <c r="C9" i="8"/>
  <c r="C10" i="8"/>
  <c r="C11" i="8"/>
  <c r="C12" i="8"/>
  <c r="C13" i="8"/>
  <c r="C14" i="8"/>
  <c r="C15" i="8"/>
  <c r="C16" i="8"/>
  <c r="C17" i="8"/>
  <c r="C18" i="8"/>
  <c r="C19" i="8"/>
  <c r="C20" i="8"/>
  <c r="C21" i="8"/>
  <c r="C22" i="8"/>
  <c r="C23" i="8"/>
  <c r="D23" i="6"/>
  <c r="F23" i="6" s="1"/>
  <c r="D22" i="6"/>
  <c r="F22" i="6" s="1"/>
  <c r="D21" i="6"/>
  <c r="F21" i="6" s="1"/>
  <c r="D20" i="6"/>
  <c r="F20" i="6" s="1"/>
  <c r="D19" i="6"/>
  <c r="F19" i="6" s="1"/>
  <c r="D18" i="6"/>
  <c r="F18" i="6" s="1"/>
  <c r="D17" i="6"/>
  <c r="F17" i="6" s="1"/>
  <c r="F16" i="6"/>
  <c r="D16" i="6"/>
  <c r="E15" i="6"/>
  <c r="D15" i="6"/>
  <c r="F15" i="6" s="1"/>
  <c r="D13" i="6"/>
  <c r="D14" i="6" s="1"/>
  <c r="F14" i="6" s="1"/>
  <c r="F12" i="6"/>
  <c r="E12" i="6"/>
  <c r="D12" i="6"/>
  <c r="F11" i="6"/>
  <c r="E11" i="6"/>
  <c r="D11" i="6"/>
  <c r="D10" i="6"/>
  <c r="F10" i="6" s="1"/>
  <c r="D9" i="6"/>
  <c r="F9" i="6" s="1"/>
  <c r="F8" i="6"/>
  <c r="D7" i="6"/>
  <c r="F7" i="6" s="1"/>
  <c r="D6" i="6"/>
  <c r="F6" i="6" s="1"/>
  <c r="F5" i="6"/>
  <c r="D5" i="6"/>
  <c r="F4" i="6"/>
  <c r="D4" i="6"/>
  <c r="E3" i="6"/>
  <c r="D3" i="6"/>
  <c r="F3" i="6" s="1"/>
  <c r="F9" i="9"/>
  <c r="F10" i="9"/>
  <c r="F11" i="9"/>
  <c r="F12" i="9"/>
  <c r="F13" i="9"/>
  <c r="F14" i="9"/>
  <c r="F15" i="9"/>
  <c r="F16" i="9"/>
  <c r="F17" i="9"/>
  <c r="F18" i="9"/>
  <c r="F19" i="9"/>
  <c r="F20" i="9"/>
  <c r="F21" i="9"/>
  <c r="F22" i="9"/>
  <c r="F23" i="9"/>
  <c r="F24" i="9"/>
  <c r="F25" i="9"/>
  <c r="F27" i="9"/>
  <c r="F28" i="9"/>
  <c r="F29" i="9"/>
  <c r="C29" i="9"/>
  <c r="C28" i="9"/>
  <c r="C27" i="9"/>
  <c r="C9" i="9"/>
  <c r="C10" i="9"/>
  <c r="C11" i="9"/>
  <c r="C12" i="9"/>
  <c r="C13" i="9"/>
  <c r="C14" i="9"/>
  <c r="C15" i="9"/>
  <c r="C16" i="9"/>
  <c r="C17" i="9"/>
  <c r="C18" i="9"/>
  <c r="C19" i="9"/>
  <c r="C20" i="9"/>
  <c r="C21" i="9"/>
  <c r="C22" i="9"/>
  <c r="C23" i="9"/>
  <c r="C24" i="9"/>
  <c r="C25" i="9"/>
  <c r="C26" i="9"/>
  <c r="E23" i="5"/>
  <c r="F23" i="5" s="1"/>
  <c r="D23" i="5"/>
  <c r="E22" i="5"/>
  <c r="F22" i="5" s="1"/>
  <c r="D22" i="5"/>
  <c r="E21" i="5"/>
  <c r="F21" i="5" s="1"/>
  <c r="D21" i="5"/>
  <c r="D20" i="5"/>
  <c r="F20" i="5" s="1"/>
  <c r="F26" i="9" s="1"/>
  <c r="F19" i="5"/>
  <c r="F18" i="5"/>
  <c r="F17" i="5"/>
  <c r="C17" i="5"/>
  <c r="C16" i="5"/>
  <c r="F16" i="5" s="1"/>
  <c r="E15" i="5"/>
  <c r="D14" i="5"/>
  <c r="D15" i="5" s="1"/>
  <c r="F15" i="5" s="1"/>
  <c r="D13" i="5"/>
  <c r="F13" i="5" s="1"/>
  <c r="C13" i="5"/>
  <c r="F12" i="5"/>
  <c r="D12" i="5"/>
  <c r="D11" i="5"/>
  <c r="F11" i="5" s="1"/>
  <c r="D10" i="5"/>
  <c r="F10" i="5" s="1"/>
  <c r="D9" i="5"/>
  <c r="F9" i="5" s="1"/>
  <c r="F8" i="5"/>
  <c r="D7" i="5"/>
  <c r="F7" i="5" s="1"/>
  <c r="D6" i="5"/>
  <c r="F6" i="5" s="1"/>
  <c r="D5" i="5"/>
  <c r="F5" i="5" s="1"/>
  <c r="F4" i="5"/>
  <c r="D4" i="5"/>
  <c r="E3" i="5"/>
  <c r="D3" i="5"/>
  <c r="F3" i="5" s="1"/>
  <c r="D21" i="4"/>
  <c r="F21" i="4"/>
  <c r="F27" i="7" s="1"/>
  <c r="F9" i="7"/>
  <c r="F10" i="7"/>
  <c r="F11" i="7"/>
  <c r="F12" i="7"/>
  <c r="F13" i="7"/>
  <c r="F14" i="7"/>
  <c r="F15" i="7"/>
  <c r="F16" i="7"/>
  <c r="F17" i="7"/>
  <c r="F18" i="7"/>
  <c r="F19" i="7"/>
  <c r="F20" i="7"/>
  <c r="F21" i="7"/>
  <c r="F22" i="7"/>
  <c r="F23" i="7"/>
  <c r="F24" i="7"/>
  <c r="F25" i="7"/>
  <c r="F28" i="7"/>
  <c r="F29" i="7"/>
  <c r="F30" i="7"/>
  <c r="C30" i="7"/>
  <c r="C29" i="7"/>
  <c r="C28" i="7"/>
  <c r="C27" i="7"/>
  <c r="C26" i="7"/>
  <c r="C9" i="7"/>
  <c r="C10" i="7"/>
  <c r="C11" i="7"/>
  <c r="C12" i="7"/>
  <c r="C13" i="7"/>
  <c r="C14" i="7"/>
  <c r="C15" i="7"/>
  <c r="C16" i="7"/>
  <c r="C17" i="7"/>
  <c r="C18" i="7"/>
  <c r="C19" i="7"/>
  <c r="C20" i="7"/>
  <c r="C21" i="7"/>
  <c r="C22" i="7"/>
  <c r="C23" i="7"/>
  <c r="C24" i="7"/>
  <c r="C25" i="7"/>
  <c r="F24" i="4"/>
  <c r="E24" i="4"/>
  <c r="D24" i="4"/>
  <c r="F23" i="4"/>
  <c r="E23" i="4"/>
  <c r="D23" i="4"/>
  <c r="E22" i="4"/>
  <c r="F22" i="4" s="1"/>
  <c r="D22" i="4"/>
  <c r="F20" i="4"/>
  <c r="D20" i="4"/>
  <c r="F19" i="4"/>
  <c r="D19" i="4"/>
  <c r="F18" i="4"/>
  <c r="D18" i="4"/>
  <c r="E17" i="4"/>
  <c r="F17" i="4" s="1"/>
  <c r="D17" i="4"/>
  <c r="E16" i="4"/>
  <c r="F16" i="4" s="1"/>
  <c r="D16" i="4"/>
  <c r="E15" i="4"/>
  <c r="D14" i="4"/>
  <c r="D15" i="4" s="1"/>
  <c r="F15" i="4" s="1"/>
  <c r="D13" i="4"/>
  <c r="F13" i="4" s="1"/>
  <c r="D12" i="4"/>
  <c r="F12" i="4" s="1"/>
  <c r="D11" i="4"/>
  <c r="F11" i="4" s="1"/>
  <c r="F10" i="4"/>
  <c r="D10" i="4"/>
  <c r="D9" i="4"/>
  <c r="F9" i="4" s="1"/>
  <c r="F8" i="4"/>
  <c r="D7" i="4"/>
  <c r="F7" i="4" s="1"/>
  <c r="D6" i="4"/>
  <c r="F6" i="4" s="1"/>
  <c r="F5" i="4"/>
  <c r="D5" i="4"/>
  <c r="D4" i="4"/>
  <c r="F4" i="4" s="1"/>
  <c r="E3" i="4"/>
  <c r="D3" i="4"/>
  <c r="F3" i="4" s="1"/>
  <c r="K30" i="9"/>
  <c r="O30" i="9" s="1"/>
  <c r="P30" i="9" s="1"/>
  <c r="K29" i="9"/>
  <c r="K28" i="9"/>
  <c r="K27" i="9"/>
  <c r="K26" i="9"/>
  <c r="K25" i="9"/>
  <c r="C5" i="9"/>
  <c r="K30" i="8"/>
  <c r="O30" i="8" s="1"/>
  <c r="P30" i="8" s="1"/>
  <c r="K29" i="8"/>
  <c r="K28" i="8"/>
  <c r="K27" i="8"/>
  <c r="K26" i="8"/>
  <c r="K25" i="8"/>
  <c r="C5" i="8"/>
  <c r="K31" i="7"/>
  <c r="O31" i="7" s="1"/>
  <c r="K30" i="7"/>
  <c r="K29" i="7"/>
  <c r="K28" i="7"/>
  <c r="K27" i="7"/>
  <c r="K26" i="7"/>
  <c r="M28" i="7" l="1"/>
  <c r="N28" i="7" s="1"/>
  <c r="O30" i="7"/>
  <c r="P30" i="7" s="1"/>
  <c r="F13" i="6"/>
  <c r="M26" i="8"/>
  <c r="N26" i="8" s="1"/>
  <c r="M29" i="9"/>
  <c r="N29" i="9" s="1"/>
  <c r="F14" i="5"/>
  <c r="M25" i="9"/>
  <c r="N25" i="9" s="1"/>
  <c r="O26" i="7"/>
  <c r="P26" i="7" s="1"/>
  <c r="F14" i="4"/>
  <c r="O25" i="9"/>
  <c r="P25" i="9" s="1"/>
  <c r="M30" i="9"/>
  <c r="N30" i="9" s="1"/>
  <c r="O25" i="8"/>
  <c r="P25" i="8" s="1"/>
  <c r="M28" i="8"/>
  <c r="N28" i="8" s="1"/>
  <c r="M29" i="8"/>
  <c r="N29" i="8" s="1"/>
  <c r="M30" i="8"/>
  <c r="N30" i="8" s="1"/>
  <c r="P31" i="7"/>
  <c r="M31" i="7"/>
  <c r="N31" i="7" s="1"/>
  <c r="M26" i="7"/>
  <c r="N26" i="7" s="1"/>
  <c r="M29" i="7" l="1"/>
  <c r="N29" i="7" s="1"/>
  <c r="M27" i="7"/>
  <c r="N27" i="7" s="1"/>
  <c r="O29" i="7"/>
  <c r="P29" i="7" s="1"/>
  <c r="O27" i="9"/>
  <c r="P27" i="9" s="1"/>
  <c r="M30" i="7"/>
  <c r="N30" i="7" s="1"/>
  <c r="O28" i="8"/>
  <c r="P28" i="8" s="1"/>
  <c r="O27" i="8"/>
  <c r="P27" i="8" s="1"/>
  <c r="M27" i="8"/>
  <c r="N27" i="8" s="1"/>
  <c r="O26" i="8"/>
  <c r="P26" i="8" s="1"/>
  <c r="I30" i="8"/>
  <c r="G4" i="8" s="1"/>
  <c r="O28" i="9"/>
  <c r="P28" i="9" s="1"/>
  <c r="O29" i="9"/>
  <c r="P29" i="9" s="1"/>
  <c r="O26" i="9"/>
  <c r="P26" i="9" s="1"/>
  <c r="M26" i="9"/>
  <c r="N26" i="9" s="1"/>
  <c r="H30" i="9"/>
  <c r="G3" i="9" s="1"/>
  <c r="O27" i="7"/>
  <c r="P27" i="7" s="1"/>
  <c r="M27" i="9"/>
  <c r="N27" i="9" s="1"/>
  <c r="M28" i="9"/>
  <c r="N28" i="9" s="1"/>
  <c r="I30" i="9"/>
  <c r="G4" i="9" s="1"/>
  <c r="O29" i="8"/>
  <c r="P29" i="8" s="1"/>
  <c r="M25" i="8"/>
  <c r="N25" i="8" s="1"/>
  <c r="H30" i="8"/>
  <c r="G3" i="8" s="1"/>
  <c r="I31" i="7"/>
  <c r="G4" i="7" s="1"/>
  <c r="O28" i="7"/>
  <c r="P28" i="7" s="1"/>
  <c r="H31" i="7"/>
  <c r="G3" i="7" s="1"/>
  <c r="H3" i="7" s="1"/>
  <c r="H3" i="9" l="1"/>
  <c r="D22" i="10" s="1"/>
  <c r="C22" i="10"/>
  <c r="D4" i="10"/>
  <c r="C4" i="10"/>
  <c r="H4" i="7"/>
  <c r="C5" i="10"/>
  <c r="H4" i="9"/>
  <c r="C23" i="10"/>
  <c r="H4" i="8"/>
  <c r="C41" i="10"/>
  <c r="H3" i="8"/>
  <c r="D40" i="10" s="1"/>
  <c r="C40" i="10"/>
  <c r="D6" i="10" l="1"/>
  <c r="D5" i="10"/>
  <c r="H5" i="9"/>
  <c r="D24" i="10" s="1"/>
  <c r="D23" i="10"/>
  <c r="H5" i="8"/>
  <c r="D42" i="10" s="1"/>
  <c r="D41" i="10"/>
</calcChain>
</file>

<file path=xl/sharedStrings.xml><?xml version="1.0" encoding="utf-8"?>
<sst xmlns="http://schemas.openxmlformats.org/spreadsheetml/2006/main" count="541" uniqueCount="121">
  <si>
    <t>Material</t>
  </si>
  <si>
    <t>Density
[kg/m3]</t>
  </si>
  <si>
    <t>GWP (A1-A3)</t>
  </si>
  <si>
    <t>ECI</t>
  </si>
  <si>
    <t>Materiaal</t>
  </si>
  <si>
    <t>Dichtheid</t>
  </si>
  <si>
    <t>Equivalente 
CO2 uitstoot</t>
  </si>
  <si>
    <t>MKI</t>
  </si>
  <si>
    <t>Referentie</t>
  </si>
  <si>
    <t>Reference</t>
  </si>
  <si>
    <t>GWP (A1-A3)
[kg CO2e/kg]</t>
  </si>
  <si>
    <t>ECI
[€/kg]</t>
  </si>
  <si>
    <t>Schuurman M., Robbemont A; "Verduurzaming tunnelgietbouw", Cement 8 (2023)</t>
  </si>
  <si>
    <t>(Schuurman M.)</t>
  </si>
  <si>
    <t>EPD Vereniging Wapeningsstaal Nederland (2021)</t>
  </si>
  <si>
    <t>Punrell, 2015</t>
  </si>
  <si>
    <t>IStructE, "How to calculate embodied carbon" - table 2.3</t>
  </si>
  <si>
    <t>Bouwen met Staal</t>
  </si>
  <si>
    <t>Element</t>
  </si>
  <si>
    <t>Quantity
[m3 or kg]</t>
  </si>
  <si>
    <t>Reinforcement
[kg/m3]</t>
  </si>
  <si>
    <t>m3</t>
  </si>
  <si>
    <t>kg</t>
  </si>
  <si>
    <t>Volume [m3] 
or mass [kg]</t>
  </si>
  <si>
    <t>GWP (A1-A3)
[kg CO2e]</t>
  </si>
  <si>
    <t>ECI
[€]</t>
  </si>
  <si>
    <t>Total</t>
  </si>
  <si>
    <t>/m2 (GFA)</t>
  </si>
  <si>
    <t>Project:</t>
  </si>
  <si>
    <t>This is a so-called Excel Table; using the TAB key you can insert new lines in the table</t>
  </si>
  <si>
    <t>The TOTALS row is calculated automatically</t>
  </si>
  <si>
    <t>EPB</t>
  </si>
  <si>
    <t>Category</t>
  </si>
  <si>
    <t>Gross Floor Area (GFA):</t>
  </si>
  <si>
    <t>Reference Service Life (RSL):</t>
  </si>
  <si>
    <r>
      <t xml:space="preserve">m2 | </t>
    </r>
    <r>
      <rPr>
        <i/>
        <sz val="8"/>
        <color theme="1"/>
        <rFont val="Aptos Narrow"/>
        <family val="2"/>
        <scheme val="minor"/>
      </rPr>
      <t>m2 roof do not count for GFA</t>
    </r>
  </si>
  <si>
    <r>
      <t xml:space="preserve">years | </t>
    </r>
    <r>
      <rPr>
        <i/>
        <sz val="8"/>
        <color theme="1"/>
        <rFont val="Aptos Narrow"/>
        <family val="2"/>
        <scheme val="minor"/>
      </rPr>
      <t>50 years = offices/utility, 75 years = residential/mixed use</t>
    </r>
  </si>
  <si>
    <t>ID</t>
  </si>
  <si>
    <t>Piling</t>
  </si>
  <si>
    <t>Substructure</t>
  </si>
  <si>
    <t>Structural frame</t>
  </si>
  <si>
    <t>Floors/roof</t>
  </si>
  <si>
    <t>Structural walls</t>
  </si>
  <si>
    <t>Other</t>
  </si>
  <si>
    <t>€</t>
  </si>
  <si>
    <t>€/yr</t>
  </si>
  <si>
    <t>ECI = Environmental Cost Indicator / Milieukosten Indicator (NL)</t>
  </si>
  <si>
    <t>GWP = Global Warming Potential / Opwarming (broeikasgas) (NL)</t>
  </si>
  <si>
    <t>EPB = Environmental Performance of Buildings / MilieuPrestatie Gebouwen (MPG) (NL)</t>
  </si>
  <si>
    <t xml:space="preserve">   </t>
  </si>
  <si>
    <t>Visualisation</t>
  </si>
  <si>
    <t>GWP</t>
  </si>
  <si>
    <t>/m2</t>
  </si>
  <si>
    <t>Targets</t>
  </si>
  <si>
    <t>GWP: Guardian Glass EU EPD Unprocessed Flat Glass; MKI: https://milieudatabase.nl/nl/viewer/milieuverklaring/nmd_91476/</t>
  </si>
  <si>
    <t>https://www.calduran.nl/downloads/epd-elementen</t>
  </si>
  <si>
    <t>KNB-keramiek</t>
  </si>
  <si>
    <t>Ground Floor</t>
  </si>
  <si>
    <t>First Floor</t>
  </si>
  <si>
    <t>Second Floor</t>
  </si>
  <si>
    <t>Exctrated data from Revit</t>
  </si>
  <si>
    <t>Concrete</t>
  </si>
  <si>
    <t>Octatube Concrete</t>
  </si>
  <si>
    <t>Timber / CLT (with CO2 storage)</t>
  </si>
  <si>
    <t>Construction steel /heavy (NL)</t>
  </si>
  <si>
    <t>Timber / glulam (without CO2 storage)</t>
  </si>
  <si>
    <t>Timber / glulam (with CO2 storage)</t>
  </si>
  <si>
    <t>Timber / CLT (without CO2 storage)</t>
  </si>
  <si>
    <t>Timber / softwoord (without CO2 storage)</t>
  </si>
  <si>
    <t>Timber / softwood (without CO2 storage)</t>
  </si>
  <si>
    <t>Reinforcement steel (new steel)</t>
  </si>
  <si>
    <t>Reinforcement steel (VWN, 83% recycled steel)</t>
  </si>
  <si>
    <t>Concrete / prefab; C55/67+ / fast hardening (NL)</t>
  </si>
  <si>
    <t>Sand-lime brick</t>
  </si>
  <si>
    <t>Steel</t>
  </si>
  <si>
    <t>Octatube Steel</t>
  </si>
  <si>
    <t>Octatube Timber</t>
  </si>
  <si>
    <t>Timber</t>
  </si>
  <si>
    <t xml:space="preserve"> Material</t>
  </si>
  <si>
    <t>Amount</t>
  </si>
  <si>
    <t>Foundation piles</t>
  </si>
  <si>
    <t>Foundation strips</t>
  </si>
  <si>
    <t>Pours</t>
  </si>
  <si>
    <t>Inner Columns</t>
  </si>
  <si>
    <t>Outer Columns</t>
  </si>
  <si>
    <t>Office Columns</t>
  </si>
  <si>
    <t>First Floor Beam</t>
  </si>
  <si>
    <t>Second, Third Floor Beam</t>
  </si>
  <si>
    <t>Roof beam, thick</t>
  </si>
  <si>
    <t>Roof beam, end</t>
  </si>
  <si>
    <t>Roof beam, length</t>
  </si>
  <si>
    <t>Zandkalksteen</t>
  </si>
  <si>
    <t>Walls</t>
  </si>
  <si>
    <t>Roof panels, 1</t>
  </si>
  <si>
    <t>Roof panels, 2</t>
  </si>
  <si>
    <t>Roof panels, 3</t>
  </si>
  <si>
    <t>Thickness or Length [m]</t>
  </si>
  <si>
    <r>
      <t>Area [m</t>
    </r>
    <r>
      <rPr>
        <i/>
        <vertAlign val="superscript"/>
        <sz val="11"/>
        <color theme="1"/>
        <rFont val="Aptos Narrow"/>
        <family val="2"/>
        <scheme val="minor"/>
      </rPr>
      <t>2</t>
    </r>
    <r>
      <rPr>
        <i/>
        <sz val="11"/>
        <color theme="1"/>
        <rFont val="Aptos Narrow"/>
        <family val="2"/>
        <scheme val="minor"/>
      </rPr>
      <t>]</t>
    </r>
  </si>
  <si>
    <r>
      <t>Volume [m</t>
    </r>
    <r>
      <rPr>
        <i/>
        <vertAlign val="superscript"/>
        <sz val="11"/>
        <color theme="1"/>
        <rFont val="Aptos Narrow"/>
        <family val="2"/>
        <scheme val="minor"/>
      </rPr>
      <t>3</t>
    </r>
    <r>
      <rPr>
        <i/>
        <sz val="11"/>
        <color theme="1"/>
        <rFont val="Aptos Narrow"/>
        <family val="2"/>
        <scheme val="minor"/>
      </rPr>
      <t>]</t>
    </r>
  </si>
  <si>
    <t>Office beam, width</t>
  </si>
  <si>
    <t>Office beam, length</t>
  </si>
  <si>
    <t>Roof beam, width</t>
  </si>
  <si>
    <t>Roof beam, width thin</t>
  </si>
  <si>
    <t>Roof beam, width thick</t>
  </si>
  <si>
    <t>Walls, 1</t>
  </si>
  <si>
    <t>Walls, 2</t>
  </si>
  <si>
    <t>Glass (converted from 4mm thickness)</t>
  </si>
  <si>
    <t>Masonry (converted from 100mm thickness)</t>
  </si>
  <si>
    <t>Sand-lime brick (converted from 100mm thickness)</t>
  </si>
  <si>
    <t>Concrete / casted in situ; C30/37 OR slow hardening (NL)</t>
  </si>
  <si>
    <t>Concrete / casted in situ; C40/50 OR average hardening (NL)</t>
  </si>
  <si>
    <t>Concrete / casted in situ; C55/67+ OR fast hardening (NL)</t>
  </si>
  <si>
    <t>This document can be used as a simplified tool for an LCA calcultion. The goal is to get an ECI and EPB score for a construction, thereby assisting the engineer in a sustainable design process. Also the GWP is caluclated, but limited to construction of half-products stage A1-A3.</t>
  </si>
  <si>
    <t>Goal</t>
  </si>
  <si>
    <t>Method</t>
  </si>
  <si>
    <t xml:space="preserve">In order to get an overview how sustainable a construction method is, first an inventory needs to be made up of the building materials necessary. Therefore, the volume of steel or concrete needs to be found in a construction. There are mulitple tools to do this. When this is known the engineer needs to find the relevant Environmental Product Declarations (EPD's), which reflect the GWP values and can include the ECI (or Dutch MKI) value. The data of this material needs to be inputted into the LCA Material data tab. </t>
  </si>
  <si>
    <t>LCA Tool Explained</t>
  </si>
  <si>
    <t>The next steps consists of combining the obtained data, for this purpose it is best to create a separate sheet. Here you set each element found in the construction. An example of an element is ´Floor 1st floor´. For this element you can also enter the category, which in this case is ´Floors/roof´. You should also specifcy the material, for which you can use the dropdown list, so that the name correspons exactly to the name in the LCA Material data list. You enter the unit (m3 or kg) and select the amount. Often it can come in handy to store the volumes in a separate tab and select the output of the volume or weight calculation from here.  If there is reinforcement present (in concrete), you should specify the amount or estimate this based on the element type.</t>
  </si>
  <si>
    <t>The table now calculates the total amount of CO2 for the stages A1-A3 for the GWP and also calculates the ECI value of the specific element. It automatically sums the outputs in the total row at the bottom.</t>
  </si>
  <si>
    <t>Visualisation of output</t>
  </si>
  <si>
    <t>If the GWP and ECI are known, and the Reference Service Life (RSL) and Gross Floor Area (GFA) are inputted at the top an estimation of how the building performs regarding sustainability can be made, especially in comparison with different alternatives. The performance is measured in ECI value divided by RSL and GFA, to make an equal comparison between different building sizes. An addtional visualisation is to see the effect of the different categories in the construction, which is visualised at the bottom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</si>
</sst>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quot;€&quot;\ * #,##0.00_ ;_ &quot;€&quot;\ * \-#,##0.00_ ;_ &quot;€&quot;\ * &quot;-&quot;??_ ;_ @_ "/>
    <numFmt numFmtId="165" formatCode="_ &quot;€&quot;\ * #,##0.0000_ ;_ &quot;€&quot;\ * \-#,##0.0000_ ;_ &quot;€&quot;\ * &quot;-&quot;??_ ;_ @_ "/>
    <numFmt numFmtId="166" formatCode="0.000"/>
    <numFmt numFmtId="167" formatCode="_-[$€-2]\ * #,##0.00_-;\-[$€-2]\ * #,##0.00_-;_-[$€-2]\ * &quot;-&quot;??_-;_-@_-"/>
    <numFmt numFmtId="168" formatCode="0.0"/>
  </numFmts>
  <fonts count="15"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rgb="FF7030A0"/>
      <name val="Aptos Narrow"/>
      <family val="2"/>
      <scheme val="minor"/>
    </font>
    <font>
      <i/>
      <sz val="11"/>
      <color theme="1"/>
      <name val="Aptos Narrow"/>
      <family val="2"/>
      <scheme val="minor"/>
    </font>
    <font>
      <i/>
      <sz val="8"/>
      <color theme="1"/>
      <name val="Aptos Narrow"/>
      <family val="2"/>
      <scheme val="minor"/>
    </font>
    <font>
      <sz val="11"/>
      <name val="Aptos Narrow"/>
      <family val="2"/>
      <scheme val="minor"/>
    </font>
    <font>
      <i/>
      <vertAlign val="superscript"/>
      <sz val="11"/>
      <color theme="1"/>
      <name val="Aptos Narrow"/>
      <family val="2"/>
      <scheme val="minor"/>
    </font>
    <font>
      <sz val="8"/>
      <name val="Aptos Narrow"/>
      <family val="2"/>
      <scheme val="minor"/>
    </font>
    <font>
      <b/>
      <sz val="20"/>
      <color theme="1"/>
      <name val="Aptos Narrow"/>
      <family val="2"/>
      <scheme val="minor"/>
    </font>
    <font>
      <u/>
      <sz val="11"/>
      <color theme="10"/>
      <name val="Aptos Narrow"/>
      <family val="2"/>
      <scheme val="minor"/>
    </font>
    <font>
      <i/>
      <sz val="8"/>
      <color rgb="FF000000"/>
      <name val="Aptos Narrow"/>
      <family val="2"/>
      <scheme val="minor"/>
    </font>
    <font>
      <b/>
      <sz val="14"/>
      <color theme="1"/>
      <name val="Aptos Narrow"/>
      <family val="2"/>
      <scheme val="minor"/>
    </font>
    <font>
      <u/>
      <sz val="12"/>
      <color theme="1"/>
      <name val="Aptos Narrow"/>
      <family val="2"/>
      <scheme val="minor"/>
    </font>
  </fonts>
  <fills count="8">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2"/>
        <bgColor indexed="64"/>
      </patternFill>
    </fill>
    <fill>
      <patternFill patternType="solid">
        <fgColor theme="8" tint="0.59999389629810485"/>
        <bgColor indexed="64"/>
      </patternFill>
    </fill>
    <fill>
      <patternFill patternType="solid">
        <fgColor theme="8" tint="0.39997558519241921"/>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164" fontId="1" fillId="0" borderId="0" applyFont="0" applyFill="0" applyBorder="0" applyAlignment="0" applyProtection="0"/>
    <xf numFmtId="0" fontId="11" fillId="0" borderId="0" applyNumberFormat="0" applyFill="0" applyBorder="0" applyAlignment="0" applyProtection="0"/>
  </cellStyleXfs>
  <cellXfs count="72">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center"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center" vertical="center" wrapText="1"/>
    </xf>
    <xf numFmtId="165" fontId="0" fillId="0" borderId="0" xfId="1" applyNumberFormat="1" applyFont="1" applyAlignment="1">
      <alignment horizontal="center" vertical="center"/>
    </xf>
    <xf numFmtId="166" fontId="0" fillId="0" borderId="0" xfId="0" applyNumberFormat="1"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4" fillId="0" borderId="0" xfId="0" applyFont="1" applyAlignment="1">
      <alignment vertical="center"/>
    </xf>
    <xf numFmtId="0" fontId="2" fillId="0" borderId="0" xfId="0" applyFont="1" applyAlignment="1">
      <alignment horizontal="left" vertical="center"/>
    </xf>
    <xf numFmtId="1" fontId="0" fillId="0" borderId="0" xfId="0" applyNumberFormat="1" applyAlignment="1">
      <alignment horizontal="center" vertical="center"/>
    </xf>
    <xf numFmtId="0" fontId="5" fillId="0" borderId="0" xfId="0" applyFont="1" applyAlignment="1">
      <alignment vertical="center"/>
    </xf>
    <xf numFmtId="0" fontId="0" fillId="0" borderId="1" xfId="0" applyBorder="1" applyAlignment="1">
      <alignment horizontal="left" vertical="center"/>
    </xf>
    <xf numFmtId="0" fontId="0" fillId="0" borderId="3" xfId="0" applyBorder="1" applyAlignment="1">
      <alignment horizontal="left" vertical="center"/>
    </xf>
    <xf numFmtId="1" fontId="0" fillId="0" borderId="4" xfId="0" applyNumberFormat="1" applyBorder="1" applyAlignment="1">
      <alignment horizontal="center" vertical="center"/>
    </xf>
    <xf numFmtId="0" fontId="2" fillId="0" borderId="0" xfId="0" applyFont="1" applyAlignment="1">
      <alignment vertical="center"/>
    </xf>
    <xf numFmtId="1" fontId="3" fillId="0" borderId="0" xfId="0" applyNumberFormat="1" applyFont="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quotePrefix="1" applyFont="1" applyBorder="1" applyAlignment="1">
      <alignment horizontal="center" vertical="center"/>
    </xf>
    <xf numFmtId="0" fontId="4" fillId="0" borderId="0" xfId="0" applyFont="1" applyAlignment="1">
      <alignment horizontal="left" vertical="center"/>
    </xf>
    <xf numFmtId="0" fontId="0" fillId="0" borderId="0" xfId="0" applyAlignment="1">
      <alignment horizontal="left" vertical="center" wrapText="1"/>
    </xf>
    <xf numFmtId="0" fontId="0" fillId="0" borderId="2" xfId="0" applyBorder="1" applyAlignment="1">
      <alignment horizontal="left" vertical="center"/>
    </xf>
    <xf numFmtId="0" fontId="3" fillId="0" borderId="7" xfId="0" quotePrefix="1" applyFont="1" applyBorder="1" applyAlignment="1">
      <alignment horizontal="center" vertical="center"/>
    </xf>
    <xf numFmtId="0" fontId="0" fillId="0" borderId="5" xfId="0" applyBorder="1" applyAlignment="1">
      <alignment horizontal="left" vertical="center"/>
    </xf>
    <xf numFmtId="166" fontId="0" fillId="0" borderId="4" xfId="0" applyNumberFormat="1" applyBorder="1" applyAlignment="1">
      <alignment horizontal="center" vertical="center"/>
    </xf>
    <xf numFmtId="0" fontId="6" fillId="0" borderId="0" xfId="0" applyFont="1" applyAlignment="1">
      <alignment horizontal="left" vertical="center"/>
    </xf>
    <xf numFmtId="0" fontId="3" fillId="0" borderId="0" xfId="0" applyFont="1" applyAlignment="1">
      <alignment horizontal="left" vertical="center"/>
    </xf>
    <xf numFmtId="0" fontId="7" fillId="0" borderId="0" xfId="0" applyFont="1" applyAlignment="1">
      <alignment vertical="center"/>
    </xf>
    <xf numFmtId="2" fontId="0" fillId="0" borderId="0" xfId="0" applyNumberFormat="1" applyAlignment="1">
      <alignment horizontal="center" vertical="center"/>
    </xf>
    <xf numFmtId="0" fontId="3" fillId="0" borderId="0" xfId="0" quotePrefix="1" applyFont="1" applyAlignment="1">
      <alignment horizontal="center" vertical="center"/>
    </xf>
    <xf numFmtId="0" fontId="5" fillId="0" borderId="0" xfId="0" applyFont="1"/>
    <xf numFmtId="0" fontId="3" fillId="0" borderId="0" xfId="0" applyFont="1"/>
    <xf numFmtId="0" fontId="5" fillId="0" borderId="0" xfId="0" applyFont="1" applyAlignment="1">
      <alignment horizontal="center" vertical="top"/>
    </xf>
    <xf numFmtId="0" fontId="0" fillId="0" borderId="0" xfId="0" applyAlignment="1">
      <alignment horizontal="left" vertical="center"/>
    </xf>
    <xf numFmtId="167" fontId="0" fillId="0" borderId="0" xfId="0" applyNumberFormat="1" applyAlignment="1">
      <alignment horizontal="center" vertical="center"/>
    </xf>
    <xf numFmtId="167" fontId="3" fillId="0" borderId="0" xfId="0" applyNumberFormat="1" applyFont="1" applyAlignment="1">
      <alignment horizontal="center" vertical="center"/>
    </xf>
    <xf numFmtId="0" fontId="5" fillId="0" borderId="0" xfId="0" applyFont="1" applyAlignment="1">
      <alignment horizontal="center" vertical="center"/>
    </xf>
    <xf numFmtId="0" fontId="0" fillId="0" borderId="0" xfId="0" applyAlignment="1">
      <alignment vertical="top"/>
    </xf>
    <xf numFmtId="0" fontId="0" fillId="0" borderId="0" xfId="0" applyAlignment="1">
      <alignment horizontal="left" vertical="top"/>
    </xf>
    <xf numFmtId="0" fontId="0" fillId="0" borderId="0" xfId="0" applyAlignment="1">
      <alignment horizontal="right" vertical="center"/>
    </xf>
    <xf numFmtId="0" fontId="0" fillId="0" borderId="0" xfId="0" applyAlignment="1">
      <alignment horizontal="left"/>
    </xf>
    <xf numFmtId="0" fontId="0" fillId="0" borderId="0" xfId="0" applyAlignment="1">
      <alignment horizontal="right" vertical="center" wrapText="1"/>
    </xf>
    <xf numFmtId="0" fontId="0" fillId="0" borderId="0" xfId="0" applyAlignment="1">
      <alignment horizontal="right"/>
    </xf>
    <xf numFmtId="0" fontId="0" fillId="2" borderId="0" xfId="0" applyFill="1"/>
    <xf numFmtId="0" fontId="0" fillId="3" borderId="0" xfId="0" applyFill="1"/>
    <xf numFmtId="0" fontId="0" fillId="4" borderId="0" xfId="0" applyFill="1"/>
    <xf numFmtId="0" fontId="3" fillId="5" borderId="9" xfId="0" applyFont="1" applyFill="1" applyBorder="1" applyAlignment="1">
      <alignment horizontal="center" vertical="center"/>
    </xf>
    <xf numFmtId="0" fontId="3" fillId="5" borderId="10" xfId="0" applyFont="1" applyFill="1" applyBorder="1" applyAlignment="1">
      <alignment horizontal="center" vertical="center"/>
    </xf>
    <xf numFmtId="0" fontId="3" fillId="5" borderId="10" xfId="0" quotePrefix="1" applyFont="1" applyFill="1" applyBorder="1" applyAlignment="1">
      <alignment horizontal="center" vertical="center"/>
    </xf>
    <xf numFmtId="0" fontId="3" fillId="5" borderId="11" xfId="0" quotePrefix="1" applyFont="1" applyFill="1" applyBorder="1" applyAlignment="1">
      <alignment horizontal="center" vertical="center"/>
    </xf>
    <xf numFmtId="11" fontId="0" fillId="0" borderId="0" xfId="0" applyNumberFormat="1" applyAlignment="1">
      <alignment horizontal="center" vertical="center"/>
    </xf>
    <xf numFmtId="0" fontId="11" fillId="0" borderId="0" xfId="2" applyAlignment="1">
      <alignment vertical="center"/>
    </xf>
    <xf numFmtId="164" fontId="0" fillId="0" borderId="0" xfId="0" applyNumberFormat="1" applyAlignment="1">
      <alignment vertical="center"/>
    </xf>
    <xf numFmtId="168" fontId="4" fillId="0" borderId="0" xfId="0" applyNumberFormat="1" applyFont="1" applyAlignment="1">
      <alignment horizontal="center" vertical="center"/>
    </xf>
    <xf numFmtId="0" fontId="10" fillId="3" borderId="0" xfId="0" applyFont="1" applyFill="1" applyAlignment="1">
      <alignment horizontal="center"/>
    </xf>
    <xf numFmtId="0" fontId="10" fillId="2" borderId="0" xfId="0" applyFont="1" applyFill="1" applyAlignment="1">
      <alignment horizontal="center"/>
    </xf>
    <xf numFmtId="0" fontId="10" fillId="4"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center" wrapText="1"/>
    </xf>
    <xf numFmtId="0" fontId="13" fillId="0" borderId="0" xfId="0" applyFont="1" applyAlignment="1">
      <alignment horizontal="center"/>
    </xf>
    <xf numFmtId="0" fontId="12" fillId="6" borderId="12" xfId="0" applyFont="1" applyFill="1" applyBorder="1" applyAlignment="1">
      <alignment horizontal="left" vertical="center"/>
    </xf>
    <xf numFmtId="0" fontId="12" fillId="6" borderId="13" xfId="0" applyFont="1" applyFill="1" applyBorder="1" applyAlignment="1">
      <alignment horizontal="left" vertical="center"/>
    </xf>
    <xf numFmtId="0" fontId="12" fillId="6" borderId="14" xfId="0" applyFont="1" applyFill="1" applyBorder="1" applyAlignment="1">
      <alignment horizontal="left" vertical="center"/>
    </xf>
    <xf numFmtId="0" fontId="14" fillId="7" borderId="0" xfId="0" applyFont="1" applyFill="1" applyAlignment="1">
      <alignment horizontal="center"/>
    </xf>
    <xf numFmtId="0" fontId="14" fillId="7" borderId="0" xfId="0" applyFont="1" applyFill="1" applyAlignment="1">
      <alignment horizontal="center" vertical="top" wrapText="1"/>
    </xf>
  </cellXfs>
  <cellStyles count="3">
    <cellStyle name="Currency" xfId="1" builtinId="4"/>
    <cellStyle name="Hyperlink" xfId="2" builtinId="8"/>
    <cellStyle name="Normal" xfId="0" builtinId="0"/>
  </cellStyles>
  <dxfs count="64">
    <dxf>
      <font>
        <b/>
        <i val="0"/>
        <strike val="0"/>
        <condense val="0"/>
        <extend val="0"/>
        <outline val="0"/>
        <shadow val="0"/>
        <u val="none"/>
        <vertAlign val="baseline"/>
        <sz val="11"/>
        <color theme="1"/>
        <name val="Aptos Narrow"/>
        <family val="2"/>
        <scheme val="minor"/>
      </font>
      <numFmt numFmtId="167" formatCode="_-[$€-2]\ * #,##0.00_-;\-[$€-2]\ * #,##0.00_-;_-[$€-2]\ * &quot;-&quot;??_-;_-@_-"/>
      <alignment horizontal="center" vertical="center" textRotation="0" wrapText="0" indent="0" justifyLastLine="0" shrinkToFit="0" readingOrder="0"/>
    </dxf>
    <dxf>
      <numFmt numFmtId="167" formatCode="_-[$€-2]\ * #,##0.00_-;\-[$€-2]\ * #,##0.00_-;_-[$€-2]\ * &quot;-&quot;??_-;_-@_-"/>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numFmt numFmtId="168" formatCode="0.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dxf>
    <dxf>
      <font>
        <strike val="0"/>
        <outline val="0"/>
        <shadow val="0"/>
        <u val="none"/>
        <vertAlign val="baseline"/>
        <sz val="11"/>
        <color auto="1"/>
        <name val="Aptos Narrow"/>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alignment horizontal="left" vertical="center" textRotation="0" wrapText="0" indent="0" justifyLastLine="0" shrinkToFit="0" readingOrder="0"/>
    </dxf>
    <dxf>
      <font>
        <b/>
      </font>
    </dxf>
    <dxf>
      <alignment horizontal="center" vertical="center"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numFmt numFmtId="167" formatCode="_-[$€-2]\ * #,##0.00_-;\-[$€-2]\ * #,##0.00_-;_-[$€-2]\ * &quot;-&quot;??_-;_-@_-"/>
      <alignment horizontal="center" vertical="center" textRotation="0" wrapText="0" indent="0" justifyLastLine="0" shrinkToFit="0" readingOrder="0"/>
    </dxf>
    <dxf>
      <numFmt numFmtId="167" formatCode="_-[$€-2]\ * #,##0.00_-;\-[$€-2]\ * #,##0.00_-;_-[$€-2]\ * &quot;-&quot;??_-;_-@_-"/>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numFmt numFmtId="168" formatCode="0.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dxf>
    <dxf>
      <font>
        <strike val="0"/>
        <outline val="0"/>
        <shadow val="0"/>
        <u val="none"/>
        <vertAlign val="baseline"/>
        <sz val="11"/>
        <color auto="1"/>
        <name val="Aptos Narrow"/>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alignment horizontal="left" vertical="center" textRotation="0" wrapText="0" indent="0" justifyLastLine="0" shrinkToFit="0" readingOrder="0"/>
    </dxf>
    <dxf>
      <font>
        <b/>
      </font>
    </dxf>
    <dxf>
      <alignment horizontal="center" vertical="center" textRotation="0" wrapText="0" indent="0" justifyLastLine="0" shrinkToFit="0" readingOrder="0"/>
    </dxf>
    <dxf>
      <alignment horizontal="center"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numFmt numFmtId="167" formatCode="_-[$€-2]\ * #,##0.00_-;\-[$€-2]\ * #,##0.00_-;_-[$€-2]\ * &quot;-&quot;??_-;_-@_-"/>
      <alignment horizontal="center" vertical="center" textRotation="0" wrapText="0" indent="0" justifyLastLine="0" shrinkToFit="0" readingOrder="0"/>
    </dxf>
    <dxf>
      <numFmt numFmtId="167" formatCode="_-[$€-2]\ * #,##0.00_-;\-[$€-2]\ * #,##0.00_-;_-[$€-2]\ * &quot;-&quot;??_-;_-@_-"/>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 formatCode="0"/>
      <alignment horizontal="center" vertical="center" textRotation="0" wrapText="0" indent="0" justifyLastLine="0" shrinkToFit="0" readingOrder="0"/>
    </dxf>
    <dxf>
      <numFmt numFmtId="1" formatCode="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font>
        <strike val="0"/>
        <outline val="0"/>
        <shadow val="0"/>
        <u val="none"/>
        <vertAlign val="baseline"/>
        <sz val="11"/>
        <color rgb="FF7030A0"/>
        <name val="Aptos Narrow"/>
        <family val="2"/>
        <scheme val="minor"/>
      </font>
      <numFmt numFmtId="168" formatCode="0.0"/>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left" vertical="center" textRotation="0" wrapText="0" indent="0" justifyLastLine="0" shrinkToFit="0" readingOrder="0"/>
    </dxf>
    <dxf>
      <font>
        <strike val="0"/>
        <outline val="0"/>
        <shadow val="0"/>
        <u val="none"/>
        <vertAlign val="baseline"/>
        <sz val="11"/>
        <color auto="1"/>
        <name val="Aptos Narrow"/>
        <family val="2"/>
        <scheme val="minor"/>
      </font>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dxf>
    <dxf>
      <font>
        <strike val="0"/>
        <outline val="0"/>
        <shadow val="0"/>
        <u val="none"/>
        <vertAlign val="baseline"/>
        <sz val="11"/>
        <color rgb="FF7030A0"/>
        <name val="Aptos Narrow"/>
        <family val="2"/>
        <scheme val="minor"/>
      </font>
      <alignment horizontal="left" vertical="center" textRotation="0" wrapText="0" indent="0" justifyLastLine="0" shrinkToFit="0" readingOrder="0"/>
    </dxf>
    <dxf>
      <font>
        <b/>
      </font>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name val="Aptos Narrow"/>
        <family val="2"/>
        <scheme val="minor"/>
      </font>
      <numFmt numFmtId="165" formatCode="_ &quot;€&quot;\ * #,##0.0000_ ;_ &quot;€&quot;\ * \-#,##0.0000_ ;_ &quot;€&quot;\ * &quot;-&quot;??_ ;_ @_ "/>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Concrete'!$M$25</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0A-4D92-9255-B591072F70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0A-4D92-9255-B591072F70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0A-4D92-9255-B591072F70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0A-4D92-9255-B591072F70F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0A-4D92-9255-B591072F70F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0A-4D92-9255-B591072F70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Concrete'!$K$26:$K$31</c:f>
              <c:strCache>
                <c:ptCount val="6"/>
                <c:pt idx="0">
                  <c:v>Piling</c:v>
                </c:pt>
                <c:pt idx="1">
                  <c:v>Substructure</c:v>
                </c:pt>
                <c:pt idx="2">
                  <c:v>Structural frame</c:v>
                </c:pt>
                <c:pt idx="3">
                  <c:v>Floors/roof</c:v>
                </c:pt>
                <c:pt idx="4">
                  <c:v>Structural walls</c:v>
                </c:pt>
                <c:pt idx="5">
                  <c:v>Other</c:v>
                </c:pt>
              </c:strCache>
            </c:strRef>
          </c:cat>
          <c:val>
            <c:numRef>
              <c:f>'LCA Calculation Concrete'!$N$26:$N$31</c:f>
              <c:numCache>
                <c:formatCode>0.00</c:formatCode>
                <c:ptCount val="6"/>
                <c:pt idx="0">
                  <c:v>14.04059515603147</c:v>
                </c:pt>
                <c:pt idx="1">
                  <c:v>20.315255244755253</c:v>
                </c:pt>
                <c:pt idx="2">
                  <c:v>24.005548513986014</c:v>
                </c:pt>
                <c:pt idx="3">
                  <c:v>77.881534965034973</c:v>
                </c:pt>
                <c:pt idx="4">
                  <c:v>8.7069320913461556</c:v>
                </c:pt>
                <c:pt idx="5">
                  <c:v>0</c:v>
                </c:pt>
              </c:numCache>
            </c:numRef>
          </c:val>
          <c:extLst>
            <c:ext xmlns:c16="http://schemas.microsoft.com/office/drawing/2014/chart" uri="{C3380CC4-5D6E-409C-BE32-E72D297353CC}">
              <c16:uniqueId val="{0000000C-CC0A-4D92-9255-B591072F70F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Steel'!$P$24</c:f>
              <c:strCache>
                <c:ptCount val="1"/>
                <c:pt idx="0">
                  <c:v>EPB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A7-4E24-B8E9-5BB5770E388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4A7-4E24-B8E9-5BB5770E388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4A7-4E24-B8E9-5BB5770E388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4A7-4E24-B8E9-5BB5770E388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4A7-4E24-B8E9-5BB5770E388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4A7-4E24-B8E9-5BB5770E38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Steel'!$K$25:$K$30</c:f>
              <c:strCache>
                <c:ptCount val="6"/>
                <c:pt idx="0">
                  <c:v>Piling</c:v>
                </c:pt>
                <c:pt idx="1">
                  <c:v>Substructure</c:v>
                </c:pt>
                <c:pt idx="2">
                  <c:v>Structural frame</c:v>
                </c:pt>
                <c:pt idx="3">
                  <c:v>Floors/roof</c:v>
                </c:pt>
                <c:pt idx="4">
                  <c:v>Structural walls</c:v>
                </c:pt>
                <c:pt idx="5">
                  <c:v>Other</c:v>
                </c:pt>
              </c:strCache>
            </c:strRef>
          </c:cat>
          <c:val>
            <c:numRef>
              <c:f>'LCA Calculation Steel'!$P$25:$P$30</c:f>
              <c:numCache>
                <c:formatCode>0.000</c:formatCode>
                <c:ptCount val="6"/>
                <c:pt idx="0">
                  <c:v>2.6685973718531472E-2</c:v>
                </c:pt>
                <c:pt idx="1">
                  <c:v>3.8601440559440571E-2</c:v>
                </c:pt>
                <c:pt idx="2">
                  <c:v>0.51316563855987762</c:v>
                </c:pt>
                <c:pt idx="3">
                  <c:v>0.28610271328671327</c:v>
                </c:pt>
                <c:pt idx="4">
                  <c:v>1.7709014423076923E-2</c:v>
                </c:pt>
                <c:pt idx="5">
                  <c:v>0</c:v>
                </c:pt>
              </c:numCache>
            </c:numRef>
          </c:val>
          <c:extLst>
            <c:ext xmlns:c16="http://schemas.microsoft.com/office/drawing/2014/chart" uri="{C3380CC4-5D6E-409C-BE32-E72D297353CC}">
              <c16:uniqueId val="{0000000C-34A7-4E24-B8E9-5BB5770E388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Timber'!$M$24</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F7-4797-86C0-D12FA48B08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F7-4797-86C0-D12FA48B08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8F7-4797-86C0-D12FA48B08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8F7-4797-86C0-D12FA48B08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8F7-4797-86C0-D12FA48B08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8F7-4797-86C0-D12FA48B089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Timber'!$K$25:$K$30</c:f>
              <c:strCache>
                <c:ptCount val="6"/>
                <c:pt idx="0">
                  <c:v>Piling</c:v>
                </c:pt>
                <c:pt idx="1">
                  <c:v>Substructure</c:v>
                </c:pt>
                <c:pt idx="2">
                  <c:v>Structural frame</c:v>
                </c:pt>
                <c:pt idx="3">
                  <c:v>Floors/roof</c:v>
                </c:pt>
                <c:pt idx="4">
                  <c:v>Structural walls</c:v>
                </c:pt>
                <c:pt idx="5">
                  <c:v>Other</c:v>
                </c:pt>
              </c:strCache>
            </c:strRef>
          </c:cat>
          <c:val>
            <c:numRef>
              <c:f>'LCA Calculation Timber'!$N$25:$N$30</c:f>
              <c:numCache>
                <c:formatCode>0.00</c:formatCode>
                <c:ptCount val="6"/>
                <c:pt idx="0">
                  <c:v>14.04059515603147</c:v>
                </c:pt>
                <c:pt idx="1">
                  <c:v>20.315255244755253</c:v>
                </c:pt>
                <c:pt idx="2">
                  <c:v>-7.1813863636363635</c:v>
                </c:pt>
                <c:pt idx="3">
                  <c:v>42.333309440559439</c:v>
                </c:pt>
                <c:pt idx="4">
                  <c:v>1.7633632736013984</c:v>
                </c:pt>
                <c:pt idx="5">
                  <c:v>0</c:v>
                </c:pt>
              </c:numCache>
            </c:numRef>
          </c:val>
          <c:extLst>
            <c:ext xmlns:c16="http://schemas.microsoft.com/office/drawing/2014/chart" uri="{C3380CC4-5D6E-409C-BE32-E72D297353CC}">
              <c16:uniqueId val="{0000000C-A8F7-4797-86C0-D12FA48B089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Timber'!$P$24</c:f>
              <c:strCache>
                <c:ptCount val="1"/>
                <c:pt idx="0">
                  <c:v>EPB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4A0-43B5-9E2F-BC152E9E09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4A0-43B5-9E2F-BC152E9E09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4A0-43B5-9E2F-BC152E9E09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4A0-43B5-9E2F-BC152E9E09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4A0-43B5-9E2F-BC152E9E09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4A0-43B5-9E2F-BC152E9E09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Timber'!$K$25:$K$30</c:f>
              <c:strCache>
                <c:ptCount val="6"/>
                <c:pt idx="0">
                  <c:v>Piling</c:v>
                </c:pt>
                <c:pt idx="1">
                  <c:v>Substructure</c:v>
                </c:pt>
                <c:pt idx="2">
                  <c:v>Structural frame</c:v>
                </c:pt>
                <c:pt idx="3">
                  <c:v>Floors/roof</c:v>
                </c:pt>
                <c:pt idx="4">
                  <c:v>Structural walls</c:v>
                </c:pt>
                <c:pt idx="5">
                  <c:v>Other</c:v>
                </c:pt>
              </c:strCache>
            </c:strRef>
          </c:cat>
          <c:val>
            <c:numRef>
              <c:f>'LCA Calculation Timber'!$P$25:$P$30</c:f>
              <c:numCache>
                <c:formatCode>0.000</c:formatCode>
                <c:ptCount val="6"/>
                <c:pt idx="0">
                  <c:v>2.6685973718531472E-2</c:v>
                </c:pt>
                <c:pt idx="1">
                  <c:v>3.8601440559440571E-2</c:v>
                </c:pt>
                <c:pt idx="2">
                  <c:v>-7.1813863636363629E-3</c:v>
                </c:pt>
                <c:pt idx="3">
                  <c:v>9.2558396853146846E-2</c:v>
                </c:pt>
                <c:pt idx="4">
                  <c:v>1.7633632736013983E-3</c:v>
                </c:pt>
                <c:pt idx="5">
                  <c:v>0</c:v>
                </c:pt>
              </c:numCache>
            </c:numRef>
          </c:val>
          <c:extLst>
            <c:ext xmlns:c16="http://schemas.microsoft.com/office/drawing/2014/chart" uri="{C3380CC4-5D6E-409C-BE32-E72D297353CC}">
              <c16:uniqueId val="{0000000C-44A0-43B5-9E2F-BC152E9E09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Concrete'!$P$25</c:f>
              <c:strCache>
                <c:ptCount val="1"/>
                <c:pt idx="0">
                  <c:v>EPB</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D7-4DFD-A12D-DD5FB912A2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D7-4DFD-A12D-DD5FB912A2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D7-4DFD-A12D-DD5FB912A2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DD7-4DFD-A12D-DD5FB912A2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DD7-4DFD-A12D-DD5FB912A2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DD7-4DFD-A12D-DD5FB912A2F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Concrete'!$K$26:$K$31</c:f>
              <c:strCache>
                <c:ptCount val="6"/>
                <c:pt idx="0">
                  <c:v>Piling</c:v>
                </c:pt>
                <c:pt idx="1">
                  <c:v>Substructure</c:v>
                </c:pt>
                <c:pt idx="2">
                  <c:v>Structural frame</c:v>
                </c:pt>
                <c:pt idx="3">
                  <c:v>Floors/roof</c:v>
                </c:pt>
                <c:pt idx="4">
                  <c:v>Structural walls</c:v>
                </c:pt>
                <c:pt idx="5">
                  <c:v>Other</c:v>
                </c:pt>
              </c:strCache>
            </c:strRef>
          </c:cat>
          <c:val>
            <c:numRef>
              <c:f>'LCA Calculation Concrete'!$P$26:$P$31</c:f>
              <c:numCache>
                <c:formatCode>0.000</c:formatCode>
                <c:ptCount val="6"/>
                <c:pt idx="0">
                  <c:v>2.6685973718531472E-2</c:v>
                </c:pt>
                <c:pt idx="1">
                  <c:v>3.8601440559440571E-2</c:v>
                </c:pt>
                <c:pt idx="2">
                  <c:v>4.5606984265734264E-2</c:v>
                </c:pt>
                <c:pt idx="3">
                  <c:v>0.14802697902097903</c:v>
                </c:pt>
                <c:pt idx="4">
                  <c:v>1.7709014423076923E-2</c:v>
                </c:pt>
                <c:pt idx="5">
                  <c:v>0</c:v>
                </c:pt>
              </c:numCache>
            </c:numRef>
          </c:val>
          <c:extLst>
            <c:ext xmlns:c16="http://schemas.microsoft.com/office/drawing/2014/chart" uri="{C3380CC4-5D6E-409C-BE32-E72D297353CC}">
              <c16:uniqueId val="{0000000C-5DD7-4DFD-A12D-DD5FB912A2F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Steel'!$M$24</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8CC-43C4-94A7-F92C71A60F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8CC-43C4-94A7-F92C71A60F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8CC-43C4-94A7-F92C71A60F1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8CC-43C4-94A7-F92C71A60F1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8CC-43C4-94A7-F92C71A60F1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8CC-43C4-94A7-F92C71A60F1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Steel'!$K$25:$K$30</c:f>
              <c:strCache>
                <c:ptCount val="6"/>
                <c:pt idx="0">
                  <c:v>Piling</c:v>
                </c:pt>
                <c:pt idx="1">
                  <c:v>Substructure</c:v>
                </c:pt>
                <c:pt idx="2">
                  <c:v>Structural frame</c:v>
                </c:pt>
                <c:pt idx="3">
                  <c:v>Floors/roof</c:v>
                </c:pt>
                <c:pt idx="4">
                  <c:v>Structural walls</c:v>
                </c:pt>
                <c:pt idx="5">
                  <c:v>Other</c:v>
                </c:pt>
              </c:strCache>
            </c:strRef>
          </c:cat>
          <c:val>
            <c:numRef>
              <c:f>'LCA Calculation Steel'!$N$25:$N$30</c:f>
              <c:numCache>
                <c:formatCode>0.00</c:formatCode>
                <c:ptCount val="6"/>
                <c:pt idx="0">
                  <c:v>14.04059515603147</c:v>
                </c:pt>
                <c:pt idx="1">
                  <c:v>20.315255244755253</c:v>
                </c:pt>
                <c:pt idx="2">
                  <c:v>821.35576710008718</c:v>
                </c:pt>
                <c:pt idx="3">
                  <c:v>307.93550699300704</c:v>
                </c:pt>
                <c:pt idx="4">
                  <c:v>8.7069320913461556</c:v>
                </c:pt>
                <c:pt idx="5">
                  <c:v>0</c:v>
                </c:pt>
              </c:numCache>
            </c:numRef>
          </c:val>
          <c:extLst>
            <c:ext xmlns:c16="http://schemas.microsoft.com/office/drawing/2014/chart" uri="{C3380CC4-5D6E-409C-BE32-E72D297353CC}">
              <c16:uniqueId val="{0000000C-38CC-43C4-94A7-F92C71A60F1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Steel'!$P$24</c:f>
              <c:strCache>
                <c:ptCount val="1"/>
                <c:pt idx="0">
                  <c:v>EPB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A42-4AE2-83A5-0ED37DB41E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A42-4AE2-83A5-0ED37DB41E3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A42-4AE2-83A5-0ED37DB41E3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A42-4AE2-83A5-0ED37DB41E3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A42-4AE2-83A5-0ED37DB41E3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A42-4AE2-83A5-0ED37DB41E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Steel'!$K$25:$K$30</c:f>
              <c:strCache>
                <c:ptCount val="6"/>
                <c:pt idx="0">
                  <c:v>Piling</c:v>
                </c:pt>
                <c:pt idx="1">
                  <c:v>Substructure</c:v>
                </c:pt>
                <c:pt idx="2">
                  <c:v>Structural frame</c:v>
                </c:pt>
                <c:pt idx="3">
                  <c:v>Floors/roof</c:v>
                </c:pt>
                <c:pt idx="4">
                  <c:v>Structural walls</c:v>
                </c:pt>
                <c:pt idx="5">
                  <c:v>Other</c:v>
                </c:pt>
              </c:strCache>
            </c:strRef>
          </c:cat>
          <c:val>
            <c:numRef>
              <c:f>'LCA Calculation Steel'!$P$25:$P$30</c:f>
              <c:numCache>
                <c:formatCode>0.000</c:formatCode>
                <c:ptCount val="6"/>
                <c:pt idx="0">
                  <c:v>2.6685973718531472E-2</c:v>
                </c:pt>
                <c:pt idx="1">
                  <c:v>3.8601440559440571E-2</c:v>
                </c:pt>
                <c:pt idx="2">
                  <c:v>0.51316563855987762</c:v>
                </c:pt>
                <c:pt idx="3">
                  <c:v>0.28610271328671327</c:v>
                </c:pt>
                <c:pt idx="4">
                  <c:v>1.7709014423076923E-2</c:v>
                </c:pt>
                <c:pt idx="5">
                  <c:v>0</c:v>
                </c:pt>
              </c:numCache>
            </c:numRef>
          </c:val>
          <c:extLst>
            <c:ext xmlns:c16="http://schemas.microsoft.com/office/drawing/2014/chart" uri="{C3380CC4-5D6E-409C-BE32-E72D297353CC}">
              <c16:uniqueId val="{0000000C-9A42-4AE2-83A5-0ED37DB41E31}"/>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Timber'!$M$24</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3E-442A-91C9-EE383F899D1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3E-442A-91C9-EE383F899D1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3E-442A-91C9-EE383F899D1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3E-442A-91C9-EE383F899D1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3E-442A-91C9-EE383F899D1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3E-442A-91C9-EE383F899D1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Timber'!$K$25:$K$30</c:f>
              <c:strCache>
                <c:ptCount val="6"/>
                <c:pt idx="0">
                  <c:v>Piling</c:v>
                </c:pt>
                <c:pt idx="1">
                  <c:v>Substructure</c:v>
                </c:pt>
                <c:pt idx="2">
                  <c:v>Structural frame</c:v>
                </c:pt>
                <c:pt idx="3">
                  <c:v>Floors/roof</c:v>
                </c:pt>
                <c:pt idx="4">
                  <c:v>Structural walls</c:v>
                </c:pt>
                <c:pt idx="5">
                  <c:v>Other</c:v>
                </c:pt>
              </c:strCache>
            </c:strRef>
          </c:cat>
          <c:val>
            <c:numRef>
              <c:f>'LCA Calculation Timber'!$N$25:$N$30</c:f>
              <c:numCache>
                <c:formatCode>0.00</c:formatCode>
                <c:ptCount val="6"/>
                <c:pt idx="0">
                  <c:v>14.04059515603147</c:v>
                </c:pt>
                <c:pt idx="1">
                  <c:v>20.315255244755253</c:v>
                </c:pt>
                <c:pt idx="2">
                  <c:v>-7.1813863636363635</c:v>
                </c:pt>
                <c:pt idx="3">
                  <c:v>42.333309440559439</c:v>
                </c:pt>
                <c:pt idx="4">
                  <c:v>1.7633632736013984</c:v>
                </c:pt>
                <c:pt idx="5">
                  <c:v>0</c:v>
                </c:pt>
              </c:numCache>
            </c:numRef>
          </c:val>
          <c:extLst>
            <c:ext xmlns:c16="http://schemas.microsoft.com/office/drawing/2014/chart" uri="{C3380CC4-5D6E-409C-BE32-E72D297353CC}">
              <c16:uniqueId val="{0000000C-D03E-442A-91C9-EE383F899D1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Timber'!$P$24</c:f>
              <c:strCache>
                <c:ptCount val="1"/>
                <c:pt idx="0">
                  <c:v>EPB</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2D-44C8-B1DC-C156B43CD80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2D-44C8-B1DC-C156B43CD80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2D-44C8-B1DC-C156B43CD80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82D-44C8-B1DC-C156B43CD80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82D-44C8-B1DC-C156B43CD80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82D-44C8-B1DC-C156B43CD8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Timber'!$K$25:$K$30</c:f>
              <c:strCache>
                <c:ptCount val="6"/>
                <c:pt idx="0">
                  <c:v>Piling</c:v>
                </c:pt>
                <c:pt idx="1">
                  <c:v>Substructure</c:v>
                </c:pt>
                <c:pt idx="2">
                  <c:v>Structural frame</c:v>
                </c:pt>
                <c:pt idx="3">
                  <c:v>Floors/roof</c:v>
                </c:pt>
                <c:pt idx="4">
                  <c:v>Structural walls</c:v>
                </c:pt>
                <c:pt idx="5">
                  <c:v>Other</c:v>
                </c:pt>
              </c:strCache>
            </c:strRef>
          </c:cat>
          <c:val>
            <c:numRef>
              <c:f>'LCA Calculation Timber'!$P$25:$P$30</c:f>
              <c:numCache>
                <c:formatCode>0.000</c:formatCode>
                <c:ptCount val="6"/>
                <c:pt idx="0">
                  <c:v>2.6685973718531472E-2</c:v>
                </c:pt>
                <c:pt idx="1">
                  <c:v>3.8601440559440571E-2</c:v>
                </c:pt>
                <c:pt idx="2">
                  <c:v>-7.1813863636363629E-3</c:v>
                </c:pt>
                <c:pt idx="3">
                  <c:v>9.2558396853146846E-2</c:v>
                </c:pt>
                <c:pt idx="4">
                  <c:v>1.7633632736013983E-3</c:v>
                </c:pt>
                <c:pt idx="5">
                  <c:v>0</c:v>
                </c:pt>
              </c:numCache>
            </c:numRef>
          </c:val>
          <c:extLst>
            <c:ext xmlns:c16="http://schemas.microsoft.com/office/drawing/2014/chart" uri="{C3380CC4-5D6E-409C-BE32-E72D297353CC}">
              <c16:uniqueId val="{0000000C-082D-44C8-B1DC-C156B43CD80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Concrete'!$M$25</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4C-46E9-94EF-0AA9FCCBF94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4C-46E9-94EF-0AA9FCCBF94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4C-46E9-94EF-0AA9FCCBF94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F4C-46E9-94EF-0AA9FCCBF94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F4C-46E9-94EF-0AA9FCCBF94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F4C-46E9-94EF-0AA9FCCBF94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Concrete'!$K$26:$K$31</c:f>
              <c:strCache>
                <c:ptCount val="6"/>
                <c:pt idx="0">
                  <c:v>Piling</c:v>
                </c:pt>
                <c:pt idx="1">
                  <c:v>Substructure</c:v>
                </c:pt>
                <c:pt idx="2">
                  <c:v>Structural frame</c:v>
                </c:pt>
                <c:pt idx="3">
                  <c:v>Floors/roof</c:v>
                </c:pt>
                <c:pt idx="4">
                  <c:v>Structural walls</c:v>
                </c:pt>
                <c:pt idx="5">
                  <c:v>Other</c:v>
                </c:pt>
              </c:strCache>
            </c:strRef>
          </c:cat>
          <c:val>
            <c:numRef>
              <c:f>'LCA Calculation Concrete'!$N$26:$N$31</c:f>
              <c:numCache>
                <c:formatCode>0.00</c:formatCode>
                <c:ptCount val="6"/>
                <c:pt idx="0">
                  <c:v>14.04059515603147</c:v>
                </c:pt>
                <c:pt idx="1">
                  <c:v>20.315255244755253</c:v>
                </c:pt>
                <c:pt idx="2">
                  <c:v>24.005548513986014</c:v>
                </c:pt>
                <c:pt idx="3">
                  <c:v>77.881534965034973</c:v>
                </c:pt>
                <c:pt idx="4">
                  <c:v>8.7069320913461556</c:v>
                </c:pt>
                <c:pt idx="5">
                  <c:v>0</c:v>
                </c:pt>
              </c:numCache>
            </c:numRef>
          </c:val>
          <c:extLst>
            <c:ext xmlns:c16="http://schemas.microsoft.com/office/drawing/2014/chart" uri="{C3380CC4-5D6E-409C-BE32-E72D297353CC}">
              <c16:uniqueId val="{0000000C-4F4C-46E9-94EF-0AA9FCCBF94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Concrete'!$P$25</c:f>
              <c:strCache>
                <c:ptCount val="1"/>
                <c:pt idx="0">
                  <c:v>EPB</c:v>
                </c:pt>
              </c:strCache>
            </c:strRef>
          </c:tx>
          <c:explosion val="3"/>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B9E-41B4-8114-C6FA0563B83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B9E-41B4-8114-C6FA0563B8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B9E-41B4-8114-C6FA0563B8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B9E-41B4-8114-C6FA0563B8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B9E-41B4-8114-C6FA0563B83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B9E-41B4-8114-C6FA0563B83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Concrete'!$K$26:$K$31</c:f>
              <c:strCache>
                <c:ptCount val="6"/>
                <c:pt idx="0">
                  <c:v>Piling</c:v>
                </c:pt>
                <c:pt idx="1">
                  <c:v>Substructure</c:v>
                </c:pt>
                <c:pt idx="2">
                  <c:v>Structural frame</c:v>
                </c:pt>
                <c:pt idx="3">
                  <c:v>Floors/roof</c:v>
                </c:pt>
                <c:pt idx="4">
                  <c:v>Structural walls</c:v>
                </c:pt>
                <c:pt idx="5">
                  <c:v>Other</c:v>
                </c:pt>
              </c:strCache>
            </c:strRef>
          </c:cat>
          <c:val>
            <c:numRef>
              <c:f>'LCA Calculation Concrete'!$P$26:$P$31</c:f>
              <c:numCache>
                <c:formatCode>0.000</c:formatCode>
                <c:ptCount val="6"/>
                <c:pt idx="0">
                  <c:v>2.6685973718531472E-2</c:v>
                </c:pt>
                <c:pt idx="1">
                  <c:v>3.8601440559440571E-2</c:v>
                </c:pt>
                <c:pt idx="2">
                  <c:v>4.5606984265734264E-2</c:v>
                </c:pt>
                <c:pt idx="3">
                  <c:v>0.14802697902097903</c:v>
                </c:pt>
                <c:pt idx="4">
                  <c:v>1.7709014423076923E-2</c:v>
                </c:pt>
                <c:pt idx="5">
                  <c:v>0</c:v>
                </c:pt>
              </c:numCache>
            </c:numRef>
          </c:val>
          <c:extLst>
            <c:ext xmlns:c16="http://schemas.microsoft.com/office/drawing/2014/chart" uri="{C3380CC4-5D6E-409C-BE32-E72D297353CC}">
              <c16:uniqueId val="{0000000C-8B9E-41B4-8114-C6FA0563B837}"/>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'LCA Calculation Steel'!$M$24</c:f>
              <c:strCache>
                <c:ptCount val="1"/>
                <c:pt idx="0">
                  <c:v>GWP</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793-42CC-AA58-EEB84C4021D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793-42CC-AA58-EEB84C4021D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793-42CC-AA58-EEB84C4021D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793-42CC-AA58-EEB84C4021D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793-42CC-AA58-EEB84C4021D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793-42CC-AA58-EEB84C4021D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'LCA Calculation Steel'!$K$25:$K$30</c:f>
              <c:strCache>
                <c:ptCount val="6"/>
                <c:pt idx="0">
                  <c:v>Piling</c:v>
                </c:pt>
                <c:pt idx="1">
                  <c:v>Substructure</c:v>
                </c:pt>
                <c:pt idx="2">
                  <c:v>Structural frame</c:v>
                </c:pt>
                <c:pt idx="3">
                  <c:v>Floors/roof</c:v>
                </c:pt>
                <c:pt idx="4">
                  <c:v>Structural walls</c:v>
                </c:pt>
                <c:pt idx="5">
                  <c:v>Other</c:v>
                </c:pt>
              </c:strCache>
            </c:strRef>
          </c:cat>
          <c:val>
            <c:numRef>
              <c:f>'LCA Calculation Steel'!$N$25:$N$30</c:f>
              <c:numCache>
                <c:formatCode>0.00</c:formatCode>
                <c:ptCount val="6"/>
                <c:pt idx="0">
                  <c:v>14.04059515603147</c:v>
                </c:pt>
                <c:pt idx="1">
                  <c:v>20.315255244755253</c:v>
                </c:pt>
                <c:pt idx="2">
                  <c:v>821.35576710008718</c:v>
                </c:pt>
                <c:pt idx="3">
                  <c:v>307.93550699300704</c:v>
                </c:pt>
                <c:pt idx="4">
                  <c:v>8.7069320913461556</c:v>
                </c:pt>
                <c:pt idx="5">
                  <c:v>0</c:v>
                </c:pt>
              </c:numCache>
            </c:numRef>
          </c:val>
          <c:extLst>
            <c:ext xmlns:c16="http://schemas.microsoft.com/office/drawing/2014/chart" uri="{C3380CC4-5D6E-409C-BE32-E72D297353CC}">
              <c16:uniqueId val="{0000000C-9793-42CC-AA58-EEB84C4021D3}"/>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7</xdr:col>
      <xdr:colOff>28575</xdr:colOff>
      <xdr:row>0</xdr:row>
      <xdr:rowOff>9525</xdr:rowOff>
    </xdr:from>
    <xdr:to>
      <xdr:col>12</xdr:col>
      <xdr:colOff>506092</xdr:colOff>
      <xdr:row>17</xdr:row>
      <xdr:rowOff>67339</xdr:rowOff>
    </xdr:to>
    <xdr:graphicFrame macro="">
      <xdr:nvGraphicFramePr>
        <xdr:cNvPr id="3" name="Grafiek 2">
          <a:extLst>
            <a:ext uri="{FF2B5EF4-FFF2-40B4-BE49-F238E27FC236}">
              <a16:creationId xmlns:a16="http://schemas.microsoft.com/office/drawing/2014/main" id="{94FF5D6E-468B-4BD2-94F1-EC890F94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15554</xdr:colOff>
      <xdr:row>0</xdr:row>
      <xdr:rowOff>9525</xdr:rowOff>
    </xdr:from>
    <xdr:to>
      <xdr:col>18</xdr:col>
      <xdr:colOff>509106</xdr:colOff>
      <xdr:row>17</xdr:row>
      <xdr:rowOff>76864</xdr:rowOff>
    </xdr:to>
    <xdr:graphicFrame macro="">
      <xdr:nvGraphicFramePr>
        <xdr:cNvPr id="4" name="Grafiek 3">
          <a:extLst>
            <a:ext uri="{FF2B5EF4-FFF2-40B4-BE49-F238E27FC236}">
              <a16:creationId xmlns:a16="http://schemas.microsoft.com/office/drawing/2014/main" id="{F1727264-8777-4ED3-BB43-A1B59F54E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600075</xdr:colOff>
      <xdr:row>18</xdr:row>
      <xdr:rowOff>19050</xdr:rowOff>
    </xdr:from>
    <xdr:to>
      <xdr:col>12</xdr:col>
      <xdr:colOff>467992</xdr:colOff>
      <xdr:row>35</xdr:row>
      <xdr:rowOff>86388</xdr:rowOff>
    </xdr:to>
    <xdr:graphicFrame macro="">
      <xdr:nvGraphicFramePr>
        <xdr:cNvPr id="5" name="Grafiek 2">
          <a:extLst>
            <a:ext uri="{FF2B5EF4-FFF2-40B4-BE49-F238E27FC236}">
              <a16:creationId xmlns:a16="http://schemas.microsoft.com/office/drawing/2014/main" id="{A957191E-FB61-4D70-BB28-0DF2D9AA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25079</xdr:colOff>
      <xdr:row>18</xdr:row>
      <xdr:rowOff>28575</xdr:rowOff>
    </xdr:from>
    <xdr:to>
      <xdr:col>18</xdr:col>
      <xdr:colOff>518631</xdr:colOff>
      <xdr:row>35</xdr:row>
      <xdr:rowOff>95913</xdr:rowOff>
    </xdr:to>
    <xdr:graphicFrame macro="">
      <xdr:nvGraphicFramePr>
        <xdr:cNvPr id="6" name="Grafiek 3">
          <a:extLst>
            <a:ext uri="{FF2B5EF4-FFF2-40B4-BE49-F238E27FC236}">
              <a16:creationId xmlns:a16="http://schemas.microsoft.com/office/drawing/2014/main" id="{E29A1F0B-5CE7-4D65-9E0F-3DD1C4174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19050</xdr:colOff>
      <xdr:row>36</xdr:row>
      <xdr:rowOff>47625</xdr:rowOff>
    </xdr:from>
    <xdr:to>
      <xdr:col>12</xdr:col>
      <xdr:colOff>496567</xdr:colOff>
      <xdr:row>53</xdr:row>
      <xdr:rowOff>114963</xdr:rowOff>
    </xdr:to>
    <xdr:graphicFrame macro="">
      <xdr:nvGraphicFramePr>
        <xdr:cNvPr id="7" name="Grafiek 2">
          <a:extLst>
            <a:ext uri="{FF2B5EF4-FFF2-40B4-BE49-F238E27FC236}">
              <a16:creationId xmlns:a16="http://schemas.microsoft.com/office/drawing/2014/main" id="{48D5D4C9-4210-4177-B07E-1D6AB95E1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63179</xdr:colOff>
      <xdr:row>36</xdr:row>
      <xdr:rowOff>47625</xdr:rowOff>
    </xdr:from>
    <xdr:to>
      <xdr:col>18</xdr:col>
      <xdr:colOff>556731</xdr:colOff>
      <xdr:row>53</xdr:row>
      <xdr:rowOff>114963</xdr:rowOff>
    </xdr:to>
    <xdr:graphicFrame macro="">
      <xdr:nvGraphicFramePr>
        <xdr:cNvPr id="8" name="Grafiek 3">
          <a:extLst>
            <a:ext uri="{FF2B5EF4-FFF2-40B4-BE49-F238E27FC236}">
              <a16:creationId xmlns:a16="http://schemas.microsoft.com/office/drawing/2014/main" id="{3705C0D5-9C4F-42E2-A144-1C54D7FB5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xdr:colOff>
      <xdr:row>36</xdr:row>
      <xdr:rowOff>4762</xdr:rowOff>
    </xdr:from>
    <xdr:to>
      <xdr:col>3</xdr:col>
      <xdr:colOff>1143000</xdr:colOff>
      <xdr:row>49</xdr:row>
      <xdr:rowOff>19050</xdr:rowOff>
    </xdr:to>
    <xdr:graphicFrame macro="">
      <xdr:nvGraphicFramePr>
        <xdr:cNvPr id="2" name="Grafiek 2">
          <a:extLst>
            <a:ext uri="{FF2B5EF4-FFF2-40B4-BE49-F238E27FC236}">
              <a16:creationId xmlns:a16="http://schemas.microsoft.com/office/drawing/2014/main" id="{F4C47455-B813-4EF7-813A-36A40562C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1262062</xdr:colOff>
      <xdr:row>36</xdr:row>
      <xdr:rowOff>4762</xdr:rowOff>
    </xdr:from>
    <xdr:to>
      <xdr:col>4</xdr:col>
      <xdr:colOff>752475</xdr:colOff>
      <xdr:row>49</xdr:row>
      <xdr:rowOff>19050</xdr:rowOff>
    </xdr:to>
    <xdr:graphicFrame macro="">
      <xdr:nvGraphicFramePr>
        <xdr:cNvPr id="3" name="Grafiek 3">
          <a:extLst>
            <a:ext uri="{FF2B5EF4-FFF2-40B4-BE49-F238E27FC236}">
              <a16:creationId xmlns:a16="http://schemas.microsoft.com/office/drawing/2014/main" id="{F53E21DB-A1C7-4918-8F36-6B6A580FD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xdr:colOff>
      <xdr:row>35</xdr:row>
      <xdr:rowOff>4762</xdr:rowOff>
    </xdr:from>
    <xdr:to>
      <xdr:col>3</xdr:col>
      <xdr:colOff>1143000</xdr:colOff>
      <xdr:row>48</xdr:row>
      <xdr:rowOff>19050</xdr:rowOff>
    </xdr:to>
    <xdr:graphicFrame macro="">
      <xdr:nvGraphicFramePr>
        <xdr:cNvPr id="2" name="Grafiek 2">
          <a:extLst>
            <a:ext uri="{FF2B5EF4-FFF2-40B4-BE49-F238E27FC236}">
              <a16:creationId xmlns:a16="http://schemas.microsoft.com/office/drawing/2014/main" id="{650043D7-81FC-4CBC-920E-364977BBDC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1262062</xdr:colOff>
      <xdr:row>35</xdr:row>
      <xdr:rowOff>4762</xdr:rowOff>
    </xdr:from>
    <xdr:to>
      <xdr:col>4</xdr:col>
      <xdr:colOff>752475</xdr:colOff>
      <xdr:row>48</xdr:row>
      <xdr:rowOff>19050</xdr:rowOff>
    </xdr:to>
    <xdr:graphicFrame macro="">
      <xdr:nvGraphicFramePr>
        <xdr:cNvPr id="3" name="Grafiek 3">
          <a:extLst>
            <a:ext uri="{FF2B5EF4-FFF2-40B4-BE49-F238E27FC236}">
              <a16:creationId xmlns:a16="http://schemas.microsoft.com/office/drawing/2014/main" id="{C345813C-0280-4996-BCA5-946016BE1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xdr:colOff>
      <xdr:row>35</xdr:row>
      <xdr:rowOff>4762</xdr:rowOff>
    </xdr:from>
    <xdr:to>
      <xdr:col>3</xdr:col>
      <xdr:colOff>1143000</xdr:colOff>
      <xdr:row>48</xdr:row>
      <xdr:rowOff>19050</xdr:rowOff>
    </xdr:to>
    <xdr:graphicFrame macro="">
      <xdr:nvGraphicFramePr>
        <xdr:cNvPr id="2" name="Grafiek 2">
          <a:extLst>
            <a:ext uri="{FF2B5EF4-FFF2-40B4-BE49-F238E27FC236}">
              <a16:creationId xmlns:a16="http://schemas.microsoft.com/office/drawing/2014/main" id="{ABE3B8D8-108A-416C-AADE-4AD8B5BAB4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1262062</xdr:colOff>
      <xdr:row>35</xdr:row>
      <xdr:rowOff>4762</xdr:rowOff>
    </xdr:from>
    <xdr:to>
      <xdr:col>4</xdr:col>
      <xdr:colOff>752475</xdr:colOff>
      <xdr:row>48</xdr:row>
      <xdr:rowOff>19050</xdr:rowOff>
    </xdr:to>
    <xdr:graphicFrame macro="">
      <xdr:nvGraphicFramePr>
        <xdr:cNvPr id="3" name="Grafiek 3">
          <a:extLst>
            <a:ext uri="{FF2B5EF4-FFF2-40B4-BE49-F238E27FC236}">
              <a16:creationId xmlns:a16="http://schemas.microsoft.com/office/drawing/2014/main" id="{8EFE0B26-E8BC-489E-943F-F8494D8A30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5EDC06C-E98B-4C36-8536-B66EC7881FAD}" name="Tbl_MatData" displayName="Tbl_MatData" ref="B3:F19" totalsRowShown="0" headerRowDxfId="63">
  <autoFilter ref="B3:F19" xr:uid="{A5EDC06C-E98B-4C36-8536-B66EC7881FAD}"/>
  <tableColumns count="5">
    <tableColumn id="1" xr3:uid="{6DB322CE-98B1-43A3-B459-54D28B1072FA}" name="Material" dataDxfId="62"/>
    <tableColumn id="2" xr3:uid="{CBF86385-E810-475B-A88D-AD0E4CFBB7AF}" name="Density_x000a_[kg/m3]" dataDxfId="61"/>
    <tableColumn id="3" xr3:uid="{A991B577-A8BF-4BB0-92CA-2E600565B999}" name="GWP (A1-A3)_x000a_[kg CO2e/kg]" dataDxfId="60"/>
    <tableColumn id="4" xr3:uid="{802ECD08-67EA-421A-BE3A-A3F6BAA08C27}" name="ECI_x000a_[€/kg]" dataDxfId="59"/>
    <tableColumn id="5" xr3:uid="{A27BF16F-FCC9-486A-8AE9-8D3314CABB3E}" name="Reference" dataDxfId="58"/>
  </tableColumns>
  <tableStyleInfo name="TableStyleMedium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DDC277-404E-4D39-BD27-1DEBCA3902FF}" name="Tbl_param_Cat" displayName="Tbl_param_Cat" ref="B2:C8" totalsRowShown="0">
  <autoFilter ref="B2:C8" xr:uid="{F4DDC277-404E-4D39-BD27-1DEBCA3902FF}"/>
  <tableColumns count="2">
    <tableColumn id="1" xr3:uid="{93C0E4C8-DD77-47F5-A59B-C2272FBB1447}" name="ID" dataDxfId="57"/>
    <tableColumn id="2" xr3:uid="{F747E8DA-48D1-4026-B0F1-056B485F58E5}" name="Category"/>
  </tableColumns>
  <tableStyleInfo name="TableStyleMedium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DEE4E08-6578-4ABA-A230-0E911A802A87}" name="TblConcrete" displayName="TblConcrete" ref="B8:I31" totalsRowCount="1" headerRowDxfId="56" dataDxfId="55" totalsRowDxfId="54">
  <autoFilter ref="B8:I30" xr:uid="{F0900E69-DEEB-4BB4-BDB4-81F72C0B11D5}"/>
  <tableColumns count="8">
    <tableColumn id="8" xr3:uid="{18575FE7-B60B-4A63-8067-A759EEC41021}" name="Category" totalsRowLabel="Total" dataDxfId="53" totalsRowDxfId="52"/>
    <tableColumn id="1" xr3:uid="{663FAEE3-EC82-4594-B012-78256B31B5CA}" name="Element" dataDxfId="51" totalsRowDxfId="50">
      <calculatedColumnFormula>Concrete!B3</calculatedColumnFormula>
    </tableColumn>
    <tableColumn id="2" xr3:uid="{2E8C2D76-385F-4848-9B45-FA6FA69B17CE}" name="Material" dataDxfId="49" totalsRowDxfId="48"/>
    <tableColumn id="3" xr3:uid="{1288561E-C52B-460E-A560-EBE1DCDF3C80}" name="Volume [m3] _x000a_or mass [kg]" dataDxfId="47" totalsRowDxfId="46"/>
    <tableColumn id="4" xr3:uid="{AD28B678-DA25-4CAF-AA4C-CB43AF289447}" name="Quantity_x000a_[m3 or kg]" dataDxfId="45" totalsRowDxfId="44">
      <calculatedColumnFormula>Concrete!F3</calculatedColumnFormula>
    </tableColumn>
    <tableColumn id="5" xr3:uid="{4B30BD66-D6D2-4E59-9B1B-74ECEAE00ADD}" name="Reinforcement_x000a_[kg/m3]" dataDxfId="43" totalsRowDxfId="42"/>
    <tableColumn id="6" xr3:uid="{E82825A9-6618-4E50-BA35-9A2D7A2D33CD}" name="GWP (A1-A3)_x000a_[kg CO2e]" totalsRowFunction="sum" dataDxfId="41" totalsRowDxfId="40">
      <calculatedColumnFormula>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calculatedColumnFormula>
    </tableColumn>
    <tableColumn id="7" xr3:uid="{548F30E8-C012-4B5D-B3FE-0961D3ADDA17}" name="ECI_x000a_[€]" totalsRowFunction="sum" dataDxfId="39" totalsRowDxfId="38">
      <calculatedColumnFormula>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calculatedColumnFormula>
    </tableColumn>
  </tableColumns>
  <tableStyleInfo name="TableStyleMedium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C12541E-14E8-4CE9-9289-775298DFBD5A}" name="TblSteel" displayName="TblSteel" ref="B8:I30" totalsRowCount="1" headerRowDxfId="37" dataDxfId="36" totalsRowDxfId="35">
  <autoFilter ref="B8:I29" xr:uid="{F0900E69-DEEB-4BB4-BDB4-81F72C0B11D5}"/>
  <tableColumns count="8">
    <tableColumn id="8" xr3:uid="{D15198E1-16E9-4B6A-B0BE-A9F6F4A7DC1A}" name="Category" totalsRowLabel="Total" dataDxfId="34" totalsRowDxfId="33"/>
    <tableColumn id="1" xr3:uid="{1DF73092-9530-466F-92CB-4C63A33233C7}" name="Element" dataDxfId="32" totalsRowDxfId="31">
      <calculatedColumnFormula>Steel!B3</calculatedColumnFormula>
    </tableColumn>
    <tableColumn id="2" xr3:uid="{7C0ECC43-A0BA-468C-BCAC-F3E40DA81F27}" name="Material" dataDxfId="30" totalsRowDxfId="29"/>
    <tableColumn id="3" xr3:uid="{909BDE3A-9D8F-4099-8411-B4719E851DA3}" name="Volume [m3] _x000a_or mass [kg]" dataDxfId="28" totalsRowDxfId="27"/>
    <tableColumn id="4" xr3:uid="{C7E6E17E-C5DC-4FF0-AF72-303D035B5587}" name="Quantity_x000a_[m3 or kg]" dataDxfId="26" totalsRowDxfId="25">
      <calculatedColumnFormula>Steel!F3</calculatedColumnFormula>
    </tableColumn>
    <tableColumn id="5" xr3:uid="{CAB42A6F-9FC7-48C4-84DC-FDBAD9C8A4E5}" name="Reinforcement_x000a_[kg/m3]" dataDxfId="24" totalsRowDxfId="23"/>
    <tableColumn id="6" xr3:uid="{2B5FD846-A101-4F53-8F77-A0A57E9514BA}" name="GWP (A1-A3)_x000a_[kg CO2e]" totalsRowFunction="sum" dataDxfId="22" totalsRowDxfId="21">
      <calculatedColumnFormula>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calculatedColumnFormula>
    </tableColumn>
    <tableColumn id="7" xr3:uid="{4A5188FE-9592-4F64-9E96-7773EFA6E565}" name="ECI_x000a_[€]" totalsRowFunction="sum" dataDxfId="20" totalsRowDxfId="19">
      <calculatedColumnFormula>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calculatedColumnFormula>
    </tableColumn>
  </tableColumns>
  <tableStyleInfo name="TableStyleMedium1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D94E23-21A2-48AE-B0C6-4C1A33EE22A2}" name="Tabel265" displayName="Tabel265" ref="B8:I30" totalsRowCount="1" headerRowDxfId="18" dataDxfId="17" totalsRowDxfId="16">
  <autoFilter ref="B8:I29" xr:uid="{F0900E69-DEEB-4BB4-BDB4-81F72C0B11D5}"/>
  <tableColumns count="8">
    <tableColumn id="8" xr3:uid="{0839827A-D615-44A3-A126-080175350937}" name="Category" totalsRowLabel="Total" dataDxfId="15" totalsRowDxfId="14"/>
    <tableColumn id="1" xr3:uid="{B8C41970-D6D0-4A75-B883-34A2F8BCB4E6}" name="Element" dataDxfId="13" totalsRowDxfId="12">
      <calculatedColumnFormula>Timber!B3</calculatedColumnFormula>
    </tableColumn>
    <tableColumn id="2" xr3:uid="{2B5B4E4E-6D75-4D08-991F-A31CEB160460}" name="Material" dataDxfId="11" totalsRowDxfId="10"/>
    <tableColumn id="3" xr3:uid="{518DC6B6-28BE-46E0-9CEF-0014883279CF}" name="Volume [m3] _x000a_or mass [kg]" dataDxfId="9" totalsRowDxfId="8"/>
    <tableColumn id="4" xr3:uid="{FCBAACAD-8569-444B-813E-DFECB02E0307}" name="Quantity_x000a_[m3 or kg]" dataDxfId="7" totalsRowDxfId="6">
      <calculatedColumnFormula>Timber!F3</calculatedColumnFormula>
    </tableColumn>
    <tableColumn id="5" xr3:uid="{52FD6A90-EDF2-451E-84F8-C692177BC829}" name="Reinforcement_x000a_[kg/m3]" dataDxfId="5" totalsRowDxfId="4"/>
    <tableColumn id="6" xr3:uid="{89A9D447-DC78-47F8-81E0-5163773B0D5F}" name="GWP (A1-A3)_x000a_[kg CO2e]" totalsRowFunction="sum" dataDxfId="3" totalsRowDxfId="2">
      <calculatedColumnFormula>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calculatedColumnFormula>
    </tableColumn>
    <tableColumn id="7" xr3:uid="{1A09E7D2-57FD-405D-AF5C-31A86DE0B2CC}" name="ECI_x000a_[€]" totalsRowFunction="sum" dataDxfId="1" totalsRowDxfId="0">
      <calculatedColumnFormula>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calculatedColumnFormula>
    </tableColumn>
  </tableColumns>
  <tableStyleInfo name="TableStyleMedium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calduran.nl/downloads/epd-elemente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F0CA0-A358-4EEF-9E08-3D778207CB4B}">
  <sheetPr>
    <tabColor rgb="FF7030A0"/>
  </sheetPr>
  <dimension ref="A1:L32"/>
  <sheetViews>
    <sheetView tabSelected="1" workbookViewId="0">
      <selection activeCell="L9" sqref="L9"/>
    </sheetView>
  </sheetViews>
  <sheetFormatPr defaultRowHeight="15" x14ac:dyDescent="0.25"/>
  <cols>
    <col min="12" max="12" width="56.5703125" bestFit="1" customWidth="1"/>
  </cols>
  <sheetData>
    <row r="1" spans="1:12" ht="18.75" x14ac:dyDescent="0.3">
      <c r="A1" s="66" t="s">
        <v>116</v>
      </c>
      <c r="B1" s="66"/>
      <c r="C1" s="66"/>
      <c r="D1" s="66"/>
      <c r="E1" s="66"/>
      <c r="F1" s="66"/>
      <c r="G1" s="66"/>
      <c r="H1" s="66"/>
      <c r="I1" s="66"/>
      <c r="J1" s="66"/>
    </row>
    <row r="2" spans="1:12" x14ac:dyDescent="0.25">
      <c r="L2" s="67" t="s">
        <v>47</v>
      </c>
    </row>
    <row r="3" spans="1:12" ht="15.75" x14ac:dyDescent="0.25">
      <c r="A3" s="70" t="s">
        <v>113</v>
      </c>
      <c r="B3" s="70"/>
      <c r="C3" s="70"/>
      <c r="D3" s="70"/>
      <c r="E3" s="70"/>
      <c r="F3" s="70"/>
      <c r="G3" s="70"/>
      <c r="H3" s="70"/>
      <c r="I3" s="70"/>
      <c r="J3" s="70"/>
      <c r="L3" s="68" t="s">
        <v>46</v>
      </c>
    </row>
    <row r="4" spans="1:12" ht="15" customHeight="1" x14ac:dyDescent="0.25">
      <c r="A4" s="65" t="s">
        <v>112</v>
      </c>
      <c r="B4" s="65"/>
      <c r="C4" s="65"/>
      <c r="D4" s="65"/>
      <c r="E4" s="65"/>
      <c r="F4" s="65"/>
      <c r="G4" s="65"/>
      <c r="H4" s="65"/>
      <c r="I4" s="65"/>
      <c r="J4" s="65"/>
      <c r="L4" s="69" t="s">
        <v>48</v>
      </c>
    </row>
    <row r="5" spans="1:12" x14ac:dyDescent="0.25">
      <c r="A5" s="65"/>
      <c r="B5" s="65"/>
      <c r="C5" s="65"/>
      <c r="D5" s="65"/>
      <c r="E5" s="65"/>
      <c r="F5" s="65"/>
      <c r="G5" s="65"/>
      <c r="H5" s="65"/>
      <c r="I5" s="65"/>
      <c r="J5" s="65"/>
    </row>
    <row r="6" spans="1:12" x14ac:dyDescent="0.25">
      <c r="A6" s="65"/>
      <c r="B6" s="65"/>
      <c r="C6" s="65"/>
      <c r="D6" s="65"/>
      <c r="E6" s="65"/>
      <c r="F6" s="65"/>
      <c r="G6" s="65"/>
      <c r="H6" s="65"/>
      <c r="I6" s="65"/>
      <c r="J6" s="65"/>
    </row>
    <row r="7" spans="1:12" x14ac:dyDescent="0.25">
      <c r="A7" s="64"/>
      <c r="B7" s="64"/>
      <c r="C7" s="64"/>
      <c r="D7" s="64"/>
      <c r="E7" s="64"/>
      <c r="F7" s="64"/>
      <c r="G7" s="64"/>
      <c r="H7" s="64"/>
      <c r="I7" s="64"/>
    </row>
    <row r="8" spans="1:12" ht="15.75" x14ac:dyDescent="0.25">
      <c r="A8" s="71" t="s">
        <v>114</v>
      </c>
      <c r="B8" s="71"/>
      <c r="C8" s="71"/>
      <c r="D8" s="71"/>
      <c r="E8" s="71"/>
      <c r="F8" s="71"/>
      <c r="G8" s="71"/>
      <c r="H8" s="71"/>
      <c r="I8" s="71"/>
      <c r="J8" s="71"/>
    </row>
    <row r="9" spans="1:12" ht="15" customHeight="1" x14ac:dyDescent="0.25">
      <c r="A9" s="63" t="s">
        <v>115</v>
      </c>
      <c r="B9" s="63"/>
      <c r="C9" s="63"/>
      <c r="D9" s="63"/>
      <c r="E9" s="63"/>
      <c r="F9" s="63"/>
      <c r="G9" s="63"/>
      <c r="H9" s="63"/>
      <c r="I9" s="63"/>
      <c r="J9" s="63"/>
    </row>
    <row r="10" spans="1:12" x14ac:dyDescent="0.25">
      <c r="A10" s="63"/>
      <c r="B10" s="63"/>
      <c r="C10" s="63"/>
      <c r="D10" s="63"/>
      <c r="E10" s="63"/>
      <c r="F10" s="63"/>
      <c r="G10" s="63"/>
      <c r="H10" s="63"/>
      <c r="I10" s="63"/>
      <c r="J10" s="63"/>
    </row>
    <row r="11" spans="1:12" x14ac:dyDescent="0.25">
      <c r="A11" s="63"/>
      <c r="B11" s="63"/>
      <c r="C11" s="63"/>
      <c r="D11" s="63"/>
      <c r="E11" s="63"/>
      <c r="F11" s="63"/>
      <c r="G11" s="63"/>
      <c r="H11" s="63"/>
      <c r="I11" s="63"/>
      <c r="J11" s="63"/>
    </row>
    <row r="12" spans="1:12" x14ac:dyDescent="0.25">
      <c r="A12" s="63"/>
      <c r="B12" s="63"/>
      <c r="C12" s="63"/>
      <c r="D12" s="63"/>
      <c r="E12" s="63"/>
      <c r="F12" s="63"/>
      <c r="G12" s="63"/>
      <c r="H12" s="63"/>
      <c r="I12" s="63"/>
      <c r="J12" s="63"/>
    </row>
    <row r="13" spans="1:12" x14ac:dyDescent="0.25">
      <c r="A13" s="63"/>
      <c r="B13" s="63"/>
      <c r="C13" s="63"/>
      <c r="D13" s="63"/>
      <c r="E13" s="63"/>
      <c r="F13" s="63"/>
      <c r="G13" s="63"/>
      <c r="H13" s="63"/>
      <c r="I13" s="63"/>
      <c r="J13" s="63"/>
    </row>
    <row r="14" spans="1:12" x14ac:dyDescent="0.25">
      <c r="A14" s="63"/>
      <c r="B14" s="63"/>
      <c r="C14" s="63"/>
      <c r="D14" s="63"/>
      <c r="E14" s="63"/>
      <c r="F14" s="63"/>
      <c r="G14" s="63"/>
      <c r="H14" s="63"/>
      <c r="I14" s="63"/>
      <c r="J14" s="63"/>
    </row>
    <row r="15" spans="1:12" ht="15" customHeight="1" x14ac:dyDescent="0.25">
      <c r="A15" s="63" t="s">
        <v>117</v>
      </c>
      <c r="B15" s="63"/>
      <c r="C15" s="63"/>
      <c r="D15" s="63"/>
      <c r="E15" s="63"/>
      <c r="F15" s="63"/>
      <c r="G15" s="63"/>
      <c r="H15" s="63"/>
      <c r="I15" s="63"/>
      <c r="J15" s="63"/>
    </row>
    <row r="16" spans="1:12" x14ac:dyDescent="0.25">
      <c r="A16" s="63"/>
      <c r="B16" s="63"/>
      <c r="C16" s="63"/>
      <c r="D16" s="63"/>
      <c r="E16" s="63"/>
      <c r="F16" s="63"/>
      <c r="G16" s="63"/>
      <c r="H16" s="63"/>
      <c r="I16" s="63"/>
      <c r="J16" s="63"/>
    </row>
    <row r="17" spans="1:10" x14ac:dyDescent="0.25">
      <c r="A17" s="63"/>
      <c r="B17" s="63"/>
      <c r="C17" s="63"/>
      <c r="D17" s="63"/>
      <c r="E17" s="63"/>
      <c r="F17" s="63"/>
      <c r="G17" s="63"/>
      <c r="H17" s="63"/>
      <c r="I17" s="63"/>
      <c r="J17" s="63"/>
    </row>
    <row r="18" spans="1:10" x14ac:dyDescent="0.25">
      <c r="A18" s="63"/>
      <c r="B18" s="63"/>
      <c r="C18" s="63"/>
      <c r="D18" s="63"/>
      <c r="E18" s="63"/>
      <c r="F18" s="63"/>
      <c r="G18" s="63"/>
      <c r="H18" s="63"/>
      <c r="I18" s="63"/>
      <c r="J18" s="63"/>
    </row>
    <row r="19" spans="1:10" x14ac:dyDescent="0.25">
      <c r="A19" s="63"/>
      <c r="B19" s="63"/>
      <c r="C19" s="63"/>
      <c r="D19" s="63"/>
      <c r="E19" s="63"/>
      <c r="F19" s="63"/>
      <c r="G19" s="63"/>
      <c r="H19" s="63"/>
      <c r="I19" s="63"/>
      <c r="J19" s="63"/>
    </row>
    <row r="20" spans="1:10" x14ac:dyDescent="0.25">
      <c r="A20" s="63"/>
      <c r="B20" s="63"/>
      <c r="C20" s="63"/>
      <c r="D20" s="63"/>
      <c r="E20" s="63"/>
      <c r="F20" s="63"/>
      <c r="G20" s="63"/>
      <c r="H20" s="63"/>
      <c r="I20" s="63"/>
      <c r="J20" s="63"/>
    </row>
    <row r="21" spans="1:10" x14ac:dyDescent="0.25">
      <c r="A21" s="63"/>
      <c r="B21" s="63"/>
      <c r="C21" s="63"/>
      <c r="D21" s="63"/>
      <c r="E21" s="63"/>
      <c r="F21" s="63"/>
      <c r="G21" s="63"/>
      <c r="H21" s="63"/>
      <c r="I21" s="63"/>
      <c r="J21" s="63"/>
    </row>
    <row r="22" spans="1:10" x14ac:dyDescent="0.25">
      <c r="A22" s="63"/>
      <c r="B22" s="63"/>
      <c r="C22" s="63"/>
      <c r="D22" s="63"/>
      <c r="E22" s="63"/>
      <c r="F22" s="63"/>
      <c r="G22" s="63"/>
      <c r="H22" s="63"/>
      <c r="I22" s="63"/>
      <c r="J22" s="63"/>
    </row>
    <row r="23" spans="1:10" x14ac:dyDescent="0.25">
      <c r="A23" s="63" t="s">
        <v>118</v>
      </c>
      <c r="B23" s="63"/>
      <c r="C23" s="63"/>
      <c r="D23" s="63"/>
      <c r="E23" s="63"/>
      <c r="F23" s="63"/>
      <c r="G23" s="63"/>
      <c r="H23" s="63"/>
      <c r="I23" s="63"/>
      <c r="J23" s="63"/>
    </row>
    <row r="24" spans="1:10" x14ac:dyDescent="0.25">
      <c r="A24" s="63"/>
      <c r="B24" s="63"/>
      <c r="C24" s="63"/>
      <c r="D24" s="63"/>
      <c r="E24" s="63"/>
      <c r="F24" s="63"/>
      <c r="G24" s="63"/>
      <c r="H24" s="63"/>
      <c r="I24" s="63"/>
      <c r="J24" s="63"/>
    </row>
    <row r="26" spans="1:10" ht="15.75" x14ac:dyDescent="0.25">
      <c r="A26" s="71" t="s">
        <v>119</v>
      </c>
      <c r="B26" s="71"/>
      <c r="C26" s="71"/>
      <c r="D26" s="71"/>
      <c r="E26" s="71"/>
      <c r="F26" s="71"/>
      <c r="G26" s="71"/>
      <c r="H26" s="71"/>
      <c r="I26" s="71"/>
      <c r="J26" s="71"/>
    </row>
    <row r="27" spans="1:10" ht="15" customHeight="1" x14ac:dyDescent="0.25">
      <c r="A27" s="63" t="s">
        <v>120</v>
      </c>
      <c r="B27" s="63"/>
      <c r="C27" s="63"/>
      <c r="D27" s="63"/>
      <c r="E27" s="63"/>
      <c r="F27" s="63"/>
      <c r="G27" s="63"/>
      <c r="H27" s="63"/>
      <c r="I27" s="63"/>
      <c r="J27" s="63"/>
    </row>
    <row r="28" spans="1:10" x14ac:dyDescent="0.25">
      <c r="A28" s="63"/>
      <c r="B28" s="63"/>
      <c r="C28" s="63"/>
      <c r="D28" s="63"/>
      <c r="E28" s="63"/>
      <c r="F28" s="63"/>
      <c r="G28" s="63"/>
      <c r="H28" s="63"/>
      <c r="I28" s="63"/>
      <c r="J28" s="63"/>
    </row>
    <row r="29" spans="1:10" x14ac:dyDescent="0.25">
      <c r="A29" s="63"/>
      <c r="B29" s="63"/>
      <c r="C29" s="63"/>
      <c r="D29" s="63"/>
      <c r="E29" s="63"/>
      <c r="F29" s="63"/>
      <c r="G29" s="63"/>
      <c r="H29" s="63"/>
      <c r="I29" s="63"/>
      <c r="J29" s="63"/>
    </row>
    <row r="30" spans="1:10" x14ac:dyDescent="0.25">
      <c r="A30" s="63"/>
      <c r="B30" s="63"/>
      <c r="C30" s="63"/>
      <c r="D30" s="63"/>
      <c r="E30" s="63"/>
      <c r="F30" s="63"/>
      <c r="G30" s="63"/>
      <c r="H30" s="63"/>
      <c r="I30" s="63"/>
      <c r="J30" s="63"/>
    </row>
    <row r="31" spans="1:10" x14ac:dyDescent="0.25">
      <c r="A31" s="63"/>
      <c r="B31" s="63"/>
      <c r="C31" s="63"/>
      <c r="D31" s="63"/>
      <c r="E31" s="63"/>
      <c r="F31" s="63"/>
      <c r="G31" s="63"/>
      <c r="H31" s="63"/>
      <c r="I31" s="63"/>
      <c r="J31" s="63"/>
    </row>
    <row r="32" spans="1:10" x14ac:dyDescent="0.25">
      <c r="A32" s="63"/>
      <c r="B32" s="63"/>
      <c r="C32" s="63"/>
      <c r="D32" s="63"/>
      <c r="E32" s="63"/>
      <c r="F32" s="63"/>
      <c r="G32" s="63"/>
      <c r="H32" s="63"/>
      <c r="I32" s="63"/>
      <c r="J32" s="63"/>
    </row>
  </sheetData>
  <mergeCells count="9">
    <mergeCell ref="A15:J22"/>
    <mergeCell ref="A23:J24"/>
    <mergeCell ref="A26:J26"/>
    <mergeCell ref="A27:J32"/>
    <mergeCell ref="A4:J6"/>
    <mergeCell ref="A1:J1"/>
    <mergeCell ref="A3:J3"/>
    <mergeCell ref="A8:J8"/>
    <mergeCell ref="A9:J1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F2810-EE0E-4269-9454-6BD756A556DE}">
  <sheetPr>
    <tabColor rgb="FF92D050"/>
  </sheetPr>
  <dimension ref="B1:P36"/>
  <sheetViews>
    <sheetView topLeftCell="A14" zoomScale="79" zoomScaleNormal="100" workbookViewId="0">
      <selection activeCell="N22" sqref="N22"/>
    </sheetView>
  </sheetViews>
  <sheetFormatPr defaultRowHeight="20.100000000000001" customHeight="1" x14ac:dyDescent="0.25"/>
  <cols>
    <col min="1" max="1" width="3.7109375" style="2" customWidth="1"/>
    <col min="2" max="2" width="27.85546875" style="2" bestFit="1" customWidth="1"/>
    <col min="3" max="3" width="35.7109375" style="2" customWidth="1"/>
    <col min="4" max="4" width="60.7109375" style="2" customWidth="1"/>
    <col min="5" max="10" width="15.7109375" style="3" customWidth="1"/>
    <col min="11" max="16384" width="9.140625" style="2"/>
  </cols>
  <sheetData>
    <row r="1" spans="2:11" ht="20.100000000000001" customHeight="1" thickBot="1" x14ac:dyDescent="0.3"/>
    <row r="2" spans="2:11" ht="20.100000000000001" customHeight="1" x14ac:dyDescent="0.25">
      <c r="B2" s="4" t="s">
        <v>28</v>
      </c>
      <c r="C2" s="2" t="s">
        <v>76</v>
      </c>
      <c r="F2" s="20"/>
      <c r="G2" s="21" t="s">
        <v>26</v>
      </c>
      <c r="H2" s="26" t="s">
        <v>27</v>
      </c>
      <c r="I2" s="22"/>
      <c r="J2" s="33"/>
    </row>
    <row r="3" spans="2:11" ht="20.100000000000001" customHeight="1" x14ac:dyDescent="0.25">
      <c r="B3" s="4"/>
      <c r="F3" s="15" t="s">
        <v>2</v>
      </c>
      <c r="G3" s="13">
        <f>Tabel265[[#Totals],[GWP (A1-A3)
'[kg CO2e']]]</f>
        <v>326136.72177400009</v>
      </c>
      <c r="H3" s="32">
        <f>G3/$C$5</f>
        <v>71.271136751311204</v>
      </c>
      <c r="I3" s="25" t="s">
        <v>22</v>
      </c>
      <c r="J3" s="37"/>
    </row>
    <row r="4" spans="2:11" ht="20.100000000000001" customHeight="1" x14ac:dyDescent="0.25">
      <c r="B4" s="4" t="s">
        <v>34</v>
      </c>
      <c r="C4" s="2">
        <v>50</v>
      </c>
      <c r="D4" s="2" t="s">
        <v>36</v>
      </c>
      <c r="F4" s="15" t="s">
        <v>3</v>
      </c>
      <c r="G4" s="13">
        <f>Tabel265[[#Totals],[ECI
'[€']]]</f>
        <v>34875.477903800012</v>
      </c>
      <c r="H4" s="32">
        <f>G4/$C$5</f>
        <v>7.6213894020541986</v>
      </c>
      <c r="I4" s="25" t="s">
        <v>44</v>
      </c>
      <c r="J4" s="37"/>
    </row>
    <row r="5" spans="2:11" ht="20.100000000000001" customHeight="1" thickBot="1" x14ac:dyDescent="0.3">
      <c r="B5" s="4" t="s">
        <v>33</v>
      </c>
      <c r="C5" s="2">
        <f>72*35 + 74*10*2 + (7.2*8)*10</f>
        <v>4576</v>
      </c>
      <c r="D5" s="2" t="s">
        <v>35</v>
      </c>
      <c r="F5" s="16" t="s">
        <v>31</v>
      </c>
      <c r="G5" s="17"/>
      <c r="H5" s="28">
        <f>H4/$C$4</f>
        <v>0.15242778804108398</v>
      </c>
      <c r="I5" s="27" t="s">
        <v>45</v>
      </c>
      <c r="J5" s="37"/>
    </row>
    <row r="7" spans="2:11" ht="20.100000000000001" customHeight="1" x14ac:dyDescent="0.25">
      <c r="G7" s="12"/>
    </row>
    <row r="8" spans="2:11" ht="30" x14ac:dyDescent="0.25">
      <c r="B8" s="24" t="s">
        <v>32</v>
      </c>
      <c r="C8" s="2" t="s">
        <v>18</v>
      </c>
      <c r="D8" s="2" t="s">
        <v>0</v>
      </c>
      <c r="E8" s="9" t="s">
        <v>23</v>
      </c>
      <c r="F8" s="9" t="s">
        <v>19</v>
      </c>
      <c r="G8" s="9" t="s">
        <v>20</v>
      </c>
      <c r="H8" s="9" t="s">
        <v>24</v>
      </c>
      <c r="I8" s="9" t="s">
        <v>25</v>
      </c>
      <c r="J8" s="9"/>
    </row>
    <row r="9" spans="2:11" ht="20.100000000000001" customHeight="1" x14ac:dyDescent="0.25">
      <c r="B9" s="23" t="s">
        <v>38</v>
      </c>
      <c r="C9" s="11" t="str">
        <f>Timber!B3</f>
        <v>Foundation piles</v>
      </c>
      <c r="D9" s="31" t="s">
        <v>110</v>
      </c>
      <c r="E9" s="3" t="s">
        <v>21</v>
      </c>
      <c r="F9" s="57">
        <f>Timber!F3</f>
        <v>224.80673000000002</v>
      </c>
      <c r="G9" s="10">
        <v>100</v>
      </c>
      <c r="H9"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64249.763434000008</v>
      </c>
      <c r="I9"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6105.7507868000002</v>
      </c>
      <c r="J9" s="13"/>
      <c r="K9" s="18" t="s">
        <v>29</v>
      </c>
    </row>
    <row r="10" spans="2:11" ht="20.100000000000001" customHeight="1" x14ac:dyDescent="0.25">
      <c r="B10" s="23" t="s">
        <v>39</v>
      </c>
      <c r="C10" s="11" t="str">
        <f>Timber!B4</f>
        <v>Foundation strips</v>
      </c>
      <c r="D10" s="31" t="s">
        <v>110</v>
      </c>
      <c r="E10" s="3" t="s">
        <v>21</v>
      </c>
      <c r="F10" s="57">
        <f>Timber!F4</f>
        <v>142.08000000000004</v>
      </c>
      <c r="G10" s="10">
        <v>150</v>
      </c>
      <c r="H10"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50338.944000000018</v>
      </c>
      <c r="I10"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4782.4128000000019</v>
      </c>
      <c r="J10" s="13"/>
      <c r="K10" s="18" t="s">
        <v>30</v>
      </c>
    </row>
    <row r="11" spans="2:11" ht="20.100000000000001" customHeight="1" x14ac:dyDescent="0.25">
      <c r="B11" s="23" t="s">
        <v>39</v>
      </c>
      <c r="C11" s="11" t="str">
        <f>Timber!B5</f>
        <v>Foundation strips</v>
      </c>
      <c r="D11" s="31" t="s">
        <v>110</v>
      </c>
      <c r="E11" s="3" t="s">
        <v>21</v>
      </c>
      <c r="F11" s="57">
        <f>Timber!F5</f>
        <v>46.080000000000013</v>
      </c>
      <c r="G11" s="10">
        <v>150</v>
      </c>
      <c r="H11"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16326.144000000004</v>
      </c>
      <c r="I11"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1551.0528000000004</v>
      </c>
      <c r="J11" s="13"/>
    </row>
    <row r="12" spans="2:11" ht="20.100000000000001" customHeight="1" x14ac:dyDescent="0.25">
      <c r="B12" s="23" t="s">
        <v>39</v>
      </c>
      <c r="C12" s="11" t="str">
        <f>Timber!B6</f>
        <v>Foundation strips</v>
      </c>
      <c r="D12" s="31" t="s">
        <v>110</v>
      </c>
      <c r="E12" s="3" t="s">
        <v>21</v>
      </c>
      <c r="F12" s="57">
        <f>Timber!F6</f>
        <v>22.400000000000006</v>
      </c>
      <c r="G12" s="10">
        <v>150</v>
      </c>
      <c r="H12"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7936.3200000000024</v>
      </c>
      <c r="I12"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753.98400000000015</v>
      </c>
      <c r="J12" s="13"/>
    </row>
    <row r="13" spans="2:11" ht="20.100000000000001" customHeight="1" x14ac:dyDescent="0.25">
      <c r="B13" s="23" t="s">
        <v>39</v>
      </c>
      <c r="C13" s="11" t="str">
        <f>Timber!B7</f>
        <v>Foundation strips</v>
      </c>
      <c r="D13" s="31" t="s">
        <v>110</v>
      </c>
      <c r="E13" s="3" t="s">
        <v>21</v>
      </c>
      <c r="F13" s="57">
        <f>Timber!F7</f>
        <v>12.800000000000002</v>
      </c>
      <c r="G13" s="10">
        <v>150</v>
      </c>
      <c r="H13"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4535.0400000000009</v>
      </c>
      <c r="I13"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430.84800000000013</v>
      </c>
      <c r="J13" s="13"/>
    </row>
    <row r="14" spans="2:11" ht="20.100000000000001" customHeight="1" x14ac:dyDescent="0.25">
      <c r="B14" s="23" t="s">
        <v>39</v>
      </c>
      <c r="C14" s="11" t="str">
        <f>Timber!B8</f>
        <v>Pours</v>
      </c>
      <c r="D14" s="31" t="s">
        <v>110</v>
      </c>
      <c r="E14" s="3" t="s">
        <v>21</v>
      </c>
      <c r="F14" s="57">
        <f>Timber!F8</f>
        <v>43.2</v>
      </c>
      <c r="G14" s="10">
        <v>125</v>
      </c>
      <c r="H14"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13826.16</v>
      </c>
      <c r="I14"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1313.712</v>
      </c>
      <c r="J14" s="13"/>
    </row>
    <row r="15" spans="2:11" ht="20.100000000000001" customHeight="1" x14ac:dyDescent="0.25">
      <c r="B15" s="23" t="s">
        <v>41</v>
      </c>
      <c r="C15" s="11" t="str">
        <f>Timber!B9</f>
        <v>Ground Floor</v>
      </c>
      <c r="D15" s="31" t="s">
        <v>110</v>
      </c>
      <c r="E15" s="3" t="s">
        <v>21</v>
      </c>
      <c r="F15" s="57">
        <f>Timber!F9</f>
        <v>630</v>
      </c>
      <c r="G15" s="10">
        <v>120</v>
      </c>
      <c r="H15"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197316</v>
      </c>
      <c r="I15"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18748.8</v>
      </c>
      <c r="J15" s="13"/>
    </row>
    <row r="16" spans="2:11" ht="20.100000000000001" customHeight="1" x14ac:dyDescent="0.25">
      <c r="B16" s="23" t="s">
        <v>41</v>
      </c>
      <c r="C16" s="11" t="str">
        <f>Timber!B10</f>
        <v>Ground Floor</v>
      </c>
      <c r="D16" s="31" t="s">
        <v>110</v>
      </c>
      <c r="E16" s="3" t="s">
        <v>21</v>
      </c>
      <c r="F16" s="57">
        <f>Timber!F10</f>
        <v>185</v>
      </c>
      <c r="G16" s="10">
        <v>120</v>
      </c>
      <c r="H16"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57942</v>
      </c>
      <c r="I16"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5505.6</v>
      </c>
      <c r="J16" s="13"/>
    </row>
    <row r="17" spans="2:16" ht="20.100000000000001" customHeight="1" x14ac:dyDescent="0.25">
      <c r="B17" s="23" t="s">
        <v>40</v>
      </c>
      <c r="C17" s="11" t="str">
        <f>Timber!B11</f>
        <v>Inner Columns</v>
      </c>
      <c r="D17" s="31" t="s">
        <v>66</v>
      </c>
      <c r="E17" s="3" t="s">
        <v>21</v>
      </c>
      <c r="F17" s="57">
        <f>Timber!F11</f>
        <v>23.625</v>
      </c>
      <c r="G17" s="10"/>
      <c r="H17"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-11992.05</v>
      </c>
      <c r="I17"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-599.60249999999996</v>
      </c>
      <c r="J17" s="13"/>
    </row>
    <row r="18" spans="2:16" ht="20.100000000000001" customHeight="1" x14ac:dyDescent="0.25">
      <c r="B18" s="23" t="s">
        <v>40</v>
      </c>
      <c r="C18" s="11" t="str">
        <f>Timber!B12</f>
        <v>Outer Columns</v>
      </c>
      <c r="D18" s="31" t="s">
        <v>66</v>
      </c>
      <c r="E18" s="3" t="s">
        <v>21</v>
      </c>
      <c r="F18" s="57">
        <f>Timber!F12</f>
        <v>17.954999999999998</v>
      </c>
      <c r="G18" s="10"/>
      <c r="H18"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-9113.9579999999987</v>
      </c>
      <c r="I18"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-455.69789999999995</v>
      </c>
      <c r="J18" s="13"/>
    </row>
    <row r="19" spans="2:16" ht="20.100000000000001" customHeight="1" x14ac:dyDescent="0.25">
      <c r="B19" s="23" t="s">
        <v>41</v>
      </c>
      <c r="C19" s="11" t="str">
        <f>Timber!B13</f>
        <v>First Floor</v>
      </c>
      <c r="D19" s="31" t="s">
        <v>63</v>
      </c>
      <c r="E19" s="3" t="s">
        <v>21</v>
      </c>
      <c r="F19" s="57">
        <f>Timber!F13</f>
        <v>65.28</v>
      </c>
      <c r="G19" s="10"/>
      <c r="H19"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-35339.328000000001</v>
      </c>
      <c r="I19"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-1766.9664</v>
      </c>
      <c r="J19" s="13"/>
    </row>
    <row r="20" spans="2:16" ht="20.100000000000001" customHeight="1" x14ac:dyDescent="0.25">
      <c r="B20" s="23" t="s">
        <v>41</v>
      </c>
      <c r="C20" s="11" t="str">
        <f>Timber!B14</f>
        <v>Second Floor</v>
      </c>
      <c r="D20" s="31" t="s">
        <v>63</v>
      </c>
      <c r="E20" s="3" t="s">
        <v>21</v>
      </c>
      <c r="F20" s="57">
        <f>Timber!F14</f>
        <v>84.96</v>
      </c>
      <c r="G20" s="10"/>
      <c r="H20"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-45993.096000000005</v>
      </c>
      <c r="I20"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-2299.6548000000003</v>
      </c>
      <c r="J20" s="13"/>
    </row>
    <row r="21" spans="2:16" ht="20.100000000000001" customHeight="1" x14ac:dyDescent="0.25">
      <c r="B21" s="23" t="s">
        <v>40</v>
      </c>
      <c r="C21" s="11" t="str">
        <f>Timber!B15</f>
        <v>Office beam, length</v>
      </c>
      <c r="D21" s="31" t="s">
        <v>66</v>
      </c>
      <c r="E21" s="3" t="s">
        <v>21</v>
      </c>
      <c r="F21" s="57">
        <f>Timber!F15</f>
        <v>11.64</v>
      </c>
      <c r="G21" s="10"/>
      <c r="H21"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-5908.463999999999</v>
      </c>
      <c r="I21"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-295.42320000000001</v>
      </c>
      <c r="J21" s="13"/>
      <c r="K21" s="18" t="s">
        <v>53</v>
      </c>
      <c r="L21" s="18"/>
      <c r="M21" s="18" t="s">
        <v>51</v>
      </c>
    </row>
    <row r="22" spans="2:16" ht="20.100000000000001" customHeight="1" x14ac:dyDescent="0.25">
      <c r="B22" s="23" t="s">
        <v>41</v>
      </c>
      <c r="C22" s="11" t="str">
        <f>Timber!B16</f>
        <v>Roof beam, width thin</v>
      </c>
      <c r="D22" s="31" t="s">
        <v>66</v>
      </c>
      <c r="E22" s="3" t="s">
        <v>21</v>
      </c>
      <c r="F22" s="57">
        <f>Timber!F16</f>
        <v>2.8000000000000007</v>
      </c>
      <c r="G22" s="10"/>
      <c r="H22"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-1421.2800000000002</v>
      </c>
      <c r="I22"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-71.064000000000007</v>
      </c>
      <c r="J22" s="13"/>
      <c r="K22" s="18"/>
      <c r="L22" s="18"/>
      <c r="M22" s="18" t="s">
        <v>31</v>
      </c>
    </row>
    <row r="23" spans="2:16" ht="20.100000000000001" customHeight="1" x14ac:dyDescent="0.25">
      <c r="B23" s="23" t="s">
        <v>41</v>
      </c>
      <c r="C23" s="11" t="str">
        <f>Timber!B17</f>
        <v>Roof beam, width thick</v>
      </c>
      <c r="D23" s="31" t="s">
        <v>66</v>
      </c>
      <c r="E23" s="3" t="s">
        <v>21</v>
      </c>
      <c r="F23" s="57">
        <f>Timber!F17</f>
        <v>12.6</v>
      </c>
      <c r="G23" s="10"/>
      <c r="H23"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-6395.7599999999993</v>
      </c>
      <c r="I23"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-319.78800000000001</v>
      </c>
      <c r="J23" s="13"/>
    </row>
    <row r="24" spans="2:16" ht="20.100000000000001" customHeight="1" x14ac:dyDescent="0.25">
      <c r="B24" s="23" t="s">
        <v>40</v>
      </c>
      <c r="C24" s="11" t="str">
        <f>Timber!B18</f>
        <v>Roof beam, length</v>
      </c>
      <c r="D24" s="31" t="s">
        <v>66</v>
      </c>
      <c r="E24" s="3" t="s">
        <v>21</v>
      </c>
      <c r="F24" s="57">
        <f>Timber!F18</f>
        <v>11.520000000000003</v>
      </c>
      <c r="G24" s="10"/>
      <c r="H24"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-5847.5520000000015</v>
      </c>
      <c r="I24"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-292.37760000000009</v>
      </c>
      <c r="J24" s="13"/>
      <c r="K24" s="4"/>
      <c r="L24" s="4"/>
      <c r="M24" s="5" t="s">
        <v>51</v>
      </c>
      <c r="N24" s="33" t="s">
        <v>52</v>
      </c>
      <c r="O24" s="5" t="s">
        <v>3</v>
      </c>
      <c r="P24" s="5" t="s">
        <v>31</v>
      </c>
    </row>
    <row r="25" spans="2:16" ht="20.100000000000001" customHeight="1" x14ac:dyDescent="0.25">
      <c r="B25" s="23" t="s">
        <v>42</v>
      </c>
      <c r="C25" s="11" t="str">
        <f>Timber!B19</f>
        <v>Walls, 1</v>
      </c>
      <c r="D25" s="31" t="s">
        <v>69</v>
      </c>
      <c r="E25" s="3" t="s">
        <v>21</v>
      </c>
      <c r="F25" s="57">
        <f>Timber!F19</f>
        <v>34.090199999999996</v>
      </c>
      <c r="G25" s="10"/>
      <c r="H25"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4034.5751699999996</v>
      </c>
      <c r="I25"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201.72875849999997</v>
      </c>
      <c r="J25" s="13"/>
      <c r="K25" s="2" t="str">
        <f>'Building params'!C3</f>
        <v>Piling</v>
      </c>
      <c r="M25" s="13">
        <f>SUMIFS(Tabel265[GWP (A1-A3)
'[kg CO2e']],Tabel265[Category],K25)</f>
        <v>64249.763434000008</v>
      </c>
      <c r="N25" s="32">
        <f>M25/$C$5</f>
        <v>14.04059515603147</v>
      </c>
      <c r="O25" s="13">
        <f>SUMIFS(Tabel265[ECI
'[€']],Tabel265[Category],K25)</f>
        <v>6105.7507868000002</v>
      </c>
      <c r="P25" s="8">
        <f>O25/$C$5/$C$4</f>
        <v>2.6685973718531472E-2</v>
      </c>
    </row>
    <row r="26" spans="2:16" ht="20.100000000000001" customHeight="1" x14ac:dyDescent="0.25">
      <c r="B26" s="23" t="s">
        <v>42</v>
      </c>
      <c r="C26" s="11" t="str">
        <f>Timber!B20</f>
        <v>Walls, 2</v>
      </c>
      <c r="D26" s="31" t="s">
        <v>69</v>
      </c>
      <c r="E26" s="3" t="s">
        <v>21</v>
      </c>
      <c r="F26" s="57">
        <f>Timber!F20</f>
        <v>34.090199999999996</v>
      </c>
      <c r="G26" s="10"/>
      <c r="H26"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4034.5751699999996</v>
      </c>
      <c r="I26"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201.72875849999997</v>
      </c>
      <c r="J26" s="13"/>
      <c r="K26" s="2" t="str">
        <f>'Building params'!C4</f>
        <v>Substructure</v>
      </c>
      <c r="M26" s="13">
        <f>SUMIFS(Tabel265[GWP (A1-A3)
'[kg CO2e']],Tabel265[Category],K26)</f>
        <v>92962.608000000037</v>
      </c>
      <c r="N26" s="32">
        <f t="shared" ref="N26:N30" si="0">M26/$C$5</f>
        <v>20.315255244755253</v>
      </c>
      <c r="O26" s="13">
        <f>SUMIFS(Tabel265[ECI
'[€']],Tabel265[Category],K26)</f>
        <v>8832.009600000003</v>
      </c>
      <c r="P26" s="8">
        <f t="shared" ref="P26:P30" si="1">O26/$C$5/$C$4</f>
        <v>3.8601440559440571E-2</v>
      </c>
    </row>
    <row r="27" spans="2:16" ht="20.100000000000001" customHeight="1" x14ac:dyDescent="0.25">
      <c r="B27" s="23" t="s">
        <v>41</v>
      </c>
      <c r="C27" s="11" t="str">
        <f>Timber!B21</f>
        <v>Roof panels, 1</v>
      </c>
      <c r="D27" s="31" t="s">
        <v>69</v>
      </c>
      <c r="E27" s="3" t="s">
        <v>21</v>
      </c>
      <c r="F27" s="57">
        <f>Timber!F21</f>
        <v>77.759999999999991</v>
      </c>
      <c r="G27" s="10"/>
      <c r="H27"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9202.8959999999988</v>
      </c>
      <c r="I27"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460.14479999999992</v>
      </c>
      <c r="J27" s="13"/>
      <c r="K27" s="2" t="str">
        <f>'Building params'!C5</f>
        <v>Structural frame</v>
      </c>
      <c r="M27" s="13">
        <f>SUMIFS(Tabel265[GWP (A1-A3)
'[kg CO2e']],Tabel265[Category],K27)</f>
        <v>-32862.023999999998</v>
      </c>
      <c r="N27" s="32">
        <f t="shared" si="0"/>
        <v>-7.1813863636363635</v>
      </c>
      <c r="O27" s="13">
        <f>SUMIFS(Tabel265[ECI
'[€']],Tabel265[Category],K27)</f>
        <v>-1643.1011999999998</v>
      </c>
      <c r="P27" s="8">
        <f t="shared" si="1"/>
        <v>-7.1813863636363629E-3</v>
      </c>
    </row>
    <row r="28" spans="2:16" ht="20.100000000000001" customHeight="1" x14ac:dyDescent="0.25">
      <c r="B28" s="23" t="s">
        <v>41</v>
      </c>
      <c r="C28" s="11" t="str">
        <f>Timber!B22</f>
        <v>Roof panels, 2</v>
      </c>
      <c r="D28" s="31" t="s">
        <v>69</v>
      </c>
      <c r="E28" s="3" t="s">
        <v>21</v>
      </c>
      <c r="F28" s="57">
        <f>Timber!F22</f>
        <v>60.48</v>
      </c>
      <c r="G28" s="10"/>
      <c r="H28"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7157.808</v>
      </c>
      <c r="I28"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357.8904</v>
      </c>
      <c r="J28" s="13"/>
      <c r="K28" s="2" t="str">
        <f>'Building params'!C6</f>
        <v>Floors/roof</v>
      </c>
      <c r="M28" s="13">
        <f>SUMIFS(Tabel265[GWP (A1-A3)
'[kg CO2e']],Tabel265[Category],K28)</f>
        <v>193717.22399999999</v>
      </c>
      <c r="N28" s="32">
        <f t="shared" si="0"/>
        <v>42.333309440559439</v>
      </c>
      <c r="O28" s="13">
        <f>SUMIFS(Tabel265[ECI
'[€']],Tabel265[Category],K28)</f>
        <v>21177.361199999999</v>
      </c>
      <c r="P28" s="8">
        <f t="shared" si="1"/>
        <v>9.2558396853146846E-2</v>
      </c>
    </row>
    <row r="29" spans="2:16" ht="20.100000000000001" customHeight="1" x14ac:dyDescent="0.25">
      <c r="B29" s="23" t="s">
        <v>41</v>
      </c>
      <c r="C29" s="11" t="str">
        <f>Timber!B23</f>
        <v>Roof panels, 3</v>
      </c>
      <c r="D29" s="31" t="s">
        <v>69</v>
      </c>
      <c r="E29" s="3" t="s">
        <v>21</v>
      </c>
      <c r="F29" s="57">
        <f>Timber!F23</f>
        <v>95.039999999999992</v>
      </c>
      <c r="G29" s="10"/>
      <c r="H29" s="13">
        <f>IF(Tabel265[[#This Row],[Volume '[m3'] 
or mass '[kg']]]="",0,IF(Tabel265[[#This Row],[Volume '[m3'] 
or mass '[kg']]]="m3",VLOOKUP(Tabel265[[#This Row],[Material]],Tbl_MatData[],2,FALSE)*Tabel265[[#This Row],[Quantity
'[m3 or kg']]]*VLOOKUP(Tabel265[[#This Row],[Material]],Tbl_MatData[],3,FALSE), Tabel265[[#This Row],[Quantity
'[m3 or kg']]]*VLOOKUP(Tabel265[[#This Row],[Material]],Tbl_MatData[],3,FALSE)))+Tabel265[[#This Row],[Quantity
'[m3 or kg']]]*Tabel265[[#This Row],[Reinforcement
'[kg/m3']]]*'LCA Material data'!$D$8</f>
        <v>11247.984</v>
      </c>
      <c r="I29" s="38">
        <f>IF(Tabel265[[#This Row],[Volume '[m3'] 
or mass '[kg']]]="",0,IF(Tabel265[[#This Row],[Volume '[m3'] 
or mass '[kg']]]="m3",VLOOKUP(Tabel265[[#This Row],[Material]],Tbl_MatData[],2,FALSE)*Tabel265[[#This Row],[Quantity
'[m3 or kg']]]*VLOOKUP(Tabel265[[#This Row],[Material]],Tbl_MatData[],4,FALSE), Tabel265[[#This Row],[Quantity
'[m3 or kg']]]*VLOOKUP(Tabel265[[#This Row],[Material]],Tbl_MatData[],4,FALSE)))+Tabel265[[#This Row],[Quantity
'[m3 or kg']]]*Tabel265[[#This Row],[Reinforcement
'[kg/m3']]]*'LCA Material data'!$E$8</f>
        <v>562.39920000000006</v>
      </c>
      <c r="J29" s="13"/>
      <c r="K29" s="2" t="str">
        <f>'Building params'!C7</f>
        <v>Structural walls</v>
      </c>
      <c r="M29" s="13">
        <f>SUMIFS(Tabel265[GWP (A1-A3)
'[kg CO2e']],Tabel265[Category],K29)</f>
        <v>8069.1503399999992</v>
      </c>
      <c r="N29" s="32">
        <f t="shared" si="0"/>
        <v>1.7633632736013984</v>
      </c>
      <c r="O29" s="13">
        <f>SUMIFS(Tabel265[ECI
'[€']],Tabel265[Category],K29)</f>
        <v>403.45751699999994</v>
      </c>
      <c r="P29" s="8">
        <f t="shared" si="1"/>
        <v>1.7633632736013983E-3</v>
      </c>
    </row>
    <row r="30" spans="2:16" ht="20.100000000000001" customHeight="1" x14ac:dyDescent="0.25">
      <c r="B30" s="4" t="s">
        <v>26</v>
      </c>
      <c r="C30" s="4"/>
      <c r="D30" s="30"/>
      <c r="E30" s="5"/>
      <c r="F30" s="5"/>
      <c r="G30" s="5"/>
      <c r="H30" s="19">
        <f>SUBTOTAL(109,Tabel265[GWP (A1-A3)
'[kg CO2e']])</f>
        <v>326136.72177400009</v>
      </c>
      <c r="I30" s="39">
        <f>SUBTOTAL(109,Tabel265[ECI
'[€']])</f>
        <v>34875.477903800012</v>
      </c>
      <c r="J30" s="19"/>
      <c r="K30" s="2" t="str">
        <f>'Building params'!C8</f>
        <v>Other</v>
      </c>
      <c r="M30" s="13">
        <f>SUMIFS(Tabel265[GWP (A1-A3)
'[kg CO2e']],Tabel265[Category],K30)</f>
        <v>0</v>
      </c>
      <c r="N30" s="32">
        <f t="shared" si="0"/>
        <v>0</v>
      </c>
      <c r="O30" s="13">
        <f>SUMIFS(Tabel265[ECI
'[€']],Tabel265[Category],K30)</f>
        <v>0</v>
      </c>
      <c r="P30" s="8">
        <f t="shared" si="1"/>
        <v>0</v>
      </c>
    </row>
    <row r="31" spans="2:16" ht="20.100000000000001" customHeight="1" x14ac:dyDescent="0.25">
      <c r="B31" s="30"/>
      <c r="C31" s="4"/>
      <c r="D31" s="4"/>
      <c r="E31" s="5"/>
      <c r="F31" s="5" t="s">
        <v>49</v>
      </c>
      <c r="G31" s="5"/>
      <c r="H31" s="19"/>
      <c r="I31" s="19"/>
      <c r="J31" s="19"/>
    </row>
    <row r="32" spans="2:16" ht="20.100000000000001" customHeight="1" x14ac:dyDescent="0.25">
      <c r="C32" s="14"/>
      <c r="F32" s="29" t="s">
        <v>47</v>
      </c>
    </row>
    <row r="33" spans="2:6" ht="20.100000000000001" customHeight="1" x14ac:dyDescent="0.25">
      <c r="F33" s="29" t="s">
        <v>46</v>
      </c>
    </row>
    <row r="34" spans="2:6" ht="20.100000000000001" customHeight="1" x14ac:dyDescent="0.25">
      <c r="F34" s="29" t="s">
        <v>48</v>
      </c>
    </row>
    <row r="36" spans="2:6" ht="20.100000000000001" customHeight="1" x14ac:dyDescent="0.25">
      <c r="B36" s="4" t="s">
        <v>50</v>
      </c>
    </row>
  </sheetData>
  <phoneticPr fontId="9" type="noConversion"/>
  <dataValidations count="4">
    <dataValidation type="list" allowBlank="1" showInputMessage="1" showErrorMessage="1" sqref="C4" xr:uid="{D9682880-412E-46B0-B31B-9881AC6039AA}">
      <formula1>"50,75"</formula1>
    </dataValidation>
    <dataValidation type="list" allowBlank="1" showInputMessage="1" showErrorMessage="1" sqref="B9:B29 B31" xr:uid="{98ACD094-F89B-435A-9C05-7475B597455F}">
      <formula1>INDIRECT("Tbl_Param_Cat[Category]")</formula1>
    </dataValidation>
    <dataValidation type="list" allowBlank="1" showInputMessage="1" showErrorMessage="1" sqref="D31 D9:D29" xr:uid="{1DC0A9D7-3816-48D5-AD9D-727EE9135294}">
      <formula1>INDIRECT("Tbl_MatData[Material]")</formula1>
    </dataValidation>
    <dataValidation type="list" allowBlank="1" showInputMessage="1" showErrorMessage="1" sqref="E31 E9:E29" xr:uid="{DBD22D7D-CFB8-438D-A15C-42864C7CCB3A}">
      <formula1>"m3,kg"</formula1>
    </dataValidation>
  </dataValidations>
  <pageMargins left="0.7" right="0.7" top="0.75" bottom="0.75" header="0.3" footer="0.3"/>
  <pageSetup paperSize="0"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60C3-E00F-4F25-AB22-455060593699}">
  <sheetPr>
    <tabColor rgb="FF7030A0"/>
  </sheetPr>
  <dimension ref="A1:S54"/>
  <sheetViews>
    <sheetView zoomScale="103" zoomScaleNormal="80" workbookViewId="0">
      <selection activeCell="X4" sqref="X4"/>
    </sheetView>
  </sheetViews>
  <sheetFormatPr defaultRowHeight="15" x14ac:dyDescent="0.25"/>
  <cols>
    <col min="2" max="2" width="12" bestFit="1" customWidth="1"/>
  </cols>
  <sheetData>
    <row r="1" spans="1:19" ht="26.25" x14ac:dyDescent="0.4">
      <c r="A1" s="59" t="s">
        <v>61</v>
      </c>
      <c r="B1" s="59"/>
      <c r="C1" s="59"/>
      <c r="D1" s="59"/>
      <c r="E1" s="59"/>
      <c r="F1" s="59"/>
      <c r="G1" s="59"/>
      <c r="H1" s="47"/>
      <c r="I1" s="47"/>
      <c r="J1" s="47"/>
      <c r="K1" s="47"/>
      <c r="L1" s="47"/>
      <c r="M1" s="47"/>
      <c r="N1" s="47"/>
      <c r="O1" s="47"/>
      <c r="P1" s="47"/>
      <c r="Q1" s="47"/>
      <c r="R1" s="47"/>
      <c r="S1" s="47"/>
    </row>
    <row r="2" spans="1:19" ht="15.75" thickBot="1" x14ac:dyDescent="0.3">
      <c r="A2" s="47"/>
      <c r="B2" s="47"/>
      <c r="C2" s="47"/>
      <c r="D2" s="47"/>
      <c r="E2" s="47"/>
      <c r="F2" s="47"/>
      <c r="G2" s="47"/>
      <c r="H2" s="47"/>
      <c r="I2" s="47"/>
      <c r="J2" s="47"/>
      <c r="K2" s="47"/>
      <c r="L2" s="47"/>
      <c r="M2" s="47"/>
      <c r="N2" s="47"/>
      <c r="O2" s="47"/>
      <c r="P2" s="47"/>
      <c r="Q2" s="47"/>
      <c r="R2" s="47"/>
      <c r="S2" s="47"/>
    </row>
    <row r="3" spans="1:19" ht="15.75" thickBot="1" x14ac:dyDescent="0.3">
      <c r="A3" s="47"/>
      <c r="B3" s="50"/>
      <c r="C3" s="51" t="s">
        <v>26</v>
      </c>
      <c r="D3" s="52" t="s">
        <v>27</v>
      </c>
      <c r="E3" s="53"/>
      <c r="F3" s="47"/>
      <c r="G3" s="47"/>
      <c r="H3" s="47"/>
      <c r="I3" s="47"/>
      <c r="J3" s="47"/>
      <c r="K3" s="47"/>
      <c r="L3" s="47"/>
      <c r="M3" s="47"/>
      <c r="N3" s="47"/>
      <c r="O3" s="47"/>
      <c r="P3" s="47"/>
      <c r="Q3" s="47"/>
      <c r="R3" s="47"/>
      <c r="S3" s="47"/>
    </row>
    <row r="4" spans="1:19" x14ac:dyDescent="0.25">
      <c r="A4" s="47"/>
      <c r="B4" s="15" t="s">
        <v>2</v>
      </c>
      <c r="C4" s="54">
        <f>'LCA Calculation Concrete'!G3</f>
        <v>663290.58668399998</v>
      </c>
      <c r="D4" s="13">
        <f>'LCA Calculation Concrete'!H3</f>
        <v>144.94986597115386</v>
      </c>
      <c r="E4" s="25" t="s">
        <v>22</v>
      </c>
      <c r="F4" s="47"/>
      <c r="G4" s="47"/>
      <c r="H4" s="47"/>
      <c r="I4" s="47"/>
      <c r="J4" s="47"/>
      <c r="K4" s="47"/>
      <c r="L4" s="47"/>
      <c r="M4" s="47"/>
      <c r="N4" s="47"/>
      <c r="O4" s="47"/>
      <c r="P4" s="47"/>
      <c r="Q4" s="47"/>
      <c r="R4" s="47"/>
      <c r="S4" s="47"/>
    </row>
    <row r="5" spans="1:19" x14ac:dyDescent="0.25">
      <c r="A5" s="47"/>
      <c r="B5" s="15" t="s">
        <v>3</v>
      </c>
      <c r="C5" s="54">
        <f>'LCA Calculation Concrete'!G4</f>
        <v>63293.033686800016</v>
      </c>
      <c r="D5" s="8">
        <f>'LCA Calculation Concrete'!H4</f>
        <v>13.831519599388116</v>
      </c>
      <c r="E5" s="25" t="s">
        <v>44</v>
      </c>
      <c r="F5" s="47"/>
      <c r="G5" s="47"/>
      <c r="H5" s="47"/>
      <c r="I5" s="47"/>
      <c r="J5" s="47"/>
      <c r="K5" s="47"/>
      <c r="L5" s="47"/>
      <c r="M5" s="47"/>
      <c r="N5" s="47"/>
      <c r="O5" s="47"/>
      <c r="P5" s="47"/>
      <c r="Q5" s="47"/>
      <c r="R5" s="47"/>
      <c r="S5" s="47"/>
    </row>
    <row r="6" spans="1:19" ht="15.75" thickBot="1" x14ac:dyDescent="0.3">
      <c r="A6" s="47"/>
      <c r="B6" s="16" t="s">
        <v>31</v>
      </c>
      <c r="C6" s="17"/>
      <c r="D6" s="28">
        <f>'LCA Calculation Concrete'!H5</f>
        <v>0.27663039198776235</v>
      </c>
      <c r="E6" s="27" t="s">
        <v>45</v>
      </c>
      <c r="F6" s="47"/>
      <c r="G6" s="47"/>
      <c r="H6" s="47"/>
      <c r="I6" s="47"/>
      <c r="J6" s="47"/>
      <c r="K6" s="47"/>
      <c r="L6" s="47"/>
      <c r="M6" s="47"/>
      <c r="N6" s="47"/>
      <c r="O6" s="47"/>
      <c r="P6" s="47"/>
      <c r="Q6" s="47"/>
      <c r="R6" s="47"/>
      <c r="S6" s="47"/>
    </row>
    <row r="7" spans="1:19" x14ac:dyDescent="0.25">
      <c r="A7" s="47"/>
      <c r="B7" s="47"/>
      <c r="C7" s="47"/>
      <c r="D7" s="47"/>
      <c r="E7" s="47"/>
      <c r="F7" s="47"/>
      <c r="G7" s="47"/>
      <c r="H7" s="47"/>
      <c r="I7" s="47"/>
      <c r="J7" s="47"/>
      <c r="K7" s="47"/>
      <c r="L7" s="47"/>
      <c r="M7" s="47"/>
      <c r="N7" s="47"/>
      <c r="O7" s="47"/>
      <c r="P7" s="47"/>
      <c r="Q7" s="47"/>
      <c r="R7" s="47"/>
      <c r="S7" s="47"/>
    </row>
    <row r="8" spans="1:19" x14ac:dyDescent="0.25">
      <c r="A8" s="47"/>
      <c r="B8" s="47"/>
      <c r="C8" s="47"/>
      <c r="D8" s="47"/>
      <c r="E8" s="47"/>
      <c r="F8" s="47"/>
      <c r="G8" s="47"/>
      <c r="H8" s="47"/>
      <c r="I8" s="47"/>
      <c r="J8" s="47"/>
      <c r="K8" s="47"/>
      <c r="L8" s="47"/>
      <c r="M8" s="47"/>
      <c r="N8" s="47"/>
      <c r="O8" s="47"/>
      <c r="P8" s="47"/>
      <c r="Q8" s="47"/>
      <c r="R8" s="47"/>
      <c r="S8" s="47"/>
    </row>
    <row r="9" spans="1:19" x14ac:dyDescent="0.25">
      <c r="A9" s="47"/>
      <c r="B9" s="47"/>
      <c r="C9" s="47"/>
      <c r="D9" s="47"/>
      <c r="E9" s="47"/>
      <c r="F9" s="47"/>
      <c r="G9" s="47"/>
      <c r="H9" s="47"/>
      <c r="I9" s="47"/>
      <c r="J9" s="47"/>
      <c r="K9" s="47"/>
      <c r="L9" s="47"/>
      <c r="M9" s="47"/>
      <c r="N9" s="47"/>
      <c r="O9" s="47"/>
      <c r="P9" s="47"/>
      <c r="Q9" s="47"/>
      <c r="R9" s="47"/>
      <c r="S9" s="47"/>
    </row>
    <row r="10" spans="1:19" x14ac:dyDescent="0.25">
      <c r="A10" s="47"/>
      <c r="B10" s="47"/>
      <c r="C10" s="47"/>
      <c r="D10" s="47"/>
      <c r="E10" s="47"/>
      <c r="F10" s="47"/>
      <c r="G10" s="47"/>
      <c r="H10" s="47"/>
      <c r="I10" s="47"/>
      <c r="J10" s="47"/>
      <c r="K10" s="47"/>
      <c r="L10" s="47"/>
      <c r="M10" s="47"/>
      <c r="N10" s="47"/>
      <c r="O10" s="47"/>
      <c r="P10" s="47"/>
      <c r="Q10" s="47"/>
      <c r="R10" s="47"/>
      <c r="S10" s="47"/>
    </row>
    <row r="11" spans="1:19" x14ac:dyDescent="0.25">
      <c r="A11" s="47"/>
      <c r="B11" s="47"/>
      <c r="C11" s="47"/>
      <c r="D11" s="47"/>
      <c r="E11" s="47"/>
      <c r="F11" s="47"/>
      <c r="G11" s="47"/>
      <c r="H11" s="47"/>
      <c r="I11" s="47"/>
      <c r="J11" s="47"/>
      <c r="K11" s="47"/>
      <c r="L11" s="47"/>
      <c r="M11" s="47"/>
      <c r="N11" s="47"/>
      <c r="O11" s="47"/>
      <c r="P11" s="47"/>
      <c r="Q11" s="47"/>
      <c r="R11" s="47"/>
      <c r="S11" s="47"/>
    </row>
    <row r="12" spans="1:19" x14ac:dyDescent="0.25">
      <c r="A12" s="47"/>
      <c r="B12" s="47"/>
      <c r="C12" s="47"/>
      <c r="D12" s="47"/>
      <c r="E12" s="47"/>
      <c r="F12" s="47"/>
      <c r="G12" s="47"/>
      <c r="H12" s="47"/>
      <c r="I12" s="47"/>
      <c r="J12" s="47"/>
      <c r="K12" s="47"/>
      <c r="L12" s="47"/>
      <c r="M12" s="47"/>
      <c r="N12" s="47"/>
      <c r="O12" s="47"/>
      <c r="P12" s="47"/>
      <c r="Q12" s="47"/>
      <c r="R12" s="47"/>
      <c r="S12" s="47"/>
    </row>
    <row r="13" spans="1:19" x14ac:dyDescent="0.25">
      <c r="A13" s="47"/>
      <c r="B13" s="47"/>
      <c r="C13" s="47"/>
      <c r="D13" s="47"/>
      <c r="E13" s="47"/>
      <c r="F13" s="47"/>
      <c r="G13" s="47"/>
      <c r="H13" s="47"/>
      <c r="I13" s="47"/>
      <c r="J13" s="47"/>
      <c r="K13" s="47"/>
      <c r="L13" s="47"/>
      <c r="M13" s="47"/>
      <c r="N13" s="47"/>
      <c r="O13" s="47"/>
      <c r="P13" s="47"/>
      <c r="Q13" s="47"/>
      <c r="R13" s="47"/>
      <c r="S13" s="47"/>
    </row>
    <row r="14" spans="1:19" x14ac:dyDescent="0.25">
      <c r="A14" s="47"/>
      <c r="B14" s="47"/>
      <c r="C14" s="47"/>
      <c r="D14" s="47"/>
      <c r="E14" s="47"/>
      <c r="F14" s="47"/>
      <c r="G14" s="47"/>
      <c r="H14" s="47"/>
      <c r="I14" s="47"/>
      <c r="J14" s="47"/>
      <c r="K14" s="47"/>
      <c r="L14" s="47"/>
      <c r="M14" s="47"/>
      <c r="N14" s="47"/>
      <c r="O14" s="47"/>
      <c r="P14" s="47"/>
      <c r="Q14" s="47"/>
      <c r="R14" s="47"/>
      <c r="S14" s="47"/>
    </row>
    <row r="15" spans="1:19" x14ac:dyDescent="0.25">
      <c r="A15" s="47"/>
      <c r="B15" s="47"/>
      <c r="C15" s="47"/>
      <c r="D15" s="47"/>
      <c r="E15" s="47"/>
      <c r="F15" s="47"/>
      <c r="G15" s="47"/>
      <c r="H15" s="47"/>
      <c r="I15" s="47"/>
      <c r="J15" s="47"/>
      <c r="K15" s="47"/>
      <c r="L15" s="47"/>
      <c r="M15" s="47"/>
      <c r="N15" s="47"/>
      <c r="O15" s="47"/>
      <c r="P15" s="47"/>
      <c r="Q15" s="47"/>
      <c r="R15" s="47"/>
      <c r="S15" s="47"/>
    </row>
    <row r="16" spans="1:19" x14ac:dyDescent="0.25">
      <c r="A16" s="47"/>
      <c r="B16" s="47"/>
      <c r="C16" s="47"/>
      <c r="D16" s="47"/>
      <c r="E16" s="47"/>
      <c r="F16" s="47"/>
      <c r="G16" s="47"/>
      <c r="H16" s="47"/>
      <c r="I16" s="47"/>
      <c r="J16" s="47"/>
      <c r="K16" s="47"/>
      <c r="L16" s="47"/>
      <c r="M16" s="47"/>
      <c r="N16" s="47"/>
      <c r="O16" s="47"/>
      <c r="P16" s="47"/>
      <c r="Q16" s="47"/>
      <c r="R16" s="47"/>
      <c r="S16" s="47"/>
    </row>
    <row r="17" spans="1:19" x14ac:dyDescent="0.25">
      <c r="A17" s="47"/>
      <c r="B17" s="47"/>
      <c r="C17" s="47"/>
      <c r="D17" s="47"/>
      <c r="E17" s="47"/>
      <c r="F17" s="47"/>
      <c r="G17" s="47"/>
      <c r="H17" s="47"/>
      <c r="I17" s="47"/>
      <c r="J17" s="47"/>
      <c r="K17" s="47"/>
      <c r="L17" s="47"/>
      <c r="M17" s="47"/>
      <c r="N17" s="47"/>
      <c r="O17" s="47"/>
      <c r="P17" s="47"/>
      <c r="Q17" s="47"/>
      <c r="R17" s="47"/>
      <c r="S17" s="47"/>
    </row>
    <row r="18" spans="1:19" x14ac:dyDescent="0.25">
      <c r="A18" s="47"/>
      <c r="B18" s="47"/>
      <c r="C18" s="47"/>
      <c r="D18" s="47"/>
      <c r="E18" s="47"/>
      <c r="F18" s="47"/>
      <c r="G18" s="47"/>
      <c r="H18" s="47"/>
      <c r="I18" s="47"/>
      <c r="J18" s="47"/>
      <c r="K18" s="47"/>
      <c r="L18" s="47"/>
      <c r="M18" s="47"/>
      <c r="N18" s="47"/>
      <c r="O18" s="47"/>
      <c r="P18" s="47"/>
      <c r="Q18" s="47"/>
      <c r="R18" s="47"/>
      <c r="S18" s="47"/>
    </row>
    <row r="19" spans="1:19" ht="26.25" x14ac:dyDescent="0.4">
      <c r="A19" s="58" t="s">
        <v>74</v>
      </c>
      <c r="B19" s="58"/>
      <c r="C19" s="58"/>
      <c r="D19" s="58"/>
      <c r="E19" s="58"/>
      <c r="F19" s="58"/>
      <c r="G19" s="58"/>
      <c r="H19" s="48"/>
      <c r="I19" s="48"/>
      <c r="J19" s="48"/>
      <c r="K19" s="48"/>
      <c r="L19" s="48"/>
      <c r="M19" s="48"/>
      <c r="N19" s="48"/>
      <c r="O19" s="48"/>
      <c r="P19" s="48"/>
      <c r="Q19" s="48"/>
      <c r="R19" s="48"/>
      <c r="S19" s="48"/>
    </row>
    <row r="20" spans="1:19" ht="15.75" thickBot="1" x14ac:dyDescent="0.3">
      <c r="A20" s="48"/>
      <c r="B20" s="48"/>
      <c r="C20" s="48"/>
      <c r="D20" s="48"/>
      <c r="E20" s="48"/>
      <c r="F20" s="48"/>
      <c r="G20" s="48"/>
      <c r="H20" s="48"/>
      <c r="I20" s="48"/>
      <c r="J20" s="48"/>
      <c r="K20" s="48"/>
      <c r="L20" s="48"/>
      <c r="M20" s="48"/>
      <c r="N20" s="48"/>
      <c r="O20" s="48"/>
      <c r="P20" s="48"/>
      <c r="Q20" s="48"/>
      <c r="R20" s="48"/>
      <c r="S20" s="48"/>
    </row>
    <row r="21" spans="1:19" ht="15.75" thickBot="1" x14ac:dyDescent="0.3">
      <c r="A21" s="48"/>
      <c r="B21" s="50"/>
      <c r="C21" s="51" t="s">
        <v>26</v>
      </c>
      <c r="D21" s="52" t="s">
        <v>27</v>
      </c>
      <c r="E21" s="53"/>
      <c r="F21" s="48"/>
      <c r="G21" s="48"/>
      <c r="H21" s="48"/>
      <c r="I21" s="48"/>
      <c r="J21" s="48"/>
      <c r="K21" s="48"/>
      <c r="L21" s="48"/>
      <c r="M21" s="48"/>
      <c r="N21" s="48"/>
      <c r="O21" s="48"/>
      <c r="P21" s="48"/>
      <c r="Q21" s="48"/>
      <c r="R21" s="48"/>
      <c r="S21" s="48"/>
    </row>
    <row r="22" spans="1:19" x14ac:dyDescent="0.25">
      <c r="A22" s="48"/>
      <c r="B22" s="15" t="s">
        <v>2</v>
      </c>
      <c r="C22" s="54">
        <f>'LCA Calculation Steel'!G3</f>
        <v>5364692.1629339987</v>
      </c>
      <c r="D22" s="13">
        <f>'LCA Calculation Steel'!H3</f>
        <v>1172.354056585227</v>
      </c>
      <c r="E22" s="25" t="s">
        <v>22</v>
      </c>
      <c r="F22" s="48"/>
      <c r="G22" s="48"/>
      <c r="H22" s="48"/>
      <c r="I22" s="48"/>
      <c r="J22" s="48"/>
      <c r="K22" s="48"/>
      <c r="L22" s="48"/>
      <c r="M22" s="48"/>
      <c r="N22" s="48"/>
      <c r="O22" s="48"/>
      <c r="P22" s="48"/>
      <c r="Q22" s="48"/>
      <c r="R22" s="48"/>
      <c r="S22" s="48"/>
    </row>
    <row r="23" spans="1:19" x14ac:dyDescent="0.25">
      <c r="A23" s="48"/>
      <c r="B23" s="15" t="s">
        <v>3</v>
      </c>
      <c r="C23" s="54">
        <f>'LCA Calculation Steel'!G4</f>
        <v>201862.18178930003</v>
      </c>
      <c r="D23" s="8">
        <f>'LCA Calculation Steel'!H4</f>
        <v>44.113239027382001</v>
      </c>
      <c r="E23" s="25" t="s">
        <v>44</v>
      </c>
      <c r="F23" s="48"/>
      <c r="G23" s="48"/>
      <c r="H23" s="48"/>
      <c r="I23" s="48"/>
      <c r="J23" s="48"/>
      <c r="K23" s="48"/>
      <c r="L23" s="48"/>
      <c r="M23" s="48"/>
      <c r="N23" s="48"/>
      <c r="O23" s="48"/>
      <c r="P23" s="48"/>
      <c r="Q23" s="48"/>
      <c r="R23" s="48"/>
      <c r="S23" s="48"/>
    </row>
    <row r="24" spans="1:19" ht="15.75" thickBot="1" x14ac:dyDescent="0.3">
      <c r="A24" s="48"/>
      <c r="B24" s="16" t="s">
        <v>31</v>
      </c>
      <c r="C24" s="17"/>
      <c r="D24" s="28">
        <f>'LCA Calculation Steel'!H5</f>
        <v>0.88226478054764002</v>
      </c>
      <c r="E24" s="27" t="s">
        <v>45</v>
      </c>
      <c r="F24" s="48"/>
      <c r="G24" s="48"/>
      <c r="H24" s="48"/>
      <c r="I24" s="48"/>
      <c r="J24" s="48"/>
      <c r="K24" s="48"/>
      <c r="L24" s="48"/>
      <c r="M24" s="48"/>
      <c r="N24" s="48"/>
      <c r="O24" s="48"/>
      <c r="P24" s="48"/>
      <c r="Q24" s="48"/>
      <c r="R24" s="48"/>
      <c r="S24" s="48"/>
    </row>
    <row r="25" spans="1:19" x14ac:dyDescent="0.25">
      <c r="A25" s="48"/>
      <c r="B25" s="48"/>
      <c r="C25" s="48"/>
      <c r="D25" s="48"/>
      <c r="E25" s="48"/>
      <c r="F25" s="48"/>
      <c r="G25" s="48"/>
      <c r="H25" s="48"/>
      <c r="I25" s="48"/>
      <c r="J25" s="48"/>
      <c r="K25" s="48"/>
      <c r="L25" s="48"/>
      <c r="M25" s="48"/>
      <c r="N25" s="48"/>
      <c r="O25" s="48"/>
      <c r="P25" s="48"/>
      <c r="Q25" s="48"/>
      <c r="R25" s="48"/>
      <c r="S25" s="48"/>
    </row>
    <row r="26" spans="1:19" x14ac:dyDescent="0.25">
      <c r="A26" s="48"/>
      <c r="B26" s="48"/>
      <c r="C26" s="48"/>
      <c r="D26" s="48"/>
      <c r="E26" s="48"/>
      <c r="F26" s="48"/>
      <c r="G26" s="48"/>
      <c r="H26" s="48"/>
      <c r="I26" s="48"/>
      <c r="J26" s="48"/>
      <c r="K26" s="48"/>
      <c r="L26" s="48"/>
      <c r="M26" s="48"/>
      <c r="N26" s="48"/>
      <c r="O26" s="48"/>
      <c r="P26" s="48"/>
      <c r="Q26" s="48"/>
      <c r="R26" s="48"/>
      <c r="S26" s="48"/>
    </row>
    <row r="27" spans="1:19" x14ac:dyDescent="0.25">
      <c r="A27" s="48"/>
      <c r="B27" s="48"/>
      <c r="C27" s="48"/>
      <c r="D27" s="48"/>
      <c r="E27" s="48"/>
      <c r="F27" s="48"/>
      <c r="G27" s="48"/>
      <c r="H27" s="48"/>
      <c r="I27" s="48"/>
      <c r="J27" s="48"/>
      <c r="K27" s="48"/>
      <c r="L27" s="48"/>
      <c r="M27" s="48"/>
      <c r="N27" s="48"/>
      <c r="O27" s="48"/>
      <c r="P27" s="48"/>
      <c r="Q27" s="48"/>
      <c r="R27" s="48"/>
      <c r="S27" s="48"/>
    </row>
    <row r="28" spans="1:19" x14ac:dyDescent="0.25">
      <c r="A28" s="48"/>
      <c r="B28" s="48"/>
      <c r="C28" s="48"/>
      <c r="D28" s="48"/>
      <c r="E28" s="48"/>
      <c r="F28" s="48"/>
      <c r="G28" s="48"/>
      <c r="H28" s="48"/>
      <c r="I28" s="48"/>
      <c r="J28" s="48"/>
      <c r="K28" s="48"/>
      <c r="L28" s="48"/>
      <c r="M28" s="48"/>
      <c r="N28" s="48"/>
      <c r="O28" s="48"/>
      <c r="P28" s="48"/>
      <c r="Q28" s="48"/>
      <c r="R28" s="48"/>
      <c r="S28" s="48"/>
    </row>
    <row r="29" spans="1:19" x14ac:dyDescent="0.25">
      <c r="A29" s="48"/>
      <c r="B29" s="48"/>
      <c r="C29" s="48"/>
      <c r="D29" s="48"/>
      <c r="E29" s="48"/>
      <c r="F29" s="48"/>
      <c r="G29" s="48"/>
      <c r="H29" s="48"/>
      <c r="I29" s="48"/>
      <c r="J29" s="48"/>
      <c r="K29" s="48"/>
      <c r="L29" s="48"/>
      <c r="M29" s="48"/>
      <c r="N29" s="48"/>
      <c r="O29" s="48"/>
      <c r="P29" s="48"/>
      <c r="Q29" s="48"/>
      <c r="R29" s="48"/>
      <c r="S29" s="48"/>
    </row>
    <row r="30" spans="1:19" x14ac:dyDescent="0.25">
      <c r="A30" s="48"/>
      <c r="B30" s="48"/>
      <c r="C30" s="48"/>
      <c r="D30" s="48"/>
      <c r="E30" s="48"/>
      <c r="F30" s="48"/>
      <c r="G30" s="48"/>
      <c r="H30" s="48"/>
      <c r="I30" s="48"/>
      <c r="J30" s="48"/>
      <c r="K30" s="48"/>
      <c r="L30" s="48"/>
      <c r="M30" s="48"/>
      <c r="N30" s="48"/>
      <c r="O30" s="48"/>
      <c r="P30" s="48"/>
      <c r="Q30" s="48"/>
      <c r="R30" s="48"/>
      <c r="S30" s="48"/>
    </row>
    <row r="31" spans="1:19" x14ac:dyDescent="0.25">
      <c r="A31" s="48"/>
      <c r="B31" s="48"/>
      <c r="C31" s="48"/>
      <c r="D31" s="48"/>
      <c r="E31" s="48"/>
      <c r="F31" s="48"/>
      <c r="G31" s="48"/>
      <c r="H31" s="48"/>
      <c r="I31" s="48"/>
      <c r="J31" s="48"/>
      <c r="K31" s="48"/>
      <c r="L31" s="48"/>
      <c r="M31" s="48"/>
      <c r="N31" s="48"/>
      <c r="O31" s="48"/>
      <c r="P31" s="48"/>
      <c r="Q31" s="48"/>
      <c r="R31" s="48"/>
      <c r="S31" s="48"/>
    </row>
    <row r="32" spans="1:19" x14ac:dyDescent="0.25">
      <c r="A32" s="48"/>
      <c r="B32" s="48"/>
      <c r="C32" s="48"/>
      <c r="D32" s="48"/>
      <c r="E32" s="48"/>
      <c r="F32" s="48"/>
      <c r="G32" s="48"/>
      <c r="H32" s="48"/>
      <c r="I32" s="48"/>
      <c r="J32" s="48"/>
      <c r="K32" s="48"/>
      <c r="L32" s="48"/>
      <c r="M32" s="48"/>
      <c r="N32" s="48"/>
      <c r="O32" s="48"/>
      <c r="P32" s="48"/>
      <c r="Q32" s="48"/>
      <c r="R32" s="48"/>
      <c r="S32" s="48"/>
    </row>
    <row r="33" spans="1:19" x14ac:dyDescent="0.25">
      <c r="A33" s="48"/>
      <c r="B33" s="48"/>
      <c r="C33" s="48"/>
      <c r="D33" s="48"/>
      <c r="E33" s="48"/>
      <c r="F33" s="48"/>
      <c r="G33" s="48"/>
      <c r="H33" s="48"/>
      <c r="I33" s="48"/>
      <c r="J33" s="48"/>
      <c r="K33" s="48"/>
      <c r="L33" s="48"/>
      <c r="M33" s="48"/>
      <c r="N33" s="48"/>
      <c r="O33" s="48"/>
      <c r="P33" s="48"/>
      <c r="Q33" s="48"/>
      <c r="R33" s="48"/>
      <c r="S33" s="48"/>
    </row>
    <row r="34" spans="1:19" x14ac:dyDescent="0.25">
      <c r="A34" s="48"/>
      <c r="B34" s="48"/>
      <c r="C34" s="48"/>
      <c r="D34" s="48"/>
      <c r="E34" s="48"/>
      <c r="F34" s="48"/>
      <c r="G34" s="48"/>
      <c r="H34" s="48"/>
      <c r="I34" s="48"/>
      <c r="J34" s="48"/>
      <c r="K34" s="48"/>
      <c r="L34" s="48"/>
      <c r="M34" s="48"/>
      <c r="N34" s="48"/>
      <c r="O34" s="48"/>
      <c r="P34" s="48"/>
      <c r="Q34" s="48"/>
      <c r="R34" s="48"/>
      <c r="S34" s="48"/>
    </row>
    <row r="35" spans="1:19" x14ac:dyDescent="0.25">
      <c r="A35" s="48"/>
      <c r="B35" s="48"/>
      <c r="C35" s="48"/>
      <c r="D35" s="48"/>
      <c r="E35" s="48"/>
      <c r="F35" s="48"/>
      <c r="G35" s="48"/>
      <c r="H35" s="48"/>
      <c r="I35" s="48"/>
      <c r="J35" s="48"/>
      <c r="K35" s="48"/>
      <c r="L35" s="48"/>
      <c r="M35" s="48"/>
      <c r="N35" s="48"/>
      <c r="O35" s="48"/>
      <c r="P35" s="48"/>
      <c r="Q35" s="48"/>
      <c r="R35" s="48"/>
      <c r="S35" s="48"/>
    </row>
    <row r="36" spans="1:19" x14ac:dyDescent="0.25">
      <c r="A36" s="48"/>
      <c r="B36" s="48"/>
      <c r="C36" s="48"/>
      <c r="D36" s="48"/>
      <c r="E36" s="48"/>
      <c r="F36" s="48"/>
      <c r="G36" s="48"/>
      <c r="H36" s="48"/>
      <c r="I36" s="48"/>
      <c r="J36" s="48"/>
      <c r="K36" s="48"/>
      <c r="L36" s="48"/>
      <c r="M36" s="48"/>
      <c r="N36" s="48"/>
      <c r="O36" s="48"/>
      <c r="P36" s="48"/>
      <c r="Q36" s="48"/>
      <c r="R36" s="48"/>
      <c r="S36" s="48"/>
    </row>
    <row r="37" spans="1:19" ht="26.25" x14ac:dyDescent="0.4">
      <c r="A37" s="60" t="s">
        <v>77</v>
      </c>
      <c r="B37" s="60"/>
      <c r="C37" s="60"/>
      <c r="D37" s="60"/>
      <c r="E37" s="60"/>
      <c r="F37" s="60"/>
      <c r="G37" s="60"/>
      <c r="H37" s="49"/>
      <c r="I37" s="49"/>
      <c r="J37" s="49"/>
      <c r="K37" s="49"/>
      <c r="L37" s="49"/>
      <c r="M37" s="49"/>
      <c r="N37" s="49"/>
      <c r="O37" s="49"/>
      <c r="P37" s="49"/>
      <c r="Q37" s="49"/>
      <c r="R37" s="49"/>
      <c r="S37" s="49"/>
    </row>
    <row r="38" spans="1:19" ht="15.75" thickBot="1" x14ac:dyDescent="0.3">
      <c r="A38" s="49"/>
      <c r="B38" s="49"/>
      <c r="C38" s="49"/>
      <c r="D38" s="49"/>
      <c r="E38" s="49"/>
      <c r="F38" s="49"/>
      <c r="G38" s="49"/>
      <c r="H38" s="49"/>
      <c r="I38" s="49"/>
      <c r="J38" s="49"/>
      <c r="K38" s="49"/>
      <c r="L38" s="49"/>
      <c r="M38" s="49"/>
      <c r="N38" s="49"/>
      <c r="O38" s="49"/>
      <c r="P38" s="49"/>
      <c r="Q38" s="49"/>
      <c r="R38" s="49"/>
      <c r="S38" s="49"/>
    </row>
    <row r="39" spans="1:19" ht="15.75" thickBot="1" x14ac:dyDescent="0.3">
      <c r="A39" s="49"/>
      <c r="B39" s="50"/>
      <c r="C39" s="51" t="s">
        <v>26</v>
      </c>
      <c r="D39" s="52" t="s">
        <v>27</v>
      </c>
      <c r="E39" s="53"/>
      <c r="F39" s="49"/>
      <c r="G39" s="49"/>
      <c r="H39" s="49"/>
      <c r="I39" s="49"/>
      <c r="J39" s="49"/>
      <c r="K39" s="49"/>
      <c r="L39" s="49"/>
      <c r="M39" s="49"/>
      <c r="N39" s="49"/>
      <c r="O39" s="49"/>
      <c r="P39" s="49"/>
      <c r="Q39" s="49"/>
      <c r="R39" s="49"/>
      <c r="S39" s="49"/>
    </row>
    <row r="40" spans="1:19" x14ac:dyDescent="0.25">
      <c r="A40" s="49"/>
      <c r="B40" s="15" t="s">
        <v>2</v>
      </c>
      <c r="C40" s="54">
        <f>'LCA Calculation Timber'!G3</f>
        <v>326136.72177400009</v>
      </c>
      <c r="D40" s="13">
        <f>'LCA Calculation Timber'!H3</f>
        <v>71.271136751311204</v>
      </c>
      <c r="E40" s="25" t="s">
        <v>22</v>
      </c>
      <c r="F40" s="49"/>
      <c r="G40" s="49"/>
      <c r="H40" s="49"/>
      <c r="I40" s="49"/>
      <c r="J40" s="49"/>
      <c r="K40" s="49"/>
      <c r="L40" s="49"/>
      <c r="M40" s="49"/>
      <c r="N40" s="49"/>
      <c r="O40" s="49"/>
      <c r="P40" s="49"/>
      <c r="Q40" s="49"/>
      <c r="R40" s="49"/>
      <c r="S40" s="49"/>
    </row>
    <row r="41" spans="1:19" x14ac:dyDescent="0.25">
      <c r="A41" s="49"/>
      <c r="B41" s="15" t="s">
        <v>3</v>
      </c>
      <c r="C41" s="54">
        <f>'LCA Calculation Timber'!G4</f>
        <v>34875.477903800012</v>
      </c>
      <c r="D41" s="8">
        <f>'LCA Calculation Timber'!H4</f>
        <v>7.6213894020541986</v>
      </c>
      <c r="E41" s="25" t="s">
        <v>44</v>
      </c>
      <c r="F41" s="49"/>
      <c r="G41" s="49"/>
      <c r="H41" s="49"/>
      <c r="I41" s="49"/>
      <c r="J41" s="49"/>
      <c r="K41" s="49"/>
      <c r="L41" s="49"/>
      <c r="M41" s="49"/>
      <c r="N41" s="49"/>
      <c r="O41" s="49"/>
      <c r="P41" s="49"/>
      <c r="Q41" s="49"/>
      <c r="R41" s="49"/>
      <c r="S41" s="49"/>
    </row>
    <row r="42" spans="1:19" ht="15.75" thickBot="1" x14ac:dyDescent="0.3">
      <c r="A42" s="49"/>
      <c r="B42" s="16" t="s">
        <v>31</v>
      </c>
      <c r="C42" s="17"/>
      <c r="D42" s="28">
        <f>'LCA Calculation Timber'!H5</f>
        <v>0.15242778804108398</v>
      </c>
      <c r="E42" s="27" t="s">
        <v>45</v>
      </c>
      <c r="F42" s="49"/>
      <c r="G42" s="49"/>
      <c r="H42" s="49"/>
      <c r="I42" s="49"/>
      <c r="J42" s="49"/>
      <c r="K42" s="49"/>
      <c r="L42" s="49"/>
      <c r="M42" s="49"/>
      <c r="N42" s="49"/>
      <c r="O42" s="49"/>
      <c r="P42" s="49"/>
      <c r="Q42" s="49"/>
      <c r="R42" s="49"/>
      <c r="S42" s="49"/>
    </row>
    <row r="43" spans="1:19" x14ac:dyDescent="0.25">
      <c r="A43" s="49"/>
      <c r="B43" s="49"/>
      <c r="C43" s="49"/>
      <c r="D43" s="49"/>
      <c r="E43" s="49"/>
      <c r="F43" s="49"/>
      <c r="G43" s="49"/>
      <c r="H43" s="49"/>
      <c r="I43" s="49"/>
      <c r="J43" s="49"/>
      <c r="K43" s="49"/>
      <c r="L43" s="49"/>
      <c r="M43" s="49"/>
      <c r="N43" s="49"/>
      <c r="O43" s="49"/>
      <c r="P43" s="49"/>
      <c r="Q43" s="49"/>
      <c r="R43" s="49"/>
      <c r="S43" s="49"/>
    </row>
    <row r="44" spans="1:19" x14ac:dyDescent="0.25">
      <c r="A44" s="49"/>
      <c r="B44" s="49"/>
      <c r="C44" s="49"/>
      <c r="D44" s="49"/>
      <c r="E44" s="49"/>
      <c r="F44" s="49"/>
      <c r="G44" s="49"/>
      <c r="H44" s="49"/>
      <c r="I44" s="49"/>
      <c r="J44" s="49"/>
      <c r="K44" s="49"/>
      <c r="L44" s="49"/>
      <c r="M44" s="49"/>
      <c r="N44" s="49"/>
      <c r="O44" s="49"/>
      <c r="P44" s="49"/>
      <c r="Q44" s="49"/>
      <c r="R44" s="49"/>
      <c r="S44" s="49"/>
    </row>
    <row r="45" spans="1:19" x14ac:dyDescent="0.25">
      <c r="A45" s="49"/>
      <c r="B45" s="49"/>
      <c r="C45" s="49"/>
      <c r="D45" s="49"/>
      <c r="E45" s="49"/>
      <c r="F45" s="49"/>
      <c r="G45" s="49"/>
      <c r="H45" s="49"/>
      <c r="I45" s="49"/>
      <c r="J45" s="49"/>
      <c r="K45" s="49"/>
      <c r="L45" s="49"/>
      <c r="M45" s="49"/>
      <c r="N45" s="49"/>
      <c r="O45" s="49"/>
      <c r="P45" s="49"/>
      <c r="Q45" s="49"/>
      <c r="R45" s="49"/>
      <c r="S45" s="49"/>
    </row>
    <row r="46" spans="1:19" x14ac:dyDescent="0.25">
      <c r="A46" s="49"/>
      <c r="B46" s="49"/>
      <c r="C46" s="49"/>
      <c r="D46" s="49"/>
      <c r="E46" s="49"/>
      <c r="F46" s="49"/>
      <c r="G46" s="49"/>
      <c r="H46" s="49"/>
      <c r="I46" s="49"/>
      <c r="J46" s="49"/>
      <c r="K46" s="49"/>
      <c r="L46" s="49"/>
      <c r="M46" s="49"/>
      <c r="N46" s="49"/>
      <c r="O46" s="49"/>
      <c r="P46" s="49"/>
      <c r="Q46" s="49"/>
      <c r="R46" s="49"/>
      <c r="S46" s="49"/>
    </row>
    <row r="47" spans="1:19" x14ac:dyDescent="0.25">
      <c r="A47" s="49"/>
      <c r="B47" s="49"/>
      <c r="C47" s="49"/>
      <c r="D47" s="49"/>
      <c r="E47" s="49"/>
      <c r="F47" s="49"/>
      <c r="G47" s="49"/>
      <c r="H47" s="49"/>
      <c r="I47" s="49"/>
      <c r="J47" s="49"/>
      <c r="K47" s="49"/>
      <c r="L47" s="49"/>
      <c r="M47" s="49"/>
      <c r="N47" s="49"/>
      <c r="O47" s="49"/>
      <c r="P47" s="49"/>
      <c r="Q47" s="49"/>
      <c r="R47" s="49"/>
      <c r="S47" s="49"/>
    </row>
    <row r="48" spans="1:19" x14ac:dyDescent="0.25">
      <c r="A48" s="49"/>
      <c r="B48" s="49"/>
      <c r="C48" s="49"/>
      <c r="D48" s="49"/>
      <c r="E48" s="49"/>
      <c r="F48" s="49"/>
      <c r="G48" s="49"/>
      <c r="H48" s="49"/>
      <c r="I48" s="49"/>
      <c r="J48" s="49"/>
      <c r="K48" s="49"/>
      <c r="L48" s="49"/>
      <c r="M48" s="49"/>
      <c r="N48" s="49"/>
      <c r="O48" s="49"/>
      <c r="P48" s="49"/>
      <c r="Q48" s="49"/>
      <c r="R48" s="49"/>
      <c r="S48" s="49"/>
    </row>
    <row r="49" spans="1:19" x14ac:dyDescent="0.25">
      <c r="A49" s="49"/>
      <c r="B49" s="49"/>
      <c r="C49" s="49"/>
      <c r="D49" s="49"/>
      <c r="E49" s="49"/>
      <c r="F49" s="49"/>
      <c r="G49" s="49"/>
      <c r="H49" s="49"/>
      <c r="I49" s="49"/>
      <c r="J49" s="49"/>
      <c r="K49" s="49"/>
      <c r="L49" s="49"/>
      <c r="M49" s="49"/>
      <c r="N49" s="49"/>
      <c r="O49" s="49"/>
      <c r="P49" s="49"/>
      <c r="Q49" s="49"/>
      <c r="R49" s="49"/>
      <c r="S49" s="49"/>
    </row>
    <row r="50" spans="1:19" x14ac:dyDescent="0.25">
      <c r="A50" s="49"/>
      <c r="B50" s="49"/>
      <c r="C50" s="49"/>
      <c r="D50" s="49"/>
      <c r="E50" s="49"/>
      <c r="F50" s="49"/>
      <c r="G50" s="49"/>
      <c r="H50" s="49"/>
      <c r="I50" s="49"/>
      <c r="J50" s="49"/>
      <c r="K50" s="49"/>
      <c r="L50" s="49"/>
      <c r="M50" s="49"/>
      <c r="N50" s="49"/>
      <c r="O50" s="49"/>
      <c r="P50" s="49"/>
      <c r="Q50" s="49"/>
      <c r="R50" s="49"/>
      <c r="S50" s="49"/>
    </row>
    <row r="51" spans="1:19" x14ac:dyDescent="0.25">
      <c r="A51" s="49"/>
      <c r="B51" s="49"/>
      <c r="C51" s="49"/>
      <c r="D51" s="49"/>
      <c r="E51" s="49"/>
      <c r="F51" s="49"/>
      <c r="G51" s="49"/>
      <c r="H51" s="49"/>
      <c r="I51" s="49"/>
      <c r="J51" s="49"/>
      <c r="K51" s="49"/>
      <c r="L51" s="49"/>
      <c r="M51" s="49"/>
      <c r="N51" s="49"/>
      <c r="O51" s="49"/>
      <c r="P51" s="49"/>
      <c r="Q51" s="49"/>
      <c r="R51" s="49"/>
      <c r="S51" s="49"/>
    </row>
    <row r="52" spans="1:19" x14ac:dyDescent="0.25">
      <c r="A52" s="49"/>
      <c r="B52" s="49"/>
      <c r="C52" s="49"/>
      <c r="D52" s="49"/>
      <c r="E52" s="49"/>
      <c r="F52" s="49"/>
      <c r="G52" s="49"/>
      <c r="H52" s="49"/>
      <c r="I52" s="49"/>
      <c r="J52" s="49"/>
      <c r="K52" s="49"/>
      <c r="L52" s="49"/>
      <c r="M52" s="49"/>
      <c r="N52" s="49"/>
      <c r="O52" s="49"/>
      <c r="P52" s="49"/>
      <c r="Q52" s="49"/>
      <c r="R52" s="49"/>
      <c r="S52" s="49"/>
    </row>
    <row r="53" spans="1:19" x14ac:dyDescent="0.25">
      <c r="A53" s="49"/>
      <c r="B53" s="49"/>
      <c r="C53" s="49"/>
      <c r="D53" s="49"/>
      <c r="E53" s="49"/>
      <c r="F53" s="49"/>
      <c r="G53" s="49"/>
      <c r="H53" s="49"/>
      <c r="I53" s="49"/>
      <c r="J53" s="49"/>
      <c r="K53" s="49"/>
      <c r="L53" s="49"/>
      <c r="M53" s="49"/>
      <c r="N53" s="49"/>
      <c r="O53" s="49"/>
      <c r="P53" s="49"/>
      <c r="Q53" s="49"/>
      <c r="R53" s="49"/>
      <c r="S53" s="49"/>
    </row>
    <row r="54" spans="1:19" x14ac:dyDescent="0.25">
      <c r="A54" s="49"/>
      <c r="B54" s="49"/>
      <c r="C54" s="49"/>
      <c r="D54" s="49"/>
      <c r="E54" s="49"/>
      <c r="F54" s="49"/>
      <c r="G54" s="49"/>
      <c r="H54" s="49"/>
      <c r="I54" s="49"/>
      <c r="J54" s="49"/>
      <c r="K54" s="49"/>
      <c r="L54" s="49"/>
      <c r="M54" s="49"/>
      <c r="N54" s="49"/>
      <c r="O54" s="49"/>
      <c r="P54" s="49"/>
      <c r="Q54" s="49"/>
      <c r="R54" s="49"/>
      <c r="S54" s="49"/>
    </row>
  </sheetData>
  <mergeCells count="3">
    <mergeCell ref="A19:G19"/>
    <mergeCell ref="A1:G1"/>
    <mergeCell ref="A37:G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D55F0-3FCD-474E-8381-5404E93AFEB5}">
  <sheetPr>
    <tabColor rgb="FF7030A0"/>
  </sheetPr>
  <dimension ref="B2:H24"/>
  <sheetViews>
    <sheetView workbookViewId="0">
      <selection activeCell="D10" sqref="D10"/>
    </sheetView>
  </sheetViews>
  <sheetFormatPr defaultRowHeight="20.100000000000001" customHeight="1" x14ac:dyDescent="0.25"/>
  <cols>
    <col min="1" max="1" width="3.7109375" style="2" customWidth="1"/>
    <col min="2" max="2" width="60.7109375" style="2" customWidth="1"/>
    <col min="3" max="5" width="15.7109375" style="3" customWidth="1"/>
    <col min="6" max="6" width="114" style="2" bestFit="1" customWidth="1"/>
    <col min="7" max="16384" width="9.140625" style="2"/>
  </cols>
  <sheetData>
    <row r="2" spans="2:8" s="4" customFormat="1" ht="30" x14ac:dyDescent="0.25">
      <c r="B2" s="4" t="s">
        <v>4</v>
      </c>
      <c r="C2" s="5" t="s">
        <v>5</v>
      </c>
      <c r="D2" s="6" t="s">
        <v>6</v>
      </c>
      <c r="E2" s="5" t="s">
        <v>7</v>
      </c>
      <c r="F2" s="4" t="s">
        <v>8</v>
      </c>
    </row>
    <row r="3" spans="2:8" s="4" customFormat="1" ht="30" x14ac:dyDescent="0.25">
      <c r="B3" s="4" t="s">
        <v>0</v>
      </c>
      <c r="C3" s="6" t="s">
        <v>1</v>
      </c>
      <c r="D3" s="6" t="s">
        <v>10</v>
      </c>
      <c r="E3" s="6" t="s">
        <v>11</v>
      </c>
      <c r="F3" s="4" t="s">
        <v>9</v>
      </c>
    </row>
    <row r="4" spans="2:8" ht="20.100000000000001" customHeight="1" x14ac:dyDescent="0.25">
      <c r="B4" s="2" t="s">
        <v>109</v>
      </c>
      <c r="C4" s="3">
        <v>2400</v>
      </c>
      <c r="D4" s="8">
        <v>3.6999999999999998E-2</v>
      </c>
      <c r="E4" s="7">
        <v>3.7000000000000002E-3</v>
      </c>
      <c r="F4" s="2" t="s">
        <v>12</v>
      </c>
      <c r="H4" s="56">
        <f>Tbl_MatData[[#This Row],[ECI
'[€/kg']]]*Tbl_MatData[[#This Row],[Density
'[kg/m3']]]</f>
        <v>8.8800000000000008</v>
      </c>
    </row>
    <row r="5" spans="2:8" ht="20.100000000000001" customHeight="1" x14ac:dyDescent="0.25">
      <c r="B5" s="2" t="s">
        <v>110</v>
      </c>
      <c r="C5" s="3">
        <v>2400</v>
      </c>
      <c r="D5" s="8">
        <v>6.2E-2</v>
      </c>
      <c r="E5" s="7">
        <v>5.8999999999999999E-3</v>
      </c>
      <c r="F5" s="2" t="s">
        <v>12</v>
      </c>
      <c r="H5" s="56">
        <f>Tbl_MatData[[#This Row],[ECI
'[€/kg']]]*Tbl_MatData[[#This Row],[Density
'[kg/m3']]]</f>
        <v>14.16</v>
      </c>
    </row>
    <row r="6" spans="2:8" ht="20.100000000000001" customHeight="1" x14ac:dyDescent="0.25">
      <c r="B6" s="2" t="s">
        <v>111</v>
      </c>
      <c r="C6" s="3">
        <v>2400</v>
      </c>
      <c r="D6" s="8">
        <v>0.111</v>
      </c>
      <c r="E6" s="7">
        <v>8.0000000000000002E-3</v>
      </c>
      <c r="F6" s="2" t="s">
        <v>12</v>
      </c>
      <c r="H6" s="56">
        <f>Tbl_MatData[[#This Row],[ECI
'[€/kg']]]*Tbl_MatData[[#This Row],[Density
'[kg/m3']]]</f>
        <v>19.2</v>
      </c>
    </row>
    <row r="7" spans="2:8" ht="20.100000000000001" customHeight="1" x14ac:dyDescent="0.25">
      <c r="B7" s="2" t="s">
        <v>72</v>
      </c>
      <c r="C7" s="3">
        <v>2400</v>
      </c>
      <c r="D7" s="8">
        <v>0.111</v>
      </c>
      <c r="E7" s="7">
        <v>8.0000000000000002E-3</v>
      </c>
      <c r="F7" s="2" t="s">
        <v>13</v>
      </c>
    </row>
    <row r="8" spans="2:8" ht="20.100000000000001" customHeight="1" x14ac:dyDescent="0.25">
      <c r="B8" s="2" t="s">
        <v>71</v>
      </c>
      <c r="C8" s="3">
        <v>7850</v>
      </c>
      <c r="D8" s="8">
        <v>1.37</v>
      </c>
      <c r="E8" s="7">
        <v>0.13</v>
      </c>
      <c r="F8" s="2" t="s">
        <v>14</v>
      </c>
    </row>
    <row r="9" spans="2:8" ht="20.100000000000001" customHeight="1" x14ac:dyDescent="0.25">
      <c r="B9" s="2" t="s">
        <v>70</v>
      </c>
      <c r="C9" s="3">
        <v>7850</v>
      </c>
      <c r="D9" s="8">
        <v>2.85</v>
      </c>
      <c r="E9" s="7">
        <v>0.11600000000000001</v>
      </c>
      <c r="F9" s="2" t="s">
        <v>15</v>
      </c>
    </row>
    <row r="10" spans="2:8" ht="20.100000000000001" customHeight="1" x14ac:dyDescent="0.25">
      <c r="B10" s="2" t="s">
        <v>69</v>
      </c>
      <c r="C10" s="3">
        <v>450</v>
      </c>
      <c r="D10" s="3">
        <v>0.26300000000000001</v>
      </c>
      <c r="E10" s="7">
        <v>1.315E-2</v>
      </c>
      <c r="F10" s="2" t="s">
        <v>16</v>
      </c>
    </row>
    <row r="11" spans="2:8" ht="20.100000000000001" customHeight="1" x14ac:dyDescent="0.25">
      <c r="B11" s="2" t="s">
        <v>68</v>
      </c>
      <c r="C11" s="3">
        <v>450</v>
      </c>
      <c r="D11" s="3">
        <v>-1.377</v>
      </c>
      <c r="E11" s="7">
        <v>-6.8849999999999995E-2</v>
      </c>
      <c r="F11" s="2" t="s">
        <v>16</v>
      </c>
    </row>
    <row r="12" spans="2:8" ht="20.100000000000001" customHeight="1" x14ac:dyDescent="0.25">
      <c r="B12" s="2" t="s">
        <v>65</v>
      </c>
      <c r="C12" s="3">
        <v>450</v>
      </c>
      <c r="D12" s="3">
        <v>0.51200000000000001</v>
      </c>
      <c r="E12" s="7">
        <v>2.5600000000000001E-2</v>
      </c>
      <c r="F12" s="2" t="s">
        <v>16</v>
      </c>
    </row>
    <row r="13" spans="2:8" ht="20.100000000000001" customHeight="1" x14ac:dyDescent="0.25">
      <c r="B13" s="2" t="s">
        <v>66</v>
      </c>
      <c r="C13" s="3">
        <v>450</v>
      </c>
      <c r="D13" s="3">
        <v>-1.1279999999999999</v>
      </c>
      <c r="E13" s="7">
        <v>-5.6399999999999999E-2</v>
      </c>
      <c r="F13" s="2" t="s">
        <v>16</v>
      </c>
    </row>
    <row r="14" spans="2:8" ht="20.100000000000001" customHeight="1" x14ac:dyDescent="0.25">
      <c r="B14" s="2" t="s">
        <v>67</v>
      </c>
      <c r="C14" s="3">
        <v>450</v>
      </c>
      <c r="D14" s="3">
        <v>0.437</v>
      </c>
      <c r="E14" s="7">
        <v>2.1899999999999999E-2</v>
      </c>
      <c r="F14" s="2" t="s">
        <v>16</v>
      </c>
    </row>
    <row r="15" spans="2:8" ht="20.100000000000001" customHeight="1" x14ac:dyDescent="0.25">
      <c r="B15" s="2" t="s">
        <v>108</v>
      </c>
      <c r="C15" s="3">
        <f>175/0.1</f>
        <v>1750</v>
      </c>
      <c r="D15" s="8">
        <f>(10.4+0.325+4.32)/175</f>
        <v>8.5971428571428574E-2</v>
      </c>
      <c r="E15" s="7">
        <f>1.53/(0.1*Tbl_MatData[[#This Row],[Density
'[kg/m3']]])</f>
        <v>8.7428571428571425E-3</v>
      </c>
      <c r="F15" s="55" t="s">
        <v>55</v>
      </c>
      <c r="G15" s="18"/>
    </row>
    <row r="16" spans="2:8" ht="20.100000000000001" customHeight="1" x14ac:dyDescent="0.25">
      <c r="B16" s="2" t="s">
        <v>107</v>
      </c>
      <c r="C16" s="3">
        <f>(127.5+45+7)/0.1</f>
        <v>1795</v>
      </c>
      <c r="D16" s="8">
        <f>(1.66+0.233+17.9)/Tbl_MatData[[#This Row],[Density
'[kg/m3']]]</f>
        <v>1.1026740947075208E-2</v>
      </c>
      <c r="E16" s="7">
        <f>2.88/(0.1*Tbl_MatData[[#This Row],[Density
'[kg/m3']]])</f>
        <v>1.6044568245125349E-2</v>
      </c>
      <c r="F16" s="2" t="s">
        <v>56</v>
      </c>
      <c r="G16" s="18"/>
    </row>
    <row r="17" spans="2:7" ht="20.100000000000001" customHeight="1" x14ac:dyDescent="0.25">
      <c r="B17" s="2" t="s">
        <v>106</v>
      </c>
      <c r="C17" s="3">
        <f>10/0.004</f>
        <v>2500</v>
      </c>
      <c r="D17" s="8">
        <f>9.64/Tbl_MatData[[#This Row],[Density
'[kg/m3']]]</f>
        <v>3.8560000000000001E-3</v>
      </c>
      <c r="E17" s="7">
        <f>4.02/(2*0.004*Tbl_MatData[[#This Row],[Density
'[kg/m3']]])</f>
        <v>0.20099999999999998</v>
      </c>
      <c r="F17" s="2" t="s">
        <v>54</v>
      </c>
      <c r="G17" s="18"/>
    </row>
    <row r="18" spans="2:7" ht="20.100000000000001" customHeight="1" x14ac:dyDescent="0.25">
      <c r="B18" s="2" t="s">
        <v>63</v>
      </c>
      <c r="C18" s="3">
        <v>450</v>
      </c>
      <c r="D18" s="3">
        <v>-1.2030000000000001</v>
      </c>
      <c r="E18" s="7">
        <v>-6.0150000000000002E-2</v>
      </c>
      <c r="F18" s="2" t="s">
        <v>16</v>
      </c>
    </row>
    <row r="19" spans="2:7" ht="20.100000000000001" customHeight="1" x14ac:dyDescent="0.25">
      <c r="B19" s="2" t="s">
        <v>64</v>
      </c>
      <c r="C19" s="3">
        <v>7850</v>
      </c>
      <c r="D19" s="3">
        <v>1.1299999999999999</v>
      </c>
      <c r="E19" s="7">
        <v>3.5299999999999998E-2</v>
      </c>
      <c r="F19" s="2" t="s">
        <v>17</v>
      </c>
    </row>
    <row r="21" spans="2:7" ht="20.100000000000001" customHeight="1" x14ac:dyDescent="0.25">
      <c r="B21" s="3"/>
      <c r="D21" s="2"/>
    </row>
    <row r="22" spans="2:7" ht="20.100000000000001" customHeight="1" x14ac:dyDescent="0.25">
      <c r="B22" s="3"/>
      <c r="D22" s="2"/>
    </row>
    <row r="23" spans="2:7" ht="20.100000000000001" customHeight="1" x14ac:dyDescent="0.25">
      <c r="B23" s="3"/>
      <c r="D23" s="2"/>
    </row>
    <row r="24" spans="2:7" ht="20.100000000000001" customHeight="1" x14ac:dyDescent="0.25">
      <c r="B24" s="3"/>
      <c r="D24" s="2"/>
    </row>
  </sheetData>
  <hyperlinks>
    <hyperlink ref="F15" r:id="rId1" xr:uid="{A32058CF-61A8-40FF-A933-1475CD8906C3}"/>
  </hyperlinks>
  <pageMargins left="0.7" right="0.7" top="0.75" bottom="0.75" header="0.3" footer="0.3"/>
  <pageSetup paperSize="0"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21646-AE31-4412-AC9B-2A8B8FFE14BB}">
  <sheetPr>
    <tabColor rgb="FF7030A0"/>
  </sheetPr>
  <dimension ref="B2:C8"/>
  <sheetViews>
    <sheetView workbookViewId="0">
      <selection activeCell="G27" sqref="G27"/>
    </sheetView>
  </sheetViews>
  <sheetFormatPr defaultRowHeight="15" x14ac:dyDescent="0.25"/>
  <cols>
    <col min="2" max="2" width="5.7109375" style="1" customWidth="1"/>
    <col min="3" max="3" width="20.7109375" customWidth="1"/>
  </cols>
  <sheetData>
    <row r="2" spans="2:3" x14ac:dyDescent="0.25">
      <c r="B2" s="1" t="s">
        <v>37</v>
      </c>
      <c r="C2" t="s">
        <v>32</v>
      </c>
    </row>
    <row r="3" spans="2:3" x14ac:dyDescent="0.25">
      <c r="B3" s="1">
        <v>0</v>
      </c>
      <c r="C3" t="s">
        <v>38</v>
      </c>
    </row>
    <row r="4" spans="2:3" x14ac:dyDescent="0.25">
      <c r="B4" s="1">
        <v>1</v>
      </c>
      <c r="C4" t="s">
        <v>39</v>
      </c>
    </row>
    <row r="5" spans="2:3" x14ac:dyDescent="0.25">
      <c r="B5" s="1">
        <v>2</v>
      </c>
      <c r="C5" t="s">
        <v>40</v>
      </c>
    </row>
    <row r="6" spans="2:3" x14ac:dyDescent="0.25">
      <c r="B6" s="1">
        <v>3</v>
      </c>
      <c r="C6" t="s">
        <v>41</v>
      </c>
    </row>
    <row r="7" spans="2:3" x14ac:dyDescent="0.25">
      <c r="B7" s="1">
        <v>4</v>
      </c>
      <c r="C7" t="s">
        <v>42</v>
      </c>
    </row>
    <row r="8" spans="2:3" x14ac:dyDescent="0.25">
      <c r="B8" s="1">
        <v>99</v>
      </c>
      <c r="C8" t="s">
        <v>43</v>
      </c>
    </row>
  </sheetData>
  <pageMargins left="0.7" right="0.7" top="0.75" bottom="0.75" header="0.3" footer="0.3"/>
  <pageSetup paperSize="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92F60-69DB-4C25-B9B2-180158EACCDA}">
  <sheetPr>
    <tabColor rgb="FFFFC000"/>
  </sheetPr>
  <dimension ref="A1:I24"/>
  <sheetViews>
    <sheetView workbookViewId="0">
      <selection activeCell="F18" sqref="F18"/>
    </sheetView>
  </sheetViews>
  <sheetFormatPr defaultRowHeight="15" x14ac:dyDescent="0.25"/>
  <cols>
    <col min="1" max="1" width="15" bestFit="1" customWidth="1"/>
    <col min="2" max="2" width="23.85546875" bestFit="1" customWidth="1"/>
    <col min="3" max="3" width="8" bestFit="1" customWidth="1"/>
    <col min="4" max="4" width="9.5703125" bestFit="1" customWidth="1"/>
    <col min="5" max="5" width="22.85546875" bestFit="1" customWidth="1"/>
    <col min="6" max="6" width="12.140625" bestFit="1" customWidth="1"/>
    <col min="7" max="7" width="6.7109375" bestFit="1" customWidth="1"/>
  </cols>
  <sheetData>
    <row r="1" spans="1:9" x14ac:dyDescent="0.25">
      <c r="A1" s="61" t="s">
        <v>60</v>
      </c>
      <c r="B1" s="61"/>
      <c r="C1" s="61"/>
      <c r="D1" s="61"/>
      <c r="E1" s="61"/>
      <c r="F1" s="61"/>
      <c r="G1" s="35"/>
      <c r="H1" s="35"/>
    </row>
    <row r="2" spans="1:9" ht="16.5" x14ac:dyDescent="0.25">
      <c r="A2" s="36" t="s">
        <v>78</v>
      </c>
      <c r="B2" s="36" t="s">
        <v>18</v>
      </c>
      <c r="C2" s="36" t="s">
        <v>79</v>
      </c>
      <c r="D2" s="36" t="s">
        <v>97</v>
      </c>
      <c r="E2" s="36" t="s">
        <v>96</v>
      </c>
      <c r="F2" s="36" t="s">
        <v>98</v>
      </c>
      <c r="G2" s="34"/>
      <c r="I2" s="34"/>
    </row>
    <row r="3" spans="1:9" x14ac:dyDescent="0.25">
      <c r="A3" s="44" t="s">
        <v>61</v>
      </c>
      <c r="B3" s="37" t="s">
        <v>80</v>
      </c>
      <c r="C3" s="45">
        <v>298</v>
      </c>
      <c r="D3" s="45">
        <f>0.25*3.14*0.31*0.31</f>
        <v>7.5438500000000006E-2</v>
      </c>
      <c r="E3" s="46">
        <f>10</f>
        <v>10</v>
      </c>
      <c r="F3" s="46">
        <f>C3*D3*E3</f>
        <v>224.80673000000002</v>
      </c>
    </row>
    <row r="4" spans="1:9" x14ac:dyDescent="0.25">
      <c r="A4" s="44" t="s">
        <v>61</v>
      </c>
      <c r="B4" s="37" t="s">
        <v>81</v>
      </c>
      <c r="C4" s="45">
        <v>3</v>
      </c>
      <c r="D4" s="45">
        <f>0.8*0.8</f>
        <v>0.64000000000000012</v>
      </c>
      <c r="E4" s="46">
        <v>74</v>
      </c>
      <c r="F4" s="46">
        <f t="shared" ref="F4:F15" si="0">C4*D4*E4</f>
        <v>142.08000000000004</v>
      </c>
    </row>
    <row r="5" spans="1:9" x14ac:dyDescent="0.25">
      <c r="A5" s="44" t="s">
        <v>61</v>
      </c>
      <c r="B5" s="37" t="s">
        <v>81</v>
      </c>
      <c r="C5" s="45">
        <v>1</v>
      </c>
      <c r="D5" s="45">
        <f t="shared" ref="D5:D7" si="1">0.8*0.8</f>
        <v>0.64000000000000012</v>
      </c>
      <c r="E5" s="46">
        <v>72</v>
      </c>
      <c r="F5" s="46">
        <f t="shared" si="0"/>
        <v>46.080000000000013</v>
      </c>
    </row>
    <row r="6" spans="1:9" x14ac:dyDescent="0.25">
      <c r="A6" s="44" t="s">
        <v>61</v>
      </c>
      <c r="B6" s="37" t="s">
        <v>81</v>
      </c>
      <c r="C6" s="45">
        <v>1</v>
      </c>
      <c r="D6" s="45">
        <f t="shared" si="1"/>
        <v>0.64000000000000012</v>
      </c>
      <c r="E6" s="46">
        <v>35</v>
      </c>
      <c r="F6" s="46">
        <f t="shared" si="0"/>
        <v>22.400000000000006</v>
      </c>
    </row>
    <row r="7" spans="1:9" x14ac:dyDescent="0.25">
      <c r="A7" s="44" t="s">
        <v>61</v>
      </c>
      <c r="B7" s="37" t="s">
        <v>81</v>
      </c>
      <c r="C7" s="45">
        <v>2</v>
      </c>
      <c r="D7" s="45">
        <f t="shared" si="1"/>
        <v>0.64000000000000012</v>
      </c>
      <c r="E7" s="46">
        <v>10</v>
      </c>
      <c r="F7" s="46">
        <f t="shared" si="0"/>
        <v>12.800000000000002</v>
      </c>
    </row>
    <row r="8" spans="1:9" x14ac:dyDescent="0.25">
      <c r="A8" s="44" t="s">
        <v>61</v>
      </c>
      <c r="B8" s="37" t="s">
        <v>82</v>
      </c>
      <c r="C8" s="45">
        <v>12</v>
      </c>
      <c r="D8" s="45">
        <v>4</v>
      </c>
      <c r="E8" s="46">
        <v>0.9</v>
      </c>
      <c r="F8" s="46">
        <f t="shared" si="0"/>
        <v>43.2</v>
      </c>
    </row>
    <row r="9" spans="1:9" x14ac:dyDescent="0.25">
      <c r="A9" s="44" t="s">
        <v>61</v>
      </c>
      <c r="B9" s="37" t="s">
        <v>57</v>
      </c>
      <c r="C9" s="45">
        <v>1</v>
      </c>
      <c r="D9" s="45">
        <f>35*72</f>
        <v>2520</v>
      </c>
      <c r="E9" s="46">
        <v>0.25</v>
      </c>
      <c r="F9" s="46">
        <f>C9*D9*E9</f>
        <v>630</v>
      </c>
    </row>
    <row r="10" spans="1:9" x14ac:dyDescent="0.25">
      <c r="A10" s="44" t="s">
        <v>61</v>
      </c>
      <c r="B10" s="37" t="s">
        <v>57</v>
      </c>
      <c r="C10" s="45">
        <v>1</v>
      </c>
      <c r="D10" s="45">
        <f>10*74</f>
        <v>740</v>
      </c>
      <c r="E10" s="46">
        <v>0.25</v>
      </c>
      <c r="F10" s="46">
        <f t="shared" si="0"/>
        <v>185</v>
      </c>
    </row>
    <row r="11" spans="1:9" x14ac:dyDescent="0.25">
      <c r="A11" s="44" t="s">
        <v>61</v>
      </c>
      <c r="B11" s="37" t="s">
        <v>83</v>
      </c>
      <c r="C11" s="45">
        <v>12</v>
      </c>
      <c r="D11" s="45">
        <f>0.5*0.5</f>
        <v>0.25</v>
      </c>
      <c r="E11" s="46">
        <v>11</v>
      </c>
      <c r="F11" s="46">
        <f t="shared" si="0"/>
        <v>33</v>
      </c>
    </row>
    <row r="12" spans="1:9" x14ac:dyDescent="0.25">
      <c r="A12" s="44" t="s">
        <v>61</v>
      </c>
      <c r="B12" s="37" t="s">
        <v>84</v>
      </c>
      <c r="C12" s="45">
        <v>14</v>
      </c>
      <c r="D12" s="45">
        <f>0.3*0.3</f>
        <v>0.09</v>
      </c>
      <c r="E12" s="46">
        <v>11</v>
      </c>
      <c r="F12" s="46">
        <f t="shared" si="0"/>
        <v>13.86</v>
      </c>
    </row>
    <row r="13" spans="1:9" x14ac:dyDescent="0.25">
      <c r="A13" s="44" t="s">
        <v>61</v>
      </c>
      <c r="B13" s="37" t="s">
        <v>85</v>
      </c>
      <c r="C13" s="45">
        <v>9</v>
      </c>
      <c r="D13" s="45">
        <f>0.2*0.2</f>
        <v>4.0000000000000008E-2</v>
      </c>
      <c r="E13" s="46">
        <v>9</v>
      </c>
      <c r="F13" s="46">
        <f t="shared" si="0"/>
        <v>3.2400000000000011</v>
      </c>
    </row>
    <row r="14" spans="1:9" x14ac:dyDescent="0.25">
      <c r="A14" s="44" t="s">
        <v>61</v>
      </c>
      <c r="B14" s="37" t="s">
        <v>58</v>
      </c>
      <c r="C14" s="45">
        <v>1</v>
      </c>
      <c r="D14" s="45">
        <f>((8*7.2)*10) - 2*4*4</f>
        <v>544</v>
      </c>
      <c r="E14" s="46">
        <v>0.25</v>
      </c>
      <c r="F14" s="46">
        <f>C14*D14*E14</f>
        <v>136</v>
      </c>
    </row>
    <row r="15" spans="1:9" x14ac:dyDescent="0.25">
      <c r="A15" s="44" t="s">
        <v>61</v>
      </c>
      <c r="B15" s="37" t="s">
        <v>59</v>
      </c>
      <c r="C15" s="46">
        <v>1</v>
      </c>
      <c r="D15" s="46">
        <f>D14+16.4*10</f>
        <v>708</v>
      </c>
      <c r="E15" s="46">
        <f>0.25</f>
        <v>0.25</v>
      </c>
      <c r="F15" s="46">
        <f t="shared" si="0"/>
        <v>177</v>
      </c>
    </row>
    <row r="16" spans="1:9" x14ac:dyDescent="0.25">
      <c r="A16" s="44" t="s">
        <v>61</v>
      </c>
      <c r="B16" s="37" t="s">
        <v>86</v>
      </c>
      <c r="C16" s="46">
        <v>1</v>
      </c>
      <c r="D16" s="46">
        <f>0.5*0.2</f>
        <v>0.1</v>
      </c>
      <c r="E16" s="46">
        <f>8*72</f>
        <v>576</v>
      </c>
      <c r="F16" s="46">
        <f>E16*D16*C16</f>
        <v>57.6</v>
      </c>
    </row>
    <row r="17" spans="1:6" x14ac:dyDescent="0.25">
      <c r="A17" s="44" t="s">
        <v>61</v>
      </c>
      <c r="B17" s="44" t="s">
        <v>87</v>
      </c>
      <c r="C17" s="46">
        <v>2</v>
      </c>
      <c r="D17" s="46">
        <f>0.5*0.2</f>
        <v>0.1</v>
      </c>
      <c r="E17" s="46">
        <f>10*72</f>
        <v>720</v>
      </c>
      <c r="F17" s="46">
        <f t="shared" ref="F17:F24" si="2">E17*D17*C17</f>
        <v>144</v>
      </c>
    </row>
    <row r="18" spans="1:6" x14ac:dyDescent="0.25">
      <c r="A18" s="44" t="s">
        <v>61</v>
      </c>
      <c r="B18" s="44" t="s">
        <v>88</v>
      </c>
      <c r="C18" s="46">
        <v>4</v>
      </c>
      <c r="D18" s="46">
        <f>0.6*0.2</f>
        <v>0.12</v>
      </c>
      <c r="E18" s="46">
        <v>35</v>
      </c>
      <c r="F18" s="46">
        <f t="shared" si="2"/>
        <v>16.8</v>
      </c>
    </row>
    <row r="19" spans="1:6" x14ac:dyDescent="0.25">
      <c r="A19" s="44" t="s">
        <v>61</v>
      </c>
      <c r="B19" s="44" t="s">
        <v>89</v>
      </c>
      <c r="C19" s="46">
        <v>2</v>
      </c>
      <c r="D19" s="46">
        <f>0.3*0.2</f>
        <v>0.06</v>
      </c>
      <c r="E19" s="46">
        <v>35</v>
      </c>
      <c r="F19" s="46">
        <f t="shared" si="2"/>
        <v>4.2</v>
      </c>
    </row>
    <row r="20" spans="1:6" x14ac:dyDescent="0.25">
      <c r="A20" s="44" t="s">
        <v>61</v>
      </c>
      <c r="B20" s="44" t="s">
        <v>90</v>
      </c>
      <c r="C20" s="46">
        <v>4</v>
      </c>
      <c r="D20" s="46">
        <f>0.4*0.1</f>
        <v>4.0000000000000008E-2</v>
      </c>
      <c r="E20" s="46">
        <v>35</v>
      </c>
      <c r="F20" s="46">
        <f t="shared" si="2"/>
        <v>5.6000000000000014</v>
      </c>
    </row>
    <row r="21" spans="1:6" x14ac:dyDescent="0.25">
      <c r="A21" s="44" t="s">
        <v>73</v>
      </c>
      <c r="B21" s="44" t="s">
        <v>92</v>
      </c>
      <c r="C21" s="46">
        <v>3</v>
      </c>
      <c r="D21" s="46">
        <f>150*0.214</f>
        <v>32.1</v>
      </c>
      <c r="E21" s="46">
        <v>2.75</v>
      </c>
      <c r="F21" s="46">
        <f>E21*D21*C21</f>
        <v>264.82500000000005</v>
      </c>
    </row>
    <row r="22" spans="1:6" x14ac:dyDescent="0.25">
      <c r="A22" s="44" t="s">
        <v>61</v>
      </c>
      <c r="B22" s="37" t="s">
        <v>93</v>
      </c>
      <c r="C22" s="46">
        <v>5</v>
      </c>
      <c r="D22" s="46">
        <f>14.4*9</f>
        <v>129.6</v>
      </c>
      <c r="E22" s="46">
        <f>0.07</f>
        <v>7.0000000000000007E-2</v>
      </c>
      <c r="F22" s="46">
        <f>E22*D22*C22</f>
        <v>45.360000000000007</v>
      </c>
    </row>
    <row r="23" spans="1:6" x14ac:dyDescent="0.25">
      <c r="A23" s="44" t="s">
        <v>61</v>
      </c>
      <c r="B23" s="44" t="s">
        <v>94</v>
      </c>
      <c r="C23" s="46">
        <v>5</v>
      </c>
      <c r="D23" s="46">
        <f>7*14.4</f>
        <v>100.8</v>
      </c>
      <c r="E23" s="46">
        <f t="shared" ref="E23:E24" si="3">0.07</f>
        <v>7.0000000000000007E-2</v>
      </c>
      <c r="F23" s="46">
        <f t="shared" si="2"/>
        <v>35.28</v>
      </c>
    </row>
    <row r="24" spans="1:6" x14ac:dyDescent="0.25">
      <c r="A24" s="44" t="s">
        <v>61</v>
      </c>
      <c r="B24" s="44" t="s">
        <v>95</v>
      </c>
      <c r="C24" s="46">
        <v>5</v>
      </c>
      <c r="D24" s="46">
        <f>11*14.4</f>
        <v>158.4</v>
      </c>
      <c r="E24" s="46">
        <f t="shared" si="3"/>
        <v>7.0000000000000007E-2</v>
      </c>
      <c r="F24" s="46">
        <f t="shared" si="2"/>
        <v>55.440000000000005</v>
      </c>
    </row>
  </sheetData>
  <mergeCells count="1">
    <mergeCell ref="A1:F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C6993D9-178C-4104-9DEC-A8C7C09B2101}">
          <x14:formula1>
            <xm:f>'Building params'!$C$3:$C$8</xm:f>
          </x14:formula1>
          <xm:sqref>I3:I13 G3:G13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5DEB3-D6FB-40FE-A355-04C500ADE634}">
  <sheetPr>
    <tabColor rgb="FFFFC000"/>
  </sheetPr>
  <dimension ref="B1:P37"/>
  <sheetViews>
    <sheetView zoomScale="81" zoomScaleNormal="110" workbookViewId="0">
      <selection activeCell="D5" sqref="D5"/>
    </sheetView>
  </sheetViews>
  <sheetFormatPr defaultRowHeight="20.100000000000001" customHeight="1" x14ac:dyDescent="0.25"/>
  <cols>
    <col min="1" max="1" width="3.7109375" style="2" customWidth="1"/>
    <col min="2" max="2" width="27.85546875" style="2" bestFit="1" customWidth="1"/>
    <col min="3" max="3" width="35.7109375" style="2" customWidth="1"/>
    <col min="4" max="4" width="60.7109375" style="2" customWidth="1"/>
    <col min="5" max="9" width="15.7109375" style="3" customWidth="1"/>
    <col min="10" max="10" width="15.7109375" customWidth="1"/>
    <col min="11" max="16" width="9.140625" style="2"/>
    <col min="17" max="18" width="9.140625" style="2" customWidth="1"/>
    <col min="19" max="16384" width="9.140625" style="2"/>
  </cols>
  <sheetData>
    <row r="1" spans="2:11" ht="20.100000000000001" customHeight="1" thickBot="1" x14ac:dyDescent="0.3"/>
    <row r="2" spans="2:11" ht="20.100000000000001" customHeight="1" x14ac:dyDescent="0.25">
      <c r="B2" s="4" t="s">
        <v>28</v>
      </c>
      <c r="C2" s="2" t="s">
        <v>62</v>
      </c>
      <c r="F2" s="20"/>
      <c r="G2" s="21" t="s">
        <v>26</v>
      </c>
      <c r="H2" s="26" t="s">
        <v>27</v>
      </c>
      <c r="I2" s="22"/>
    </row>
    <row r="3" spans="2:11" ht="20.100000000000001" customHeight="1" x14ac:dyDescent="0.25">
      <c r="B3" s="4"/>
      <c r="F3" s="15" t="s">
        <v>2</v>
      </c>
      <c r="G3" s="13">
        <f>TblConcrete[[#Totals],[GWP (A1-A3)
'[kg CO2e']]]</f>
        <v>663290.58668399998</v>
      </c>
      <c r="H3" s="32">
        <f>G3/$C$5</f>
        <v>144.94986597115386</v>
      </c>
      <c r="I3" s="25" t="s">
        <v>22</v>
      </c>
    </row>
    <row r="4" spans="2:11" ht="20.100000000000001" customHeight="1" x14ac:dyDescent="0.25">
      <c r="B4" s="4" t="s">
        <v>34</v>
      </c>
      <c r="C4" s="2">
        <v>50</v>
      </c>
      <c r="D4" s="2" t="s">
        <v>36</v>
      </c>
      <c r="F4" s="15" t="s">
        <v>3</v>
      </c>
      <c r="G4" s="13">
        <f>TblConcrete[[#Totals],[ECI
'[€']]]</f>
        <v>63293.033686800016</v>
      </c>
      <c r="H4" s="32">
        <f>G4/$C$5</f>
        <v>13.831519599388116</v>
      </c>
      <c r="I4" s="25" t="s">
        <v>44</v>
      </c>
    </row>
    <row r="5" spans="2:11" ht="20.100000000000001" customHeight="1" thickBot="1" x14ac:dyDescent="0.3">
      <c r="B5" s="4" t="s">
        <v>33</v>
      </c>
      <c r="C5" s="2">
        <f>72*35 + 74*10*2 + (7.2*8)*10</f>
        <v>4576</v>
      </c>
      <c r="D5" s="2" t="s">
        <v>35</v>
      </c>
      <c r="F5" s="16" t="s">
        <v>31</v>
      </c>
      <c r="G5" s="17"/>
      <c r="H5" s="28">
        <f>H4/$C$4</f>
        <v>0.27663039198776235</v>
      </c>
      <c r="I5" s="27" t="s">
        <v>45</v>
      </c>
    </row>
    <row r="7" spans="2:11" ht="20.100000000000001" customHeight="1" x14ac:dyDescent="0.25">
      <c r="G7" s="12"/>
    </row>
    <row r="8" spans="2:11" ht="30" x14ac:dyDescent="0.25">
      <c r="B8" s="24" t="s">
        <v>32</v>
      </c>
      <c r="C8" s="2" t="s">
        <v>18</v>
      </c>
      <c r="D8" s="2" t="s">
        <v>0</v>
      </c>
      <c r="E8" s="9" t="s">
        <v>23</v>
      </c>
      <c r="F8" s="9" t="s">
        <v>19</v>
      </c>
      <c r="G8" s="9" t="s">
        <v>20</v>
      </c>
      <c r="H8" s="9" t="s">
        <v>24</v>
      </c>
      <c r="I8" s="9" t="s">
        <v>25</v>
      </c>
    </row>
    <row r="9" spans="2:11" ht="20.100000000000001" customHeight="1" x14ac:dyDescent="0.25">
      <c r="B9" s="23" t="s">
        <v>38</v>
      </c>
      <c r="C9" s="11" t="str">
        <f>Concrete!B3</f>
        <v>Foundation piles</v>
      </c>
      <c r="D9" s="31" t="s">
        <v>110</v>
      </c>
      <c r="E9" s="3" t="s">
        <v>21</v>
      </c>
      <c r="F9" s="57">
        <f>Concrete!F3</f>
        <v>224.80673000000002</v>
      </c>
      <c r="G9" s="10">
        <v>100</v>
      </c>
      <c r="H9"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64249.763434000008</v>
      </c>
      <c r="I9"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6105.7507868000002</v>
      </c>
      <c r="K9" s="18" t="s">
        <v>29</v>
      </c>
    </row>
    <row r="10" spans="2:11" ht="20.100000000000001" customHeight="1" x14ac:dyDescent="0.25">
      <c r="B10" s="23" t="s">
        <v>39</v>
      </c>
      <c r="C10" s="11" t="str">
        <f>Concrete!B4</f>
        <v>Foundation strips</v>
      </c>
      <c r="D10" s="31" t="s">
        <v>110</v>
      </c>
      <c r="E10" s="3" t="s">
        <v>21</v>
      </c>
      <c r="F10" s="57">
        <f>Concrete!F4</f>
        <v>142.08000000000004</v>
      </c>
      <c r="G10" s="10">
        <v>150</v>
      </c>
      <c r="H10"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50338.944000000018</v>
      </c>
      <c r="I10"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4782.4128000000019</v>
      </c>
      <c r="K10" s="18" t="s">
        <v>30</v>
      </c>
    </row>
    <row r="11" spans="2:11" ht="20.100000000000001" customHeight="1" x14ac:dyDescent="0.25">
      <c r="B11" s="23" t="s">
        <v>39</v>
      </c>
      <c r="C11" s="11" t="str">
        <f>Concrete!B5</f>
        <v>Foundation strips</v>
      </c>
      <c r="D11" s="31" t="s">
        <v>110</v>
      </c>
      <c r="E11" s="3" t="s">
        <v>21</v>
      </c>
      <c r="F11" s="57">
        <f>Concrete!F5</f>
        <v>46.080000000000013</v>
      </c>
      <c r="G11" s="10">
        <v>150</v>
      </c>
      <c r="H11"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16326.144000000004</v>
      </c>
      <c r="I11"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1551.0528000000004</v>
      </c>
    </row>
    <row r="12" spans="2:11" ht="20.100000000000001" customHeight="1" x14ac:dyDescent="0.25">
      <c r="B12" s="23" t="s">
        <v>39</v>
      </c>
      <c r="C12" s="11" t="str">
        <f>Concrete!B6</f>
        <v>Foundation strips</v>
      </c>
      <c r="D12" s="31" t="s">
        <v>110</v>
      </c>
      <c r="E12" s="3" t="s">
        <v>21</v>
      </c>
      <c r="F12" s="57">
        <f>Concrete!F6</f>
        <v>22.400000000000006</v>
      </c>
      <c r="G12" s="10">
        <v>150</v>
      </c>
      <c r="H12"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7936.3200000000024</v>
      </c>
      <c r="I12"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753.98400000000015</v>
      </c>
    </row>
    <row r="13" spans="2:11" ht="20.100000000000001" customHeight="1" x14ac:dyDescent="0.25">
      <c r="B13" s="23" t="s">
        <v>39</v>
      </c>
      <c r="C13" s="11" t="str">
        <f>Concrete!B7</f>
        <v>Foundation strips</v>
      </c>
      <c r="D13" s="31" t="s">
        <v>110</v>
      </c>
      <c r="E13" s="3" t="s">
        <v>21</v>
      </c>
      <c r="F13" s="57">
        <f>Concrete!F7</f>
        <v>12.800000000000002</v>
      </c>
      <c r="G13" s="10">
        <v>150</v>
      </c>
      <c r="H13"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4535.0400000000009</v>
      </c>
      <c r="I13"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430.84800000000013</v>
      </c>
    </row>
    <row r="14" spans="2:11" ht="20.100000000000001" customHeight="1" x14ac:dyDescent="0.25">
      <c r="B14" s="23" t="s">
        <v>39</v>
      </c>
      <c r="C14" s="11" t="str">
        <f>Concrete!B8</f>
        <v>Pours</v>
      </c>
      <c r="D14" s="31" t="s">
        <v>110</v>
      </c>
      <c r="E14" s="3" t="s">
        <v>21</v>
      </c>
      <c r="F14" s="57">
        <f>Concrete!F8</f>
        <v>43.2</v>
      </c>
      <c r="G14" s="10">
        <v>125</v>
      </c>
      <c r="H14"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13826.16</v>
      </c>
      <c r="I14"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1313.712</v>
      </c>
    </row>
    <row r="15" spans="2:11" ht="20.100000000000001" customHeight="1" x14ac:dyDescent="0.25">
      <c r="B15" s="23" t="s">
        <v>41</v>
      </c>
      <c r="C15" s="11" t="str">
        <f>Concrete!B9</f>
        <v>Ground Floor</v>
      </c>
      <c r="D15" s="31" t="s">
        <v>110</v>
      </c>
      <c r="E15" s="3" t="s">
        <v>21</v>
      </c>
      <c r="F15" s="57">
        <f>Concrete!F9</f>
        <v>630</v>
      </c>
      <c r="G15" s="10">
        <v>120</v>
      </c>
      <c r="H15"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197316</v>
      </c>
      <c r="I15"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18748.8</v>
      </c>
    </row>
    <row r="16" spans="2:11" ht="20.100000000000001" customHeight="1" x14ac:dyDescent="0.25">
      <c r="B16" s="23" t="s">
        <v>41</v>
      </c>
      <c r="C16" s="11" t="str">
        <f>Concrete!B10</f>
        <v>Ground Floor</v>
      </c>
      <c r="D16" s="31" t="s">
        <v>110</v>
      </c>
      <c r="E16" s="3" t="s">
        <v>21</v>
      </c>
      <c r="F16" s="57">
        <f>Concrete!F10</f>
        <v>185</v>
      </c>
      <c r="G16" s="10">
        <v>120</v>
      </c>
      <c r="H16"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57942</v>
      </c>
      <c r="I16"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5505.6</v>
      </c>
    </row>
    <row r="17" spans="2:16" ht="20.100000000000001" customHeight="1" x14ac:dyDescent="0.25">
      <c r="B17" s="23" t="s">
        <v>40</v>
      </c>
      <c r="C17" s="11" t="str">
        <f>Concrete!B11</f>
        <v>Inner Columns</v>
      </c>
      <c r="D17" s="31" t="s">
        <v>110</v>
      </c>
      <c r="E17" s="3" t="s">
        <v>21</v>
      </c>
      <c r="F17" s="57">
        <f>Concrete!F11</f>
        <v>33</v>
      </c>
      <c r="G17" s="10">
        <v>200</v>
      </c>
      <c r="H17"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13952.4</v>
      </c>
      <c r="I17"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1325.28</v>
      </c>
    </row>
    <row r="18" spans="2:16" ht="20.100000000000001" customHeight="1" x14ac:dyDescent="0.25">
      <c r="B18" s="23" t="s">
        <v>40</v>
      </c>
      <c r="C18" s="11" t="str">
        <f>Concrete!B12</f>
        <v>Outer Columns</v>
      </c>
      <c r="D18" s="31" t="s">
        <v>110</v>
      </c>
      <c r="E18" s="3" t="s">
        <v>21</v>
      </c>
      <c r="F18" s="57">
        <f>Concrete!F12</f>
        <v>13.86</v>
      </c>
      <c r="G18" s="10">
        <v>200</v>
      </c>
      <c r="H18"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5860.0079999999998</v>
      </c>
      <c r="I18"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556.61760000000004</v>
      </c>
    </row>
    <row r="19" spans="2:16" ht="20.100000000000001" customHeight="1" x14ac:dyDescent="0.25">
      <c r="B19" s="23" t="s">
        <v>40</v>
      </c>
      <c r="C19" s="11" t="str">
        <f>Concrete!B13</f>
        <v>Office Columns</v>
      </c>
      <c r="D19" s="31" t="s">
        <v>110</v>
      </c>
      <c r="E19" s="3" t="s">
        <v>21</v>
      </c>
      <c r="F19" s="57">
        <f>Concrete!F13</f>
        <v>3.2400000000000011</v>
      </c>
      <c r="G19" s="10">
        <v>200</v>
      </c>
      <c r="H19"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1369.8720000000005</v>
      </c>
      <c r="I19"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130.11840000000007</v>
      </c>
    </row>
    <row r="20" spans="2:16" ht="20.100000000000001" customHeight="1" x14ac:dyDescent="0.25">
      <c r="B20" s="23" t="s">
        <v>41</v>
      </c>
      <c r="C20" s="11" t="str">
        <f>Concrete!B14</f>
        <v>First Floor</v>
      </c>
      <c r="D20" s="31" t="s">
        <v>110</v>
      </c>
      <c r="E20" s="3" t="s">
        <v>21</v>
      </c>
      <c r="F20" s="57">
        <f>Concrete!F14</f>
        <v>136</v>
      </c>
      <c r="G20" s="10">
        <v>80</v>
      </c>
      <c r="H20"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35142.400000000001</v>
      </c>
      <c r="I20"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3340.16</v>
      </c>
    </row>
    <row r="21" spans="2:16" ht="20.100000000000001" customHeight="1" x14ac:dyDescent="0.25">
      <c r="B21" s="23" t="s">
        <v>41</v>
      </c>
      <c r="C21" s="11" t="str">
        <f>Concrete!B15</f>
        <v>Second Floor</v>
      </c>
      <c r="D21" s="31" t="s">
        <v>110</v>
      </c>
      <c r="E21" s="3" t="s">
        <v>21</v>
      </c>
      <c r="F21" s="57">
        <f>Concrete!F15</f>
        <v>177</v>
      </c>
      <c r="G21" s="10">
        <v>80</v>
      </c>
      <c r="H21"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45736.800000000003</v>
      </c>
      <c r="I21"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4347.12</v>
      </c>
    </row>
    <row r="22" spans="2:16" ht="20.100000000000001" customHeight="1" x14ac:dyDescent="0.25">
      <c r="B22" s="23" t="s">
        <v>40</v>
      </c>
      <c r="C22" s="11" t="str">
        <f>Concrete!B16</f>
        <v>First Floor Beam</v>
      </c>
      <c r="D22" s="31" t="s">
        <v>110</v>
      </c>
      <c r="E22" s="3" t="s">
        <v>21</v>
      </c>
      <c r="F22" s="57">
        <f>Concrete!F16</f>
        <v>57.6</v>
      </c>
      <c r="G22" s="10">
        <v>175</v>
      </c>
      <c r="H22"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22380.48</v>
      </c>
      <c r="I22"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2126.0160000000001</v>
      </c>
      <c r="K22" s="18" t="s">
        <v>53</v>
      </c>
      <c r="L22" s="18"/>
      <c r="M22" s="18" t="s">
        <v>51</v>
      </c>
    </row>
    <row r="23" spans="2:16" ht="20.100000000000001" customHeight="1" x14ac:dyDescent="0.25">
      <c r="B23" s="23" t="s">
        <v>40</v>
      </c>
      <c r="C23" s="11" t="str">
        <f>Concrete!B17</f>
        <v>Second, Third Floor Beam</v>
      </c>
      <c r="D23" s="31" t="s">
        <v>110</v>
      </c>
      <c r="E23" s="3" t="s">
        <v>21</v>
      </c>
      <c r="F23" s="57">
        <f>Concrete!F17</f>
        <v>144</v>
      </c>
      <c r="G23" s="10">
        <v>175</v>
      </c>
      <c r="H23"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55951.199999999997</v>
      </c>
      <c r="I23"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5315.04</v>
      </c>
      <c r="K23" s="18"/>
      <c r="L23" s="18"/>
      <c r="M23" s="18" t="s">
        <v>31</v>
      </c>
    </row>
    <row r="24" spans="2:16" ht="20.100000000000001" customHeight="1" x14ac:dyDescent="0.25">
      <c r="B24" s="23" t="s">
        <v>40</v>
      </c>
      <c r="C24" s="11" t="str">
        <f>Concrete!B18</f>
        <v>Roof beam, thick</v>
      </c>
      <c r="D24" s="31" t="s">
        <v>110</v>
      </c>
      <c r="E24" s="3" t="s">
        <v>21</v>
      </c>
      <c r="F24" s="57">
        <f>Concrete!F18</f>
        <v>16.8</v>
      </c>
      <c r="G24" s="10">
        <v>175</v>
      </c>
      <c r="H24"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6527.64</v>
      </c>
      <c r="I24"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620.08799999999997</v>
      </c>
    </row>
    <row r="25" spans="2:16" ht="20.100000000000001" customHeight="1" x14ac:dyDescent="0.25">
      <c r="B25" s="23" t="s">
        <v>40</v>
      </c>
      <c r="C25" s="11" t="str">
        <f>Concrete!B19</f>
        <v>Roof beam, end</v>
      </c>
      <c r="D25" s="31" t="s">
        <v>110</v>
      </c>
      <c r="E25" s="3" t="s">
        <v>21</v>
      </c>
      <c r="F25" s="57">
        <f>Concrete!F19</f>
        <v>4.2</v>
      </c>
      <c r="G25" s="10">
        <v>175</v>
      </c>
      <c r="H25"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1631.91</v>
      </c>
      <c r="I25"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155.02199999999999</v>
      </c>
      <c r="K25" s="4"/>
      <c r="L25" s="4"/>
      <c r="M25" s="5" t="s">
        <v>51</v>
      </c>
      <c r="N25" s="33" t="s">
        <v>52</v>
      </c>
      <c r="O25" s="5" t="s">
        <v>3</v>
      </c>
      <c r="P25" s="5" t="s">
        <v>31</v>
      </c>
    </row>
    <row r="26" spans="2:16" ht="20.100000000000001" customHeight="1" x14ac:dyDescent="0.25">
      <c r="B26" s="23" t="s">
        <v>40</v>
      </c>
      <c r="C26" s="11" t="str">
        <f>Concrete!B20</f>
        <v>Roof beam, length</v>
      </c>
      <c r="D26" s="31" t="s">
        <v>110</v>
      </c>
      <c r="E26" s="3" t="s">
        <v>21</v>
      </c>
      <c r="F26" s="57">
        <f>Concrete!F20</f>
        <v>5.6000000000000014</v>
      </c>
      <c r="G26" s="10">
        <v>175</v>
      </c>
      <c r="H26"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2175.8800000000006</v>
      </c>
      <c r="I26"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206.69600000000005</v>
      </c>
      <c r="K26" s="2" t="str">
        <f>'Building params'!C3</f>
        <v>Piling</v>
      </c>
      <c r="M26" s="13">
        <f>SUMIFS(TblConcrete[GWP (A1-A3)
'[kg CO2e']],TblConcrete[Category],K26)</f>
        <v>64249.763434000008</v>
      </c>
      <c r="N26" s="32">
        <f>M26/$C$5</f>
        <v>14.04059515603147</v>
      </c>
      <c r="O26" s="13">
        <f>SUMIFS(TblConcrete[ECI
'[€']],TblConcrete[Category],K26)</f>
        <v>6105.7507868000002</v>
      </c>
      <c r="P26" s="8">
        <f>O26/$C$5/$C$4</f>
        <v>2.6685973718531472E-2</v>
      </c>
    </row>
    <row r="27" spans="2:16" ht="20.100000000000001" customHeight="1" x14ac:dyDescent="0.25">
      <c r="B27" s="23" t="s">
        <v>42</v>
      </c>
      <c r="C27" s="11" t="str">
        <f>Concrete!B21</f>
        <v>Walls</v>
      </c>
      <c r="D27" s="31" t="s">
        <v>108</v>
      </c>
      <c r="E27" s="3" t="s">
        <v>21</v>
      </c>
      <c r="F27" s="57">
        <f>Concrete!F21</f>
        <v>264.82500000000005</v>
      </c>
      <c r="G27" s="10"/>
      <c r="H27"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39842.921250000007</v>
      </c>
      <c r="I27"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4051.8225000000002</v>
      </c>
      <c r="K27" s="2" t="str">
        <f>'Building params'!C4</f>
        <v>Substructure</v>
      </c>
      <c r="M27" s="13">
        <f>SUMIFS(TblConcrete[GWP (A1-A3)
'[kg CO2e']],TblConcrete[Category],K27)</f>
        <v>92962.608000000037</v>
      </c>
      <c r="N27" s="32">
        <f t="shared" ref="N27:N31" si="0">M27/$C$5</f>
        <v>20.315255244755253</v>
      </c>
      <c r="O27" s="13">
        <f>SUMIFS(TblConcrete[ECI
'[€']],TblConcrete[Category],K27)</f>
        <v>8832.009600000003</v>
      </c>
      <c r="P27" s="8">
        <f t="shared" ref="P27:P31" si="1">O27/$C$5/$C$4</f>
        <v>3.8601440559440571E-2</v>
      </c>
    </row>
    <row r="28" spans="2:16" ht="20.100000000000001" customHeight="1" x14ac:dyDescent="0.25">
      <c r="B28" s="23" t="s">
        <v>41</v>
      </c>
      <c r="C28" s="11" t="str">
        <f>Concrete!B22</f>
        <v>Roof panels, 1</v>
      </c>
      <c r="D28" s="31" t="s">
        <v>110</v>
      </c>
      <c r="E28" s="3" t="s">
        <v>21</v>
      </c>
      <c r="F28" s="57">
        <f>Concrete!F22</f>
        <v>45.360000000000007</v>
      </c>
      <c r="G28" s="10"/>
      <c r="H28"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6749.5680000000011</v>
      </c>
      <c r="I28"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642.2976000000001</v>
      </c>
      <c r="K28" s="2" t="str">
        <f>'Building params'!C5</f>
        <v>Structural frame</v>
      </c>
      <c r="M28" s="13">
        <f>SUMIFS(TblConcrete[GWP (A1-A3)
'[kg CO2e']],TblConcrete[Category],K28)</f>
        <v>109849.39</v>
      </c>
      <c r="N28" s="32">
        <f t="shared" si="0"/>
        <v>24.005548513986014</v>
      </c>
      <c r="O28" s="13">
        <f>SUMIFS(TblConcrete[ECI
'[€']],TblConcrete[Category],K28)</f>
        <v>10434.878000000001</v>
      </c>
      <c r="P28" s="8">
        <f t="shared" si="1"/>
        <v>4.5606984265734264E-2</v>
      </c>
    </row>
    <row r="29" spans="2:16" ht="20.100000000000001" customHeight="1" x14ac:dyDescent="0.25">
      <c r="B29" s="23" t="s">
        <v>41</v>
      </c>
      <c r="C29" s="11" t="str">
        <f>Concrete!B23</f>
        <v>Roof panels, 2</v>
      </c>
      <c r="D29" s="31" t="s">
        <v>110</v>
      </c>
      <c r="E29" s="3" t="s">
        <v>21</v>
      </c>
      <c r="F29" s="57">
        <f>Concrete!F23</f>
        <v>35.28</v>
      </c>
      <c r="G29" s="10"/>
      <c r="H29"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5249.6639999999998</v>
      </c>
      <c r="I29"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499.56479999999999</v>
      </c>
      <c r="K29" s="2" t="str">
        <f>'Building params'!C6</f>
        <v>Floors/roof</v>
      </c>
      <c r="M29" s="13">
        <f>SUMIFS(TblConcrete[GWP (A1-A3)
'[kg CO2e']],TblConcrete[Category],K29)</f>
        <v>356385.90400000004</v>
      </c>
      <c r="N29" s="32">
        <f t="shared" si="0"/>
        <v>77.881534965034973</v>
      </c>
      <c r="O29" s="13">
        <f>SUMIFS(TblConcrete[ECI
'[€']],TblConcrete[Category],K29)</f>
        <v>33868.572800000002</v>
      </c>
      <c r="P29" s="8">
        <f t="shared" si="1"/>
        <v>0.14802697902097903</v>
      </c>
    </row>
    <row r="30" spans="2:16" ht="20.100000000000001" customHeight="1" x14ac:dyDescent="0.25">
      <c r="B30" s="23" t="s">
        <v>41</v>
      </c>
      <c r="C30" s="11" t="str">
        <f>Concrete!B24</f>
        <v>Roof panels, 3</v>
      </c>
      <c r="D30" s="31" t="s">
        <v>110</v>
      </c>
      <c r="E30" s="3" t="s">
        <v>21</v>
      </c>
      <c r="F30" s="57">
        <f>Concrete!F24</f>
        <v>55.440000000000005</v>
      </c>
      <c r="G30" s="10"/>
      <c r="H30" s="13">
        <f>IF(TblConcrete[[#This Row],[Volume '[m3'] 
or mass '[kg']]]="",0,IF(TblConcrete[[#This Row],[Volume '[m3'] 
or mass '[kg']]]="m3",VLOOKUP(TblConcrete[[#This Row],[Material]],Tbl_MatData[],2,FALSE)*TblConcrete[[#This Row],[Quantity
'[m3 or kg']]]*VLOOKUP(TblConcrete[[#This Row],[Material]],Tbl_MatData[],3,FALSE), TblConcrete[[#This Row],[Quantity
'[m3 or kg']]]*VLOOKUP(TblConcrete[[#This Row],[Material]],Tbl_MatData[],3,FALSE)))+TblConcrete[[#This Row],[Quantity
'[m3 or kg']]]*TblConcrete[[#This Row],[Reinforcement
'[kg/m3']]]*'LCA Material data'!$D$8</f>
        <v>8249.4719999999998</v>
      </c>
      <c r="I30" s="38">
        <f>IF(TblConcrete[[#This Row],[Volume '[m3'] 
or mass '[kg']]]="",0,IF(TblConcrete[[#This Row],[Volume '[m3'] 
or mass '[kg']]]="m3",VLOOKUP(TblConcrete[[#This Row],[Material]],Tbl_MatData[],2,FALSE)*TblConcrete[[#This Row],[Quantity
'[m3 or kg']]]*VLOOKUP(TblConcrete[[#This Row],[Material]],Tbl_MatData[],4,FALSE), TblConcrete[[#This Row],[Quantity
'[m3 or kg']]]*VLOOKUP(TblConcrete[[#This Row],[Material]],Tbl_MatData[],4,FALSE)))+TblConcrete[[#This Row],[Quantity
'[m3 or kg']]]*TblConcrete[[#This Row],[Reinforcement
'[kg/m3']]]*'LCA Material data'!$E$8</f>
        <v>785.03039999999999</v>
      </c>
      <c r="K30" s="2" t="str">
        <f>'Building params'!C7</f>
        <v>Structural walls</v>
      </c>
      <c r="M30" s="13">
        <f>SUMIFS(TblConcrete[GWP (A1-A3)
'[kg CO2e']],TblConcrete[Category],K30)</f>
        <v>39842.921250000007</v>
      </c>
      <c r="N30" s="32">
        <f t="shared" si="0"/>
        <v>8.7069320913461556</v>
      </c>
      <c r="O30" s="13">
        <f>SUMIFS(TblConcrete[ECI
'[€']],TblConcrete[Category],K30)</f>
        <v>4051.8225000000002</v>
      </c>
      <c r="P30" s="8">
        <f t="shared" si="1"/>
        <v>1.7709014423076923E-2</v>
      </c>
    </row>
    <row r="31" spans="2:16" ht="20.100000000000001" customHeight="1" x14ac:dyDescent="0.25">
      <c r="B31" s="4" t="s">
        <v>26</v>
      </c>
      <c r="C31" s="4"/>
      <c r="D31" s="30"/>
      <c r="E31" s="5"/>
      <c r="F31" s="5"/>
      <c r="G31" s="5"/>
      <c r="H31" s="19">
        <f>SUBTOTAL(109,TblConcrete[GWP (A1-A3)
'[kg CO2e']])</f>
        <v>663290.58668399998</v>
      </c>
      <c r="I31" s="39">
        <f>SUBTOTAL(109,TblConcrete[ECI
'[€']])</f>
        <v>63293.033686800016</v>
      </c>
      <c r="K31" s="2" t="str">
        <f>'Building params'!C8</f>
        <v>Other</v>
      </c>
      <c r="M31" s="13">
        <f>SUMIFS(TblConcrete[GWP (A1-A3)
'[kg CO2e']],TblConcrete[Category],K31)</f>
        <v>0</v>
      </c>
      <c r="N31" s="32">
        <f t="shared" si="0"/>
        <v>0</v>
      </c>
      <c r="O31" s="13">
        <f>SUMIFS(TblConcrete[ECI
'[€']],TblConcrete[Category],K31)</f>
        <v>0</v>
      </c>
      <c r="P31" s="8">
        <f t="shared" si="1"/>
        <v>0</v>
      </c>
    </row>
    <row r="32" spans="2:16" ht="20.100000000000001" customHeight="1" x14ac:dyDescent="0.25">
      <c r="B32" s="30"/>
      <c r="C32" s="4"/>
      <c r="D32" s="4"/>
      <c r="E32" s="5"/>
      <c r="F32" s="5" t="s">
        <v>49</v>
      </c>
      <c r="G32" s="5"/>
      <c r="H32" s="19"/>
      <c r="I32" s="19"/>
    </row>
    <row r="33" spans="2:6" ht="20.100000000000001" customHeight="1" x14ac:dyDescent="0.25">
      <c r="C33" s="14"/>
      <c r="F33" s="29" t="s">
        <v>47</v>
      </c>
    </row>
    <row r="34" spans="2:6" ht="20.100000000000001" customHeight="1" x14ac:dyDescent="0.25">
      <c r="F34" s="29" t="s">
        <v>46</v>
      </c>
    </row>
    <row r="35" spans="2:6" ht="20.100000000000001" customHeight="1" x14ac:dyDescent="0.25">
      <c r="F35" s="29" t="s">
        <v>48</v>
      </c>
    </row>
    <row r="37" spans="2:6" ht="20.100000000000001" customHeight="1" x14ac:dyDescent="0.25">
      <c r="B37" s="4" t="s">
        <v>50</v>
      </c>
    </row>
  </sheetData>
  <phoneticPr fontId="9" type="noConversion"/>
  <dataValidations count="4">
    <dataValidation type="list" allowBlank="1" showInputMessage="1" showErrorMessage="1" sqref="E32 E9:E30" xr:uid="{402F1C63-E413-4F45-9895-11F00E4601E3}">
      <formula1>"m3,kg"</formula1>
    </dataValidation>
    <dataValidation type="list" allowBlank="1" showInputMessage="1" showErrorMessage="1" sqref="D32 D9:D30" xr:uid="{1B834037-6810-4457-B254-3D4C3093253C}">
      <formula1>INDIRECT("Tbl_MatData[Material]")</formula1>
    </dataValidation>
    <dataValidation type="list" allowBlank="1" showInputMessage="1" showErrorMessage="1" sqref="B9:B30 B32" xr:uid="{5BCDE73A-E5F3-406E-A0CF-9465F279353E}">
      <formula1>INDIRECT("Tbl_Param_Cat[Category]")</formula1>
    </dataValidation>
    <dataValidation type="list" allowBlank="1" showInputMessage="1" showErrorMessage="1" sqref="C4" xr:uid="{2815FD97-79DA-4408-837B-BA97ED57A83B}">
      <formula1>"50,75"</formula1>
    </dataValidation>
  </dataValidations>
  <pageMargins left="0.7" right="0.7" top="0.75" bottom="0.75" header="0.3" footer="0.3"/>
  <pageSetup paperSize="0"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A44FF-687C-43FB-AE00-074D3513BF6E}">
  <sheetPr>
    <tabColor rgb="FF00B0F0"/>
  </sheetPr>
  <dimension ref="A1:F23"/>
  <sheetViews>
    <sheetView workbookViewId="0">
      <selection activeCell="F17" sqref="F17"/>
    </sheetView>
  </sheetViews>
  <sheetFormatPr defaultRowHeight="15" x14ac:dyDescent="0.25"/>
  <cols>
    <col min="1" max="1" width="14" style="2" bestFit="1" customWidth="1"/>
    <col min="2" max="2" width="18.28515625" style="2" bestFit="1" customWidth="1"/>
    <col min="3" max="3" width="8.7109375" style="2" bestFit="1" customWidth="1"/>
    <col min="4" max="4" width="10.5703125" style="2" bestFit="1" customWidth="1"/>
    <col min="5" max="5" width="22.85546875" style="2" bestFit="1" customWidth="1"/>
    <col min="6" max="6" width="13.5703125" style="2" bestFit="1" customWidth="1"/>
  </cols>
  <sheetData>
    <row r="1" spans="1:6" x14ac:dyDescent="0.25">
      <c r="A1" s="62" t="s">
        <v>60</v>
      </c>
      <c r="B1" s="62"/>
      <c r="C1" s="62"/>
      <c r="D1" s="62"/>
      <c r="E1" s="62"/>
      <c r="F1" s="62"/>
    </row>
    <row r="2" spans="1:6" ht="16.5" x14ac:dyDescent="0.25">
      <c r="A2" s="40" t="s">
        <v>78</v>
      </c>
      <c r="B2" s="40" t="s">
        <v>18</v>
      </c>
      <c r="C2" s="40" t="s">
        <v>79</v>
      </c>
      <c r="D2" s="40" t="s">
        <v>97</v>
      </c>
      <c r="E2" s="40" t="s">
        <v>96</v>
      </c>
      <c r="F2" s="40" t="s">
        <v>98</v>
      </c>
    </row>
    <row r="3" spans="1:6" x14ac:dyDescent="0.25">
      <c r="A3" s="37" t="s">
        <v>61</v>
      </c>
      <c r="B3" s="37" t="s">
        <v>80</v>
      </c>
      <c r="C3" s="43">
        <v>298</v>
      </c>
      <c r="D3" s="43">
        <f>0.25*3.14*0.31*0.31</f>
        <v>7.5438500000000006E-2</v>
      </c>
      <c r="E3" s="43">
        <f>10</f>
        <v>10</v>
      </c>
      <c r="F3" s="43">
        <f>C3*D3*E3</f>
        <v>224.80673000000002</v>
      </c>
    </row>
    <row r="4" spans="1:6" x14ac:dyDescent="0.25">
      <c r="A4" s="37" t="s">
        <v>61</v>
      </c>
      <c r="B4" s="37" t="s">
        <v>81</v>
      </c>
      <c r="C4" s="43">
        <v>3</v>
      </c>
      <c r="D4" s="43">
        <f>0.8*0.8</f>
        <v>0.64000000000000012</v>
      </c>
      <c r="E4" s="43">
        <v>74</v>
      </c>
      <c r="F4" s="43">
        <f t="shared" ref="F4:F20" si="0">C4*D4*E4</f>
        <v>142.08000000000004</v>
      </c>
    </row>
    <row r="5" spans="1:6" x14ac:dyDescent="0.25">
      <c r="A5" s="37" t="s">
        <v>61</v>
      </c>
      <c r="B5" s="37" t="s">
        <v>81</v>
      </c>
      <c r="C5" s="43">
        <v>1</v>
      </c>
      <c r="D5" s="43">
        <f t="shared" ref="D5:D7" si="1">0.8*0.8</f>
        <v>0.64000000000000012</v>
      </c>
      <c r="E5" s="43">
        <v>72</v>
      </c>
      <c r="F5" s="43">
        <f t="shared" si="0"/>
        <v>46.080000000000013</v>
      </c>
    </row>
    <row r="6" spans="1:6" x14ac:dyDescent="0.25">
      <c r="A6" s="37" t="s">
        <v>61</v>
      </c>
      <c r="B6" s="37" t="s">
        <v>81</v>
      </c>
      <c r="C6" s="43">
        <v>1</v>
      </c>
      <c r="D6" s="43">
        <f t="shared" si="1"/>
        <v>0.64000000000000012</v>
      </c>
      <c r="E6" s="43">
        <v>35</v>
      </c>
      <c r="F6" s="43">
        <f t="shared" si="0"/>
        <v>22.400000000000006</v>
      </c>
    </row>
    <row r="7" spans="1:6" x14ac:dyDescent="0.25">
      <c r="A7" s="37" t="s">
        <v>61</v>
      </c>
      <c r="B7" s="37" t="s">
        <v>81</v>
      </c>
      <c r="C7" s="43">
        <v>2</v>
      </c>
      <c r="D7" s="43">
        <f t="shared" si="1"/>
        <v>0.64000000000000012</v>
      </c>
      <c r="E7" s="43">
        <v>10</v>
      </c>
      <c r="F7" s="43">
        <f t="shared" si="0"/>
        <v>12.800000000000002</v>
      </c>
    </row>
    <row r="8" spans="1:6" x14ac:dyDescent="0.25">
      <c r="A8" s="37" t="s">
        <v>61</v>
      </c>
      <c r="B8" s="37" t="s">
        <v>82</v>
      </c>
      <c r="C8" s="43">
        <v>12</v>
      </c>
      <c r="D8" s="43">
        <v>4</v>
      </c>
      <c r="E8" s="43">
        <v>0.9</v>
      </c>
      <c r="F8" s="43">
        <f t="shared" si="0"/>
        <v>43.2</v>
      </c>
    </row>
    <row r="9" spans="1:6" x14ac:dyDescent="0.25">
      <c r="A9" s="37" t="s">
        <v>61</v>
      </c>
      <c r="B9" s="37" t="s">
        <v>57</v>
      </c>
      <c r="C9" s="43">
        <v>1</v>
      </c>
      <c r="D9" s="43">
        <f>35*72</f>
        <v>2520</v>
      </c>
      <c r="E9" s="43">
        <v>0.25</v>
      </c>
      <c r="F9" s="43">
        <f t="shared" si="0"/>
        <v>630</v>
      </c>
    </row>
    <row r="10" spans="1:6" x14ac:dyDescent="0.25">
      <c r="A10" s="37" t="s">
        <v>61</v>
      </c>
      <c r="B10" s="37" t="s">
        <v>57</v>
      </c>
      <c r="C10" s="43">
        <v>1</v>
      </c>
      <c r="D10" s="43">
        <f>10*74</f>
        <v>740</v>
      </c>
      <c r="E10" s="43">
        <v>0.25</v>
      </c>
      <c r="F10" s="43">
        <f t="shared" si="0"/>
        <v>185</v>
      </c>
    </row>
    <row r="11" spans="1:6" x14ac:dyDescent="0.25">
      <c r="A11" s="37" t="s">
        <v>74</v>
      </c>
      <c r="B11" s="37" t="s">
        <v>83</v>
      </c>
      <c r="C11" s="43">
        <v>12</v>
      </c>
      <c r="D11" s="43">
        <f>0.01978</f>
        <v>1.9779999999999999E-2</v>
      </c>
      <c r="E11" s="43">
        <v>12</v>
      </c>
      <c r="F11" s="43">
        <f t="shared" si="0"/>
        <v>2.8483199999999997</v>
      </c>
    </row>
    <row r="12" spans="1:6" x14ac:dyDescent="0.25">
      <c r="A12" s="37" t="s">
        <v>74</v>
      </c>
      <c r="B12" s="37" t="s">
        <v>84</v>
      </c>
      <c r="C12" s="43">
        <v>16</v>
      </c>
      <c r="D12" s="43">
        <f>0.0113</f>
        <v>1.1299999999999999E-2</v>
      </c>
      <c r="E12" s="43">
        <v>12</v>
      </c>
      <c r="F12" s="43">
        <f t="shared" si="0"/>
        <v>2.1696</v>
      </c>
    </row>
    <row r="13" spans="1:6" x14ac:dyDescent="0.25">
      <c r="A13" s="37" t="s">
        <v>74</v>
      </c>
      <c r="B13" s="37" t="s">
        <v>85</v>
      </c>
      <c r="C13" s="43">
        <f>27*3</f>
        <v>81</v>
      </c>
      <c r="D13" s="43">
        <f>0.0124</f>
        <v>1.24E-2</v>
      </c>
      <c r="E13" s="43">
        <v>2.95</v>
      </c>
      <c r="F13" s="43">
        <f t="shared" si="0"/>
        <v>2.9629799999999999</v>
      </c>
    </row>
    <row r="14" spans="1:6" x14ac:dyDescent="0.25">
      <c r="A14" s="37" t="s">
        <v>61</v>
      </c>
      <c r="B14" s="37" t="s">
        <v>58</v>
      </c>
      <c r="C14" s="43">
        <v>1</v>
      </c>
      <c r="D14" s="43">
        <f>((8*7.2)*10) - 2*4*4</f>
        <v>544</v>
      </c>
      <c r="E14" s="43">
        <v>0.25</v>
      </c>
      <c r="F14" s="43">
        <f t="shared" si="0"/>
        <v>136</v>
      </c>
    </row>
    <row r="15" spans="1:6" x14ac:dyDescent="0.25">
      <c r="A15" s="37" t="s">
        <v>61</v>
      </c>
      <c r="B15" s="37" t="s">
        <v>59</v>
      </c>
      <c r="C15" s="43">
        <v>1</v>
      </c>
      <c r="D15" s="43">
        <f>D14+16.4*10</f>
        <v>708</v>
      </c>
      <c r="E15" s="43">
        <f>0.25</f>
        <v>0.25</v>
      </c>
      <c r="F15" s="43">
        <f t="shared" si="0"/>
        <v>177</v>
      </c>
    </row>
    <row r="16" spans="1:6" x14ac:dyDescent="0.25">
      <c r="A16" s="37" t="s">
        <v>74</v>
      </c>
      <c r="B16" s="37" t="s">
        <v>99</v>
      </c>
      <c r="C16" s="43">
        <f>21+2*26</f>
        <v>73</v>
      </c>
      <c r="D16" s="43">
        <v>1.5900000000000001E-2</v>
      </c>
      <c r="E16" s="43">
        <v>10</v>
      </c>
      <c r="F16" s="43">
        <f t="shared" si="0"/>
        <v>11.607000000000001</v>
      </c>
    </row>
    <row r="17" spans="1:6" x14ac:dyDescent="0.25">
      <c r="A17" s="37" t="s">
        <v>74</v>
      </c>
      <c r="B17" s="37" t="s">
        <v>100</v>
      </c>
      <c r="C17" s="43">
        <f>2*60+4*74</f>
        <v>416</v>
      </c>
      <c r="D17" s="43">
        <v>1.24E-2</v>
      </c>
      <c r="E17" s="43">
        <v>74</v>
      </c>
      <c r="F17" s="43">
        <f t="shared" si="0"/>
        <v>381.72159999999997</v>
      </c>
    </row>
    <row r="18" spans="1:6" x14ac:dyDescent="0.25">
      <c r="A18" s="37" t="s">
        <v>74</v>
      </c>
      <c r="B18" s="37" t="s">
        <v>101</v>
      </c>
      <c r="C18" s="43">
        <v>2</v>
      </c>
      <c r="D18" s="43">
        <v>1.1299999999999999E-2</v>
      </c>
      <c r="E18" s="43">
        <v>45</v>
      </c>
      <c r="F18" s="43">
        <f t="shared" si="0"/>
        <v>1.0169999999999999</v>
      </c>
    </row>
    <row r="19" spans="1:6" x14ac:dyDescent="0.25">
      <c r="A19" s="37" t="s">
        <v>74</v>
      </c>
      <c r="B19" s="37" t="s">
        <v>90</v>
      </c>
      <c r="C19" s="43">
        <v>15</v>
      </c>
      <c r="D19" s="43">
        <v>1.9800000000000002E-2</v>
      </c>
      <c r="E19" s="43">
        <v>72</v>
      </c>
      <c r="F19" s="43">
        <f t="shared" si="0"/>
        <v>21.384000000000004</v>
      </c>
    </row>
    <row r="20" spans="1:6" x14ac:dyDescent="0.25">
      <c r="A20" s="37" t="s">
        <v>91</v>
      </c>
      <c r="B20" s="37" t="s">
        <v>92</v>
      </c>
      <c r="C20" s="43">
        <v>3</v>
      </c>
      <c r="D20" s="43">
        <f>150*0.214</f>
        <v>32.1</v>
      </c>
      <c r="E20" s="43">
        <v>2.75</v>
      </c>
      <c r="F20" s="43">
        <f t="shared" si="0"/>
        <v>264.82500000000005</v>
      </c>
    </row>
    <row r="21" spans="1:6" x14ac:dyDescent="0.25">
      <c r="A21" s="37" t="s">
        <v>61</v>
      </c>
      <c r="B21" s="37" t="s">
        <v>93</v>
      </c>
      <c r="C21" s="43">
        <v>4</v>
      </c>
      <c r="D21" s="43">
        <f>8.25*18</f>
        <v>148.5</v>
      </c>
      <c r="E21" s="43">
        <f>0.07</f>
        <v>7.0000000000000007E-2</v>
      </c>
      <c r="F21" s="43">
        <f>E21*D21*C21</f>
        <v>41.580000000000005</v>
      </c>
    </row>
    <row r="22" spans="1:6" x14ac:dyDescent="0.25">
      <c r="A22" s="37" t="s">
        <v>61</v>
      </c>
      <c r="B22" s="37" t="s">
        <v>94</v>
      </c>
      <c r="C22" s="43">
        <v>4</v>
      </c>
      <c r="D22" s="43">
        <f>5.5*18</f>
        <v>99</v>
      </c>
      <c r="E22" s="43">
        <f t="shared" ref="E22:E23" si="2">0.07</f>
        <v>7.0000000000000007E-2</v>
      </c>
      <c r="F22" s="43">
        <f t="shared" ref="F22:F23" si="3">E22*D22*C22</f>
        <v>27.720000000000002</v>
      </c>
    </row>
    <row r="23" spans="1:6" x14ac:dyDescent="0.25">
      <c r="A23" s="37" t="s">
        <v>61</v>
      </c>
      <c r="B23" s="37" t="s">
        <v>95</v>
      </c>
      <c r="C23" s="43">
        <v>4</v>
      </c>
      <c r="D23" s="43">
        <f>10.25*18</f>
        <v>184.5</v>
      </c>
      <c r="E23" s="43">
        <f t="shared" si="2"/>
        <v>7.0000000000000007E-2</v>
      </c>
      <c r="F23" s="43">
        <f t="shared" si="3"/>
        <v>51.660000000000004</v>
      </c>
    </row>
  </sheetData>
  <mergeCells count="1">
    <mergeCell ref="A1:F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7C22B-D73C-42E3-A7A7-8F68405AE0B4}">
  <sheetPr>
    <tabColor rgb="FF00B0F0"/>
  </sheetPr>
  <dimension ref="B1:P36"/>
  <sheetViews>
    <sheetView topLeftCell="A6" zoomScale="79" zoomScaleNormal="100" workbookViewId="0">
      <selection activeCell="M16" sqref="M16"/>
    </sheetView>
  </sheetViews>
  <sheetFormatPr defaultRowHeight="20.100000000000001" customHeight="1" x14ac:dyDescent="0.25"/>
  <cols>
    <col min="1" max="1" width="3.7109375" style="2" customWidth="1"/>
    <col min="2" max="2" width="27.85546875" style="2" bestFit="1" customWidth="1"/>
    <col min="3" max="3" width="35.7109375" style="2" customWidth="1"/>
    <col min="4" max="4" width="60.7109375" style="2" customWidth="1"/>
    <col min="5" max="9" width="15.7109375" style="3" customWidth="1"/>
    <col min="10" max="10" width="9.140625" style="2" customWidth="1"/>
    <col min="11" max="16384" width="9.140625" style="2"/>
  </cols>
  <sheetData>
    <row r="1" spans="2:11" ht="20.100000000000001" customHeight="1" thickBot="1" x14ac:dyDescent="0.3"/>
    <row r="2" spans="2:11" ht="20.100000000000001" customHeight="1" x14ac:dyDescent="0.25">
      <c r="B2" s="4" t="s">
        <v>28</v>
      </c>
      <c r="C2" s="2" t="s">
        <v>75</v>
      </c>
      <c r="F2" s="20"/>
      <c r="G2" s="21" t="s">
        <v>26</v>
      </c>
      <c r="H2" s="26" t="s">
        <v>27</v>
      </c>
      <c r="I2" s="22"/>
    </row>
    <row r="3" spans="2:11" ht="20.100000000000001" customHeight="1" x14ac:dyDescent="0.25">
      <c r="B3" s="4"/>
      <c r="F3" s="15" t="s">
        <v>2</v>
      </c>
      <c r="G3" s="13">
        <f>TblSteel[[#Totals],[GWP (A1-A3)
'[kg CO2e']]]</f>
        <v>5364692.1629339987</v>
      </c>
      <c r="H3" s="32">
        <f>G3/$C$5</f>
        <v>1172.354056585227</v>
      </c>
      <c r="I3" s="25" t="s">
        <v>22</v>
      </c>
    </row>
    <row r="4" spans="2:11" ht="20.100000000000001" customHeight="1" x14ac:dyDescent="0.25">
      <c r="B4" s="4" t="s">
        <v>34</v>
      </c>
      <c r="C4" s="2">
        <v>50</v>
      </c>
      <c r="D4" s="2" t="s">
        <v>36</v>
      </c>
      <c r="F4" s="15" t="s">
        <v>3</v>
      </c>
      <c r="G4" s="13">
        <f>TblSteel[[#Totals],[ECI
'[€']]]</f>
        <v>201862.18178930003</v>
      </c>
      <c r="H4" s="32">
        <f>G4/$C$5</f>
        <v>44.113239027382001</v>
      </c>
      <c r="I4" s="25" t="s">
        <v>44</v>
      </c>
    </row>
    <row r="5" spans="2:11" ht="20.100000000000001" customHeight="1" thickBot="1" x14ac:dyDescent="0.3">
      <c r="B5" s="4" t="s">
        <v>33</v>
      </c>
      <c r="C5" s="2">
        <f>72*35 + 74*10*2 + (7.2*8)*10</f>
        <v>4576</v>
      </c>
      <c r="D5" s="2" t="s">
        <v>35</v>
      </c>
      <c r="F5" s="16" t="s">
        <v>31</v>
      </c>
      <c r="G5" s="17"/>
      <c r="H5" s="28">
        <f>H4/$C$4</f>
        <v>0.88226478054764002</v>
      </c>
      <c r="I5" s="27" t="s">
        <v>45</v>
      </c>
    </row>
    <row r="7" spans="2:11" ht="20.100000000000001" customHeight="1" x14ac:dyDescent="0.25">
      <c r="G7" s="12"/>
    </row>
    <row r="8" spans="2:11" ht="30" x14ac:dyDescent="0.25">
      <c r="B8" s="24" t="s">
        <v>32</v>
      </c>
      <c r="C8" s="2" t="s">
        <v>18</v>
      </c>
      <c r="D8" s="2" t="s">
        <v>0</v>
      </c>
      <c r="E8" s="9" t="s">
        <v>23</v>
      </c>
      <c r="F8" s="9" t="s">
        <v>19</v>
      </c>
      <c r="G8" s="9" t="s">
        <v>20</v>
      </c>
      <c r="H8" s="9" t="s">
        <v>24</v>
      </c>
      <c r="I8" s="9" t="s">
        <v>25</v>
      </c>
    </row>
    <row r="9" spans="2:11" ht="20.100000000000001" customHeight="1" x14ac:dyDescent="0.25">
      <c r="B9" s="23" t="s">
        <v>38</v>
      </c>
      <c r="C9" s="11" t="str">
        <f>Steel!B3</f>
        <v>Foundation piles</v>
      </c>
      <c r="D9" s="31" t="s">
        <v>110</v>
      </c>
      <c r="E9" s="3" t="s">
        <v>21</v>
      </c>
      <c r="F9" s="57">
        <f>Steel!F3</f>
        <v>224.80673000000002</v>
      </c>
      <c r="G9" s="10">
        <v>100</v>
      </c>
      <c r="H9"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64249.763434000008</v>
      </c>
      <c r="I9"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6105.7507868000002</v>
      </c>
      <c r="K9" s="18" t="s">
        <v>29</v>
      </c>
    </row>
    <row r="10" spans="2:11" ht="20.100000000000001" customHeight="1" x14ac:dyDescent="0.25">
      <c r="B10" s="23" t="s">
        <v>39</v>
      </c>
      <c r="C10" s="11" t="str">
        <f>Steel!B4</f>
        <v>Foundation strips</v>
      </c>
      <c r="D10" s="31" t="s">
        <v>110</v>
      </c>
      <c r="E10" s="3" t="s">
        <v>21</v>
      </c>
      <c r="F10" s="57">
        <f>Steel!F4</f>
        <v>142.08000000000004</v>
      </c>
      <c r="G10" s="10">
        <v>150</v>
      </c>
      <c r="H10"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50338.944000000018</v>
      </c>
      <c r="I10"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4782.4128000000019</v>
      </c>
      <c r="K10" s="18" t="s">
        <v>30</v>
      </c>
    </row>
    <row r="11" spans="2:11" ht="20.100000000000001" customHeight="1" x14ac:dyDescent="0.25">
      <c r="B11" s="23" t="s">
        <v>39</v>
      </c>
      <c r="C11" s="11" t="str">
        <f>Steel!B5</f>
        <v>Foundation strips</v>
      </c>
      <c r="D11" s="31" t="s">
        <v>110</v>
      </c>
      <c r="E11" s="3" t="s">
        <v>21</v>
      </c>
      <c r="F11" s="57">
        <f>Steel!F5</f>
        <v>46.080000000000013</v>
      </c>
      <c r="G11" s="10">
        <v>150</v>
      </c>
      <c r="H11"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16326.144000000004</v>
      </c>
      <c r="I11"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1551.0528000000004</v>
      </c>
    </row>
    <row r="12" spans="2:11" ht="20.100000000000001" customHeight="1" x14ac:dyDescent="0.25">
      <c r="B12" s="23" t="s">
        <v>39</v>
      </c>
      <c r="C12" s="11" t="str">
        <f>Steel!B6</f>
        <v>Foundation strips</v>
      </c>
      <c r="D12" s="31" t="s">
        <v>110</v>
      </c>
      <c r="E12" s="3" t="s">
        <v>21</v>
      </c>
      <c r="F12" s="57">
        <f>Steel!F6</f>
        <v>22.400000000000006</v>
      </c>
      <c r="G12" s="10">
        <v>150</v>
      </c>
      <c r="H12"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7936.3200000000024</v>
      </c>
      <c r="I12"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753.98400000000015</v>
      </c>
    </row>
    <row r="13" spans="2:11" ht="20.100000000000001" customHeight="1" x14ac:dyDescent="0.25">
      <c r="B13" s="23" t="s">
        <v>39</v>
      </c>
      <c r="C13" s="11" t="str">
        <f>Steel!B7</f>
        <v>Foundation strips</v>
      </c>
      <c r="D13" s="31" t="s">
        <v>110</v>
      </c>
      <c r="E13" s="3" t="s">
        <v>21</v>
      </c>
      <c r="F13" s="57">
        <f>Steel!F7</f>
        <v>12.800000000000002</v>
      </c>
      <c r="G13" s="10">
        <v>150</v>
      </c>
      <c r="H13"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4535.0400000000009</v>
      </c>
      <c r="I13"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430.84800000000013</v>
      </c>
    </row>
    <row r="14" spans="2:11" ht="20.100000000000001" customHeight="1" x14ac:dyDescent="0.25">
      <c r="B14" s="23" t="s">
        <v>39</v>
      </c>
      <c r="C14" s="11" t="str">
        <f>Steel!B8</f>
        <v>Pours</v>
      </c>
      <c r="D14" s="31" t="s">
        <v>110</v>
      </c>
      <c r="E14" s="3" t="s">
        <v>21</v>
      </c>
      <c r="F14" s="57">
        <f>Steel!F8</f>
        <v>43.2</v>
      </c>
      <c r="G14" s="10">
        <v>125</v>
      </c>
      <c r="H14"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13826.16</v>
      </c>
      <c r="I14"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1313.712</v>
      </c>
    </row>
    <row r="15" spans="2:11" ht="20.100000000000001" customHeight="1" x14ac:dyDescent="0.25">
      <c r="B15" s="23" t="s">
        <v>41</v>
      </c>
      <c r="C15" s="11" t="str">
        <f>Steel!B9</f>
        <v>Ground Floor</v>
      </c>
      <c r="D15" s="31" t="s">
        <v>110</v>
      </c>
      <c r="E15" s="3" t="s">
        <v>21</v>
      </c>
      <c r="F15" s="57">
        <f>Steel!F9</f>
        <v>630</v>
      </c>
      <c r="G15" s="10">
        <v>120</v>
      </c>
      <c r="H15"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197316</v>
      </c>
      <c r="I15"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18748.8</v>
      </c>
    </row>
    <row r="16" spans="2:11" ht="20.100000000000001" customHeight="1" x14ac:dyDescent="0.25">
      <c r="B16" s="23" t="s">
        <v>41</v>
      </c>
      <c r="C16" s="11" t="str">
        <f>Steel!B10</f>
        <v>Ground Floor</v>
      </c>
      <c r="D16" s="31" t="s">
        <v>110</v>
      </c>
      <c r="E16" s="3" t="s">
        <v>21</v>
      </c>
      <c r="F16" s="57">
        <f>Steel!F10</f>
        <v>185</v>
      </c>
      <c r="G16" s="10">
        <v>120</v>
      </c>
      <c r="H16"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57942</v>
      </c>
      <c r="I16"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5505.6</v>
      </c>
    </row>
    <row r="17" spans="2:16" ht="20.100000000000001" customHeight="1" x14ac:dyDescent="0.25">
      <c r="B17" s="23" t="s">
        <v>40</v>
      </c>
      <c r="C17" s="11" t="str">
        <f>Steel!B11</f>
        <v>Inner Columns</v>
      </c>
      <c r="D17" s="31" t="s">
        <v>64</v>
      </c>
      <c r="E17" s="3" t="s">
        <v>21</v>
      </c>
      <c r="F17" s="57">
        <f>Steel!F11</f>
        <v>2.8483199999999997</v>
      </c>
      <c r="G17" s="10"/>
      <c r="H17"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25266.022559999994</v>
      </c>
      <c r="I17"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789.28371359999994</v>
      </c>
    </row>
    <row r="18" spans="2:16" ht="20.100000000000001" customHeight="1" x14ac:dyDescent="0.25">
      <c r="B18" s="23" t="s">
        <v>40</v>
      </c>
      <c r="C18" s="11" t="str">
        <f>Steel!B12</f>
        <v>Outer Columns</v>
      </c>
      <c r="D18" s="31" t="s">
        <v>64</v>
      </c>
      <c r="E18" s="3" t="s">
        <v>21</v>
      </c>
      <c r="F18" s="57">
        <f>Steel!F12</f>
        <v>2.1696</v>
      </c>
      <c r="G18" s="10"/>
      <c r="H18"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19245.436799999999</v>
      </c>
      <c r="I18"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601.20700799999997</v>
      </c>
    </row>
    <row r="19" spans="2:16" ht="20.100000000000001" customHeight="1" x14ac:dyDescent="0.25">
      <c r="B19" s="23" t="s">
        <v>40</v>
      </c>
      <c r="C19" s="11" t="str">
        <f>Steel!B13</f>
        <v>Office Columns</v>
      </c>
      <c r="D19" s="31" t="s">
        <v>64</v>
      </c>
      <c r="E19" s="3" t="s">
        <v>21</v>
      </c>
      <c r="F19" s="57">
        <f>Steel!F13</f>
        <v>2.9629799999999999</v>
      </c>
      <c r="G19" s="10"/>
      <c r="H19"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26283.114089999999</v>
      </c>
      <c r="I19"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821.05657289999999</v>
      </c>
    </row>
    <row r="20" spans="2:16" ht="20.100000000000001" customHeight="1" x14ac:dyDescent="0.25">
      <c r="B20" s="23" t="s">
        <v>41</v>
      </c>
      <c r="C20" s="11" t="str">
        <f>Steel!B14</f>
        <v>First Floor</v>
      </c>
      <c r="D20" s="31" t="s">
        <v>110</v>
      </c>
      <c r="E20" s="3" t="s">
        <v>21</v>
      </c>
      <c r="F20" s="57">
        <f>Steel!F14</f>
        <v>136</v>
      </c>
      <c r="G20" s="10">
        <v>80</v>
      </c>
      <c r="H20"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35142.400000000001</v>
      </c>
      <c r="I20"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3340.16</v>
      </c>
    </row>
    <row r="21" spans="2:16" ht="20.100000000000001" customHeight="1" x14ac:dyDescent="0.25">
      <c r="B21" s="23" t="s">
        <v>41</v>
      </c>
      <c r="C21" s="11" t="str">
        <f>Steel!B15</f>
        <v>Second Floor</v>
      </c>
      <c r="D21" s="31" t="s">
        <v>110</v>
      </c>
      <c r="E21" s="3" t="s">
        <v>21</v>
      </c>
      <c r="F21" s="57">
        <f>Steel!F15</f>
        <v>177</v>
      </c>
      <c r="G21" s="10">
        <v>80</v>
      </c>
      <c r="H21"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45736.800000000003</v>
      </c>
      <c r="I21"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4347.12</v>
      </c>
      <c r="K21" s="18" t="s">
        <v>53</v>
      </c>
      <c r="L21" s="18"/>
      <c r="M21" s="18" t="s">
        <v>51</v>
      </c>
    </row>
    <row r="22" spans="2:16" ht="20.100000000000001" customHeight="1" x14ac:dyDescent="0.25">
      <c r="B22" s="23" t="s">
        <v>40</v>
      </c>
      <c r="C22" s="11" t="str">
        <f>Steel!B16</f>
        <v>Office beam, width</v>
      </c>
      <c r="D22" s="31" t="s">
        <v>64</v>
      </c>
      <c r="E22" s="3" t="s">
        <v>21</v>
      </c>
      <c r="F22" s="57">
        <f>Steel!F16</f>
        <v>11.607000000000001</v>
      </c>
      <c r="G22" s="10"/>
      <c r="H22"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102959.89350000001</v>
      </c>
      <c r="I22"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3216.357735</v>
      </c>
      <c r="K22" s="18"/>
      <c r="L22" s="18"/>
      <c r="M22" s="18" t="s">
        <v>31</v>
      </c>
    </row>
    <row r="23" spans="2:16" ht="20.100000000000001" customHeight="1" x14ac:dyDescent="0.25">
      <c r="B23" s="23" t="s">
        <v>40</v>
      </c>
      <c r="C23" s="11" t="str">
        <f>Steel!B17</f>
        <v>Office beam, length</v>
      </c>
      <c r="D23" s="31" t="s">
        <v>64</v>
      </c>
      <c r="E23" s="3" t="s">
        <v>21</v>
      </c>
      <c r="F23" s="57">
        <f>Steel!F17</f>
        <v>381.72159999999997</v>
      </c>
      <c r="G23" s="10"/>
      <c r="H23"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3386061.4527999992</v>
      </c>
      <c r="I23"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105776.96396799998</v>
      </c>
    </row>
    <row r="24" spans="2:16" ht="20.100000000000001" customHeight="1" x14ac:dyDescent="0.25">
      <c r="B24" s="23" t="s">
        <v>40</v>
      </c>
      <c r="C24" s="11" t="str">
        <f>Steel!B18</f>
        <v>Roof beam, width</v>
      </c>
      <c r="D24" s="31" t="s">
        <v>64</v>
      </c>
      <c r="E24" s="3" t="s">
        <v>21</v>
      </c>
      <c r="F24" s="57">
        <f>Steel!F18</f>
        <v>1.0169999999999999</v>
      </c>
      <c r="G24" s="10"/>
      <c r="H24"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9021.2984999999971</v>
      </c>
      <c r="I24"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281.81578499999995</v>
      </c>
      <c r="K24" s="4"/>
      <c r="L24" s="4"/>
      <c r="M24" s="5" t="s">
        <v>51</v>
      </c>
      <c r="N24" s="33" t="s">
        <v>52</v>
      </c>
      <c r="O24" s="5" t="s">
        <v>3</v>
      </c>
      <c r="P24" s="5" t="s">
        <v>31</v>
      </c>
    </row>
    <row r="25" spans="2:16" ht="20.100000000000001" customHeight="1" x14ac:dyDescent="0.25">
      <c r="B25" s="23" t="s">
        <v>40</v>
      </c>
      <c r="C25" s="11" t="str">
        <f>Steel!B19</f>
        <v>Roof beam, length</v>
      </c>
      <c r="D25" s="31" t="s">
        <v>64</v>
      </c>
      <c r="E25" s="3" t="s">
        <v>21</v>
      </c>
      <c r="F25" s="57">
        <f>Steel!F19</f>
        <v>21.384000000000004</v>
      </c>
      <c r="G25" s="10"/>
      <c r="H25"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189686.772</v>
      </c>
      <c r="I25"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5925.6133200000004</v>
      </c>
      <c r="K25" s="2" t="str">
        <f>'Building params'!C3</f>
        <v>Piling</v>
      </c>
      <c r="M25" s="13">
        <f>SUMIFS(TblSteel[GWP (A1-A3)
'[kg CO2e']],TblSteel[Category],K25)</f>
        <v>64249.763434000008</v>
      </c>
      <c r="N25" s="32">
        <f>M25/$C$5</f>
        <v>14.04059515603147</v>
      </c>
      <c r="O25" s="13">
        <f>SUMIFS(TblSteel[ECI
'[€']],TblSteel[Category],K25)</f>
        <v>6105.7507868000002</v>
      </c>
      <c r="P25" s="8">
        <f>O25/$C$5/$C$4</f>
        <v>2.6685973718531472E-2</v>
      </c>
    </row>
    <row r="26" spans="2:16" ht="20.100000000000001" customHeight="1" x14ac:dyDescent="0.25">
      <c r="B26" s="23" t="s">
        <v>42</v>
      </c>
      <c r="C26" s="11" t="str">
        <f>Steel!B20</f>
        <v>Walls</v>
      </c>
      <c r="D26" s="31" t="s">
        <v>108</v>
      </c>
      <c r="E26" s="3" t="s">
        <v>21</v>
      </c>
      <c r="F26" s="57">
        <f>Steel!F20</f>
        <v>264.82500000000005</v>
      </c>
      <c r="G26" s="10"/>
      <c r="H26"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39842.921250000007</v>
      </c>
      <c r="I26"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4051.8225000000002</v>
      </c>
      <c r="K26" s="2" t="str">
        <f>'Building params'!C4</f>
        <v>Substructure</v>
      </c>
      <c r="M26" s="13">
        <f>SUMIFS(TblSteel[GWP (A1-A3)
'[kg CO2e']],TblSteel[Category],K26)</f>
        <v>92962.608000000037</v>
      </c>
      <c r="N26" s="32">
        <f t="shared" ref="N26:N30" si="0">M26/$C$5</f>
        <v>20.315255244755253</v>
      </c>
      <c r="O26" s="13">
        <f>SUMIFS(TblSteel[ECI
'[€']],TblSteel[Category],K26)</f>
        <v>8832.009600000003</v>
      </c>
      <c r="P26" s="8">
        <f t="shared" ref="P26:P30" si="1">O26/$C$5/$C$4</f>
        <v>3.8601440559440571E-2</v>
      </c>
    </row>
    <row r="27" spans="2:16" ht="20.100000000000001" customHeight="1" x14ac:dyDescent="0.25">
      <c r="B27" s="23" t="s">
        <v>41</v>
      </c>
      <c r="C27" s="11" t="str">
        <f>Steel!B21</f>
        <v>Roof panels, 1</v>
      </c>
      <c r="D27" s="31" t="s">
        <v>64</v>
      </c>
      <c r="E27" s="3" t="s">
        <v>21</v>
      </c>
      <c r="F27" s="57">
        <f>Steel!F21</f>
        <v>41.580000000000005</v>
      </c>
      <c r="G27" s="10"/>
      <c r="H27"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368835.39</v>
      </c>
      <c r="I27"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11522.025900000001</v>
      </c>
      <c r="K27" s="2" t="str">
        <f>'Building params'!C5</f>
        <v>Structural frame</v>
      </c>
      <c r="M27" s="13">
        <f>SUMIFS(TblSteel[GWP (A1-A3)
'[kg CO2e']],TblSteel[Category],K27)</f>
        <v>3758523.9902499989</v>
      </c>
      <c r="N27" s="32">
        <f t="shared" si="0"/>
        <v>821.35576710008718</v>
      </c>
      <c r="O27" s="13">
        <f>SUMIFS(TblSteel[ECI
'[€']],TblSteel[Category],K27)</f>
        <v>117412.29810249999</v>
      </c>
      <c r="P27" s="8">
        <f t="shared" si="1"/>
        <v>0.51316563855987762</v>
      </c>
    </row>
    <row r="28" spans="2:16" ht="20.100000000000001" customHeight="1" x14ac:dyDescent="0.25">
      <c r="B28" s="23" t="s">
        <v>41</v>
      </c>
      <c r="C28" s="11" t="str">
        <f>Steel!B22</f>
        <v>Roof panels, 2</v>
      </c>
      <c r="D28" s="31" t="s">
        <v>64</v>
      </c>
      <c r="E28" s="3" t="s">
        <v>21</v>
      </c>
      <c r="F28" s="57">
        <f>Steel!F22</f>
        <v>27.720000000000002</v>
      </c>
      <c r="G28" s="10"/>
      <c r="H28"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245890.26</v>
      </c>
      <c r="I28"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7681.3506000000007</v>
      </c>
      <c r="K28" s="2" t="str">
        <f>'Building params'!C6</f>
        <v>Floors/roof</v>
      </c>
      <c r="M28" s="13">
        <f>SUMIFS(TblSteel[GWP (A1-A3)
'[kg CO2e']],TblSteel[Category],K28)</f>
        <v>1409112.8800000001</v>
      </c>
      <c r="N28" s="32">
        <f t="shared" si="0"/>
        <v>307.93550699300704</v>
      </c>
      <c r="O28" s="13">
        <f>SUMIFS(TblSteel[ECI
'[€']],TblSteel[Category],K28)</f>
        <v>65460.300799999997</v>
      </c>
      <c r="P28" s="8">
        <f t="shared" si="1"/>
        <v>0.28610271328671327</v>
      </c>
    </row>
    <row r="29" spans="2:16" ht="20.100000000000001" customHeight="1" x14ac:dyDescent="0.25">
      <c r="B29" s="23" t="s">
        <v>41</v>
      </c>
      <c r="C29" s="11" t="str">
        <f>Steel!B23</f>
        <v>Roof panels, 3</v>
      </c>
      <c r="D29" s="31" t="s">
        <v>64</v>
      </c>
      <c r="E29" s="3" t="s">
        <v>21</v>
      </c>
      <c r="F29" s="57">
        <f>Steel!F23</f>
        <v>51.660000000000004</v>
      </c>
      <c r="G29" s="10"/>
      <c r="H29" s="13">
        <f>IF(TblSteel[[#This Row],[Volume '[m3'] 
or mass '[kg']]]="",0,IF(TblSteel[[#This Row],[Volume '[m3'] 
or mass '[kg']]]="m3",VLOOKUP(TblSteel[[#This Row],[Material]],Tbl_MatData[],2,FALSE)*TblSteel[[#This Row],[Quantity
'[m3 or kg']]]*VLOOKUP(TblSteel[[#This Row],[Material]],Tbl_MatData[],3,FALSE), TblSteel[[#This Row],[Quantity
'[m3 or kg']]]*VLOOKUP(TblSteel[[#This Row],[Material]],Tbl_MatData[],3,FALSE)))+TblSteel[[#This Row],[Quantity
'[m3 or kg']]]*TblSteel[[#This Row],[Reinforcement
'[kg/m3']]]*'LCA Material data'!$D$8</f>
        <v>458250.02999999997</v>
      </c>
      <c r="I29" s="38">
        <f>IF(TblSteel[[#This Row],[Volume '[m3'] 
or mass '[kg']]]="",0,IF(TblSteel[[#This Row],[Volume '[m3'] 
or mass '[kg']]]="m3",VLOOKUP(TblSteel[[#This Row],[Material]],Tbl_MatData[],2,FALSE)*TblSteel[[#This Row],[Quantity
'[m3 or kg']]]*VLOOKUP(TblSteel[[#This Row],[Material]],Tbl_MatData[],4,FALSE), TblSteel[[#This Row],[Quantity
'[m3 or kg']]]*VLOOKUP(TblSteel[[#This Row],[Material]],Tbl_MatData[],4,FALSE)))+TblSteel[[#This Row],[Quantity
'[m3 or kg']]]*TblSteel[[#This Row],[Reinforcement
'[kg/m3']]]*'LCA Material data'!$E$8</f>
        <v>14315.244299999998</v>
      </c>
      <c r="K29" s="2" t="str">
        <f>'Building params'!C7</f>
        <v>Structural walls</v>
      </c>
      <c r="M29" s="13">
        <f>SUMIFS(TblSteel[GWP (A1-A3)
'[kg CO2e']],TblSteel[Category],K29)</f>
        <v>39842.921250000007</v>
      </c>
      <c r="N29" s="32">
        <f t="shared" si="0"/>
        <v>8.7069320913461556</v>
      </c>
      <c r="O29" s="13">
        <f>SUMIFS(TblSteel[ECI
'[€']],TblSteel[Category],K29)</f>
        <v>4051.8225000000002</v>
      </c>
      <c r="P29" s="8">
        <f t="shared" si="1"/>
        <v>1.7709014423076923E-2</v>
      </c>
    </row>
    <row r="30" spans="2:16" ht="20.100000000000001" customHeight="1" x14ac:dyDescent="0.25">
      <c r="B30" s="4" t="s">
        <v>26</v>
      </c>
      <c r="C30" s="4"/>
      <c r="D30" s="30"/>
      <c r="E30" s="5"/>
      <c r="F30" s="5"/>
      <c r="G30" s="5"/>
      <c r="H30" s="19">
        <f>SUBTOTAL(109,TblSteel[GWP (A1-A3)
'[kg CO2e']])</f>
        <v>5364692.1629339987</v>
      </c>
      <c r="I30" s="39">
        <f>SUBTOTAL(109,TblSteel[ECI
'[€']])</f>
        <v>201862.18178930003</v>
      </c>
      <c r="K30" s="2" t="str">
        <f>'Building params'!C8</f>
        <v>Other</v>
      </c>
      <c r="M30" s="13">
        <f>SUMIFS(TblSteel[GWP (A1-A3)
'[kg CO2e']],TblSteel[Category],K30)</f>
        <v>0</v>
      </c>
      <c r="N30" s="32">
        <f t="shared" si="0"/>
        <v>0</v>
      </c>
      <c r="O30" s="13">
        <f>SUMIFS(TblSteel[ECI
'[€']],TblSteel[Category],K30)</f>
        <v>0</v>
      </c>
      <c r="P30" s="8">
        <f t="shared" si="1"/>
        <v>0</v>
      </c>
    </row>
    <row r="31" spans="2:16" ht="20.100000000000001" customHeight="1" x14ac:dyDescent="0.25">
      <c r="B31" s="30"/>
      <c r="C31" s="4"/>
      <c r="D31" s="4"/>
      <c r="E31" s="5"/>
      <c r="F31" s="5" t="s">
        <v>49</v>
      </c>
      <c r="G31" s="5"/>
      <c r="H31" s="19"/>
      <c r="I31" s="19"/>
    </row>
    <row r="32" spans="2:16" ht="20.100000000000001" customHeight="1" x14ac:dyDescent="0.25">
      <c r="C32" s="14"/>
      <c r="F32" s="29" t="s">
        <v>47</v>
      </c>
    </row>
    <row r="33" spans="2:6" ht="20.100000000000001" customHeight="1" x14ac:dyDescent="0.25">
      <c r="F33" s="29" t="s">
        <v>46</v>
      </c>
    </row>
    <row r="34" spans="2:6" ht="20.100000000000001" customHeight="1" x14ac:dyDescent="0.25">
      <c r="F34" s="29" t="s">
        <v>48</v>
      </c>
    </row>
    <row r="36" spans="2:6" ht="20.100000000000001" customHeight="1" x14ac:dyDescent="0.25">
      <c r="B36" s="4" t="s">
        <v>50</v>
      </c>
    </row>
  </sheetData>
  <phoneticPr fontId="9" type="noConversion"/>
  <dataValidations count="4">
    <dataValidation type="list" allowBlank="1" showInputMessage="1" showErrorMessage="1" sqref="E31 E9:E29" xr:uid="{45DEBB88-A3A8-44FF-9AD8-270708F9F383}">
      <formula1>"m3,kg"</formula1>
    </dataValidation>
    <dataValidation type="list" allowBlank="1" showInputMessage="1" showErrorMessage="1" sqref="D31 D9:D29" xr:uid="{EA28D621-B181-4FA7-98C0-CDF518316341}">
      <formula1>INDIRECT("Tbl_MatData[Material]")</formula1>
    </dataValidation>
    <dataValidation type="list" allowBlank="1" showInputMessage="1" showErrorMessage="1" sqref="B9:B29 B31" xr:uid="{EE1C13FD-E1C0-4A5E-9A8E-96E068AE7E7C}">
      <formula1>INDIRECT("Tbl_Param_Cat[Category]")</formula1>
    </dataValidation>
    <dataValidation type="list" allowBlank="1" showInputMessage="1" showErrorMessage="1" sqref="C4" xr:uid="{2EA9BA9A-99C9-4E11-90F0-543983E2140E}">
      <formula1>"50,75"</formula1>
    </dataValidation>
  </dataValidations>
  <pageMargins left="0.7" right="0.7" top="0.75" bottom="0.75" header="0.3" footer="0.3"/>
  <pageSetup paperSize="0"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68461-3BC1-432D-85C9-C2C8AC7CEB87}">
  <sheetPr>
    <tabColor rgb="FF92D050"/>
  </sheetPr>
  <dimension ref="A1:F23"/>
  <sheetViews>
    <sheetView workbookViewId="0">
      <selection activeCell="H26" sqref="H26"/>
    </sheetView>
  </sheetViews>
  <sheetFormatPr defaultRowHeight="15" x14ac:dyDescent="0.25"/>
  <cols>
    <col min="1" max="1" width="9.140625" bestFit="1" customWidth="1"/>
    <col min="2" max="2" width="21.42578125" bestFit="1" customWidth="1"/>
    <col min="3" max="3" width="8.7109375" bestFit="1" customWidth="1"/>
    <col min="4" max="4" width="10.5703125" bestFit="1" customWidth="1"/>
    <col min="5" max="5" width="22.85546875" bestFit="1" customWidth="1"/>
    <col min="6" max="6" width="13.5703125" bestFit="1" customWidth="1"/>
  </cols>
  <sheetData>
    <row r="1" spans="1:6" x14ac:dyDescent="0.25">
      <c r="A1" s="62" t="s">
        <v>60</v>
      </c>
      <c r="B1" s="62"/>
      <c r="C1" s="62"/>
      <c r="D1" s="62"/>
      <c r="E1" s="62"/>
      <c r="F1" s="62"/>
    </row>
    <row r="2" spans="1:6" ht="16.5" x14ac:dyDescent="0.25">
      <c r="A2" s="40" t="s">
        <v>78</v>
      </c>
      <c r="B2" s="40" t="s">
        <v>18</v>
      </c>
      <c r="C2" s="40" t="s">
        <v>79</v>
      </c>
      <c r="D2" s="40" t="s">
        <v>97</v>
      </c>
      <c r="E2" s="40" t="s">
        <v>96</v>
      </c>
      <c r="F2" s="40" t="s">
        <v>98</v>
      </c>
    </row>
    <row r="3" spans="1:6" x14ac:dyDescent="0.25">
      <c r="A3" s="42" t="s">
        <v>61</v>
      </c>
      <c r="B3" s="42" t="s">
        <v>80</v>
      </c>
      <c r="C3" s="41">
        <v>298</v>
      </c>
      <c r="D3" s="41">
        <f>0.25*3.14*0.31*0.31</f>
        <v>7.5438500000000006E-2</v>
      </c>
      <c r="E3" s="41">
        <f>10</f>
        <v>10</v>
      </c>
      <c r="F3" s="41">
        <f>C3*D3*E3</f>
        <v>224.80673000000002</v>
      </c>
    </row>
    <row r="4" spans="1:6" x14ac:dyDescent="0.25">
      <c r="A4" s="42" t="s">
        <v>61</v>
      </c>
      <c r="B4" s="42" t="s">
        <v>81</v>
      </c>
      <c r="C4" s="41">
        <v>3</v>
      </c>
      <c r="D4" s="41">
        <f>0.8*0.8</f>
        <v>0.64000000000000012</v>
      </c>
      <c r="E4" s="41">
        <v>74</v>
      </c>
      <c r="F4" s="41">
        <f t="shared" ref="F4:F18" si="0">C4*D4*E4</f>
        <v>142.08000000000004</v>
      </c>
    </row>
    <row r="5" spans="1:6" x14ac:dyDescent="0.25">
      <c r="A5" s="42" t="s">
        <v>61</v>
      </c>
      <c r="B5" s="42" t="s">
        <v>81</v>
      </c>
      <c r="C5" s="41">
        <v>1</v>
      </c>
      <c r="D5" s="41">
        <f t="shared" ref="D5:D7" si="1">0.8*0.8</f>
        <v>0.64000000000000012</v>
      </c>
      <c r="E5" s="41">
        <v>72</v>
      </c>
      <c r="F5" s="41">
        <f t="shared" si="0"/>
        <v>46.080000000000013</v>
      </c>
    </row>
    <row r="6" spans="1:6" x14ac:dyDescent="0.25">
      <c r="A6" s="42" t="s">
        <v>61</v>
      </c>
      <c r="B6" s="42" t="s">
        <v>81</v>
      </c>
      <c r="C6" s="41">
        <v>1</v>
      </c>
      <c r="D6" s="41">
        <f t="shared" si="1"/>
        <v>0.64000000000000012</v>
      </c>
      <c r="E6" s="41">
        <v>35</v>
      </c>
      <c r="F6" s="41">
        <f t="shared" si="0"/>
        <v>22.400000000000006</v>
      </c>
    </row>
    <row r="7" spans="1:6" x14ac:dyDescent="0.25">
      <c r="A7" s="42" t="s">
        <v>61</v>
      </c>
      <c r="B7" s="42" t="s">
        <v>81</v>
      </c>
      <c r="C7" s="41">
        <v>2</v>
      </c>
      <c r="D7" s="41">
        <f t="shared" si="1"/>
        <v>0.64000000000000012</v>
      </c>
      <c r="E7" s="41">
        <v>10</v>
      </c>
      <c r="F7" s="41">
        <f t="shared" si="0"/>
        <v>12.800000000000002</v>
      </c>
    </row>
    <row r="8" spans="1:6" x14ac:dyDescent="0.25">
      <c r="A8" s="42" t="s">
        <v>61</v>
      </c>
      <c r="B8" s="42" t="s">
        <v>82</v>
      </c>
      <c r="C8" s="41">
        <v>12</v>
      </c>
      <c r="D8" s="41">
        <v>4</v>
      </c>
      <c r="E8" s="41">
        <v>0.9</v>
      </c>
      <c r="F8" s="41">
        <f t="shared" si="0"/>
        <v>43.2</v>
      </c>
    </row>
    <row r="9" spans="1:6" x14ac:dyDescent="0.25">
      <c r="A9" s="42" t="s">
        <v>61</v>
      </c>
      <c r="B9" s="42" t="s">
        <v>57</v>
      </c>
      <c r="C9" s="41">
        <v>1</v>
      </c>
      <c r="D9" s="41">
        <f>35*72</f>
        <v>2520</v>
      </c>
      <c r="E9" s="41">
        <v>0.25</v>
      </c>
      <c r="F9" s="41">
        <f t="shared" si="0"/>
        <v>630</v>
      </c>
    </row>
    <row r="10" spans="1:6" x14ac:dyDescent="0.25">
      <c r="A10" s="42" t="s">
        <v>61</v>
      </c>
      <c r="B10" s="42" t="s">
        <v>57</v>
      </c>
      <c r="C10" s="41">
        <v>1</v>
      </c>
      <c r="D10" s="41">
        <f>10*74</f>
        <v>740</v>
      </c>
      <c r="E10" s="41">
        <v>0.25</v>
      </c>
      <c r="F10" s="41">
        <f t="shared" si="0"/>
        <v>185</v>
      </c>
    </row>
    <row r="11" spans="1:6" x14ac:dyDescent="0.25">
      <c r="A11" s="42" t="s">
        <v>77</v>
      </c>
      <c r="B11" s="42" t="s">
        <v>83</v>
      </c>
      <c r="C11" s="41">
        <v>9</v>
      </c>
      <c r="D11" s="41">
        <f>0.5*0.5</f>
        <v>0.25</v>
      </c>
      <c r="E11" s="41">
        <f>10.5</f>
        <v>10.5</v>
      </c>
      <c r="F11" s="41">
        <f>C11*D11*E11</f>
        <v>23.625</v>
      </c>
    </row>
    <row r="12" spans="1:6" x14ac:dyDescent="0.25">
      <c r="A12" s="42" t="s">
        <v>77</v>
      </c>
      <c r="B12" s="42" t="s">
        <v>84</v>
      </c>
      <c r="C12" s="41">
        <v>19</v>
      </c>
      <c r="D12" s="41">
        <f>0.3*0.3</f>
        <v>0.09</v>
      </c>
      <c r="E12" s="41">
        <f>10.5</f>
        <v>10.5</v>
      </c>
      <c r="F12" s="41">
        <f t="shared" si="0"/>
        <v>17.954999999999998</v>
      </c>
    </row>
    <row r="13" spans="1:6" x14ac:dyDescent="0.25">
      <c r="A13" s="42" t="s">
        <v>77</v>
      </c>
      <c r="B13" s="42" t="s">
        <v>58</v>
      </c>
      <c r="C13" s="41">
        <v>1</v>
      </c>
      <c r="D13" s="41">
        <f>((8*7.2)*10) - 2*4*4</f>
        <v>544</v>
      </c>
      <c r="E13" s="41">
        <v>0.12</v>
      </c>
      <c r="F13" s="41">
        <f t="shared" si="0"/>
        <v>65.28</v>
      </c>
    </row>
    <row r="14" spans="1:6" x14ac:dyDescent="0.25">
      <c r="A14" s="42" t="s">
        <v>77</v>
      </c>
      <c r="B14" s="42" t="s">
        <v>59</v>
      </c>
      <c r="C14" s="41">
        <v>1</v>
      </c>
      <c r="D14" s="41">
        <f>D13+16.4*10</f>
        <v>708</v>
      </c>
      <c r="E14" s="41">
        <v>0.12</v>
      </c>
      <c r="F14" s="41">
        <f t="shared" si="0"/>
        <v>84.96</v>
      </c>
    </row>
    <row r="15" spans="1:6" x14ac:dyDescent="0.25">
      <c r="A15" s="42" t="s">
        <v>77</v>
      </c>
      <c r="B15" s="42" t="s">
        <v>100</v>
      </c>
      <c r="C15" s="41">
        <v>1</v>
      </c>
      <c r="D15" s="41">
        <f>0.4*0.12</f>
        <v>4.8000000000000001E-2</v>
      </c>
      <c r="E15" s="41">
        <f>54+2*74+3*(6+1.5+6)</f>
        <v>242.5</v>
      </c>
      <c r="F15" s="41">
        <f>C15*D15*E15</f>
        <v>11.64</v>
      </c>
    </row>
    <row r="16" spans="1:6" x14ac:dyDescent="0.25">
      <c r="A16" s="42" t="s">
        <v>77</v>
      </c>
      <c r="B16" s="42" t="s">
        <v>102</v>
      </c>
      <c r="C16" s="41">
        <v>2</v>
      </c>
      <c r="D16" s="41">
        <f>0.4*0.1</f>
        <v>4.0000000000000008E-2</v>
      </c>
      <c r="E16" s="2">
        <v>35</v>
      </c>
      <c r="F16" s="41">
        <f t="shared" si="0"/>
        <v>2.8000000000000007</v>
      </c>
    </row>
    <row r="17" spans="1:6" x14ac:dyDescent="0.25">
      <c r="A17" s="42" t="s">
        <v>77</v>
      </c>
      <c r="B17" s="42" t="s">
        <v>103</v>
      </c>
      <c r="C17" s="41">
        <v>3</v>
      </c>
      <c r="D17" s="41">
        <f>0.8*0.15</f>
        <v>0.12</v>
      </c>
      <c r="E17" s="41">
        <v>35</v>
      </c>
      <c r="F17" s="41">
        <f t="shared" si="0"/>
        <v>12.6</v>
      </c>
    </row>
    <row r="18" spans="1:6" x14ac:dyDescent="0.25">
      <c r="A18" s="42" t="s">
        <v>77</v>
      </c>
      <c r="B18" s="42" t="s">
        <v>90</v>
      </c>
      <c r="C18" s="41">
        <v>4</v>
      </c>
      <c r="D18" s="41">
        <f>0.4*0.1</f>
        <v>4.0000000000000008E-2</v>
      </c>
      <c r="E18" s="41">
        <v>72</v>
      </c>
      <c r="F18" s="41">
        <f t="shared" si="0"/>
        <v>11.520000000000003</v>
      </c>
    </row>
    <row r="19" spans="1:6" x14ac:dyDescent="0.25">
      <c r="A19" s="42" t="s">
        <v>77</v>
      </c>
      <c r="B19" s="42" t="s">
        <v>104</v>
      </c>
      <c r="C19" s="41">
        <v>3</v>
      </c>
      <c r="D19" s="41">
        <f>0.12*2.95</f>
        <v>0.35399999999999998</v>
      </c>
      <c r="E19" s="41">
        <v>32.1</v>
      </c>
      <c r="F19" s="41">
        <f>C19*D19*E19</f>
        <v>34.090199999999996</v>
      </c>
    </row>
    <row r="20" spans="1:6" x14ac:dyDescent="0.25">
      <c r="A20" s="42" t="s">
        <v>77</v>
      </c>
      <c r="B20" s="42" t="s">
        <v>105</v>
      </c>
      <c r="C20" s="41">
        <v>3</v>
      </c>
      <c r="D20" s="41">
        <f>0.12*2.95</f>
        <v>0.35399999999999998</v>
      </c>
      <c r="E20" s="41">
        <v>32.1</v>
      </c>
      <c r="F20" s="41">
        <f>C20*D20*E20</f>
        <v>34.090199999999996</v>
      </c>
    </row>
    <row r="21" spans="1:6" x14ac:dyDescent="0.25">
      <c r="A21" s="42" t="s">
        <v>77</v>
      </c>
      <c r="B21" s="42" t="s">
        <v>93</v>
      </c>
      <c r="C21" s="41">
        <v>5</v>
      </c>
      <c r="D21" s="41">
        <f>9*14.4</f>
        <v>129.6</v>
      </c>
      <c r="E21" s="41">
        <v>0.12</v>
      </c>
      <c r="F21" s="41">
        <f t="shared" ref="F21:F23" si="2">C21*D21*E21</f>
        <v>77.759999999999991</v>
      </c>
    </row>
    <row r="22" spans="1:6" x14ac:dyDescent="0.25">
      <c r="A22" s="42" t="s">
        <v>77</v>
      </c>
      <c r="B22" s="42" t="s">
        <v>94</v>
      </c>
      <c r="C22" s="41">
        <v>5</v>
      </c>
      <c r="D22" s="41">
        <f>7*14.4</f>
        <v>100.8</v>
      </c>
      <c r="E22" s="41">
        <v>0.12</v>
      </c>
      <c r="F22" s="41">
        <f t="shared" si="2"/>
        <v>60.48</v>
      </c>
    </row>
    <row r="23" spans="1:6" x14ac:dyDescent="0.25">
      <c r="A23" s="42" t="s">
        <v>77</v>
      </c>
      <c r="B23" s="42" t="s">
        <v>95</v>
      </c>
      <c r="C23" s="41">
        <v>5</v>
      </c>
      <c r="D23" s="41">
        <f>11*14.4</f>
        <v>158.4</v>
      </c>
      <c r="E23" s="41">
        <v>0.12</v>
      </c>
      <c r="F23" s="41">
        <f t="shared" si="2"/>
        <v>95.039999999999992</v>
      </c>
    </row>
  </sheetData>
  <mergeCells count="1">
    <mergeCell ref="A1:F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vt:i4>
      </vt:variant>
    </vt:vector>
  </HeadingPairs>
  <TitlesOfParts>
    <vt:vector size="13" baseType="lpstr">
      <vt:lpstr>Explainer</vt:lpstr>
      <vt:lpstr>Comparison</vt:lpstr>
      <vt:lpstr>LCA Material data</vt:lpstr>
      <vt:lpstr>Building params</vt:lpstr>
      <vt:lpstr>Concrete</vt:lpstr>
      <vt:lpstr>LCA Calculation Concrete</vt:lpstr>
      <vt:lpstr>Steel</vt:lpstr>
      <vt:lpstr>LCA Calculation Steel</vt:lpstr>
      <vt:lpstr>Timber</vt:lpstr>
      <vt:lpstr>LCA Calculation Timber</vt:lpstr>
      <vt:lpstr>'LCA Calculation Concrete'!GFA</vt:lpstr>
      <vt:lpstr>'LCA Calculation Steel'!GFA</vt:lpstr>
      <vt:lpstr>'LCA Calculation Timber'!GFA</vt:lpstr>
    </vt:vector>
  </TitlesOfParts>
  <Company>TU Delft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Schuurman</dc:creator>
  <cp:lastModifiedBy>Niels van Vliet</cp:lastModifiedBy>
  <dcterms:created xsi:type="dcterms:W3CDTF">2024-10-04T09:19:03Z</dcterms:created>
  <dcterms:modified xsi:type="dcterms:W3CDTF">2024-12-14T15:32:51Z</dcterms:modified>
</cp:coreProperties>
</file>